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uong_dan" sheetId="1" r:id="rId1"/>
    <sheet name="Dau_vao" sheetId="2" r:id="rId2"/>
    <sheet name="Thiet_ke" sheetId="3" r:id="rId3"/>
    <sheet name="Dong_co" sheetId="4" r:id="rId4"/>
    <sheet name="Luc_keo" sheetId="5" r:id="rId5"/>
    <sheet name="Bieu_do_dong" sheetId="6" r:id="rId6"/>
    <sheet name="Tang_toc" sheetId="7" r:id="rId7"/>
    <sheet name="Cong_thuc_nguon" sheetId="8" r:id="rId8"/>
    <sheet name="Hinh_anh" sheetId="9" r:id="rId9"/>
  </sheets>
  <calcPr calcId="124519" fullCalcOnLoad="1"/>
</workbook>
</file>

<file path=xl/sharedStrings.xml><?xml version="1.0" encoding="utf-8"?>
<sst xmlns="http://schemas.openxmlformats.org/spreadsheetml/2006/main" count="2485" uniqueCount="299">
  <si>
    <t>BÀI TẬP LỚN LÝ THUYẾT Ô TÔ – NHÓM 2</t>
  </si>
  <si>
    <t>Ô vàng trong Dau_vao là dữ liệu có thể sửa. Thiet_ke, Dong_co và Luc_keo dùng công thức Excel và có giá trị lưu sẵn.</t>
  </si>
  <si>
    <t>Tang_toc và Hinh_anh là kết quả tích phân/đồ thị của bộ tham số gốc, KHÔNG tự tính lại khi sửa ô Excel.</t>
  </si>
  <si>
    <t>Để tái tạo toàn bộ kết quả, sửa nhom2.json và chạy: python build_model.py nhom2.json ket_qua_moi</t>
  </si>
  <si>
    <t>Cài các thư viện theo requirements.txt. CSV chi tiết và kiem_tra.json phục vụ kiểm tra độc lập.</t>
  </si>
  <si>
    <t>Đề cho KG được hiểu là kg khối lượng; trọng lực tính với g=9,81 m/s². 70 kg/người là giả thiết.</t>
  </si>
  <si>
    <t>Công suất cực đại thiết kế là giá trị lý thuyết tối thiểu. Chưa chọn một động cơ thương mại cụ thể.</t>
  </si>
  <si>
    <t>Phép tăng tốc: đường bằng, đủ tải, không gió, 4 lần chuyển số 1 s; không mô phỏng trượt ly hợp từ đứng yên.</t>
  </si>
  <si>
    <t>Hệ số cản lăn ghép theo ngưỡng 22,2 m/s có bước nhảy thực nghiệm; không phải lực thực tế đột ngột thay đổi.</t>
  </si>
  <si>
    <t>Trang nguồn là số in trong tài liệu. PDF sách = trang in +1; PDF bài mẫu = trang in +7.</t>
  </si>
  <si>
    <t>Các giá trị và công thức đã kiểm tra bằng Python; chưa chạy ứng dụng Microsoft Excel/LibreOffice.</t>
  </si>
  <si>
    <t>Tham số</t>
  </si>
  <si>
    <t>Giá trị</t>
  </si>
  <si>
    <t>Đơn vị</t>
  </si>
  <si>
    <t>Nguồn / giải thích</t>
  </si>
  <si>
    <t>m0</t>
  </si>
  <si>
    <t>kg</t>
  </si>
  <si>
    <t>ĐỀ BÀI</t>
  </si>
  <si>
    <t>payload</t>
  </si>
  <si>
    <t>people</t>
  </si>
  <si>
    <t>người</t>
  </si>
  <si>
    <t>person_mass</t>
  </si>
  <si>
    <t>kg/người</t>
  </si>
  <si>
    <t>TỰ CHỌN / quy ước mô hình</t>
  </si>
  <si>
    <t>g</t>
  </si>
  <si>
    <t>m/s²</t>
  </si>
  <si>
    <t>front_share</t>
  </si>
  <si>
    <t>–</t>
  </si>
  <si>
    <t>vmax_kmh</t>
  </si>
  <si>
    <t>km/h</t>
  </si>
  <si>
    <t>psi_max</t>
  </si>
  <si>
    <t>eta</t>
  </si>
  <si>
    <t>Tự chọn hiệu suất tổng, giữ nhất quán cho mọi công thức.</t>
  </si>
  <si>
    <t>K</t>
  </si>
  <si>
    <t>N·s²/m⁴</t>
  </si>
  <si>
    <t>K đã gộp hệ số khí động theo dạng Pw=KAv²; không nhân thêm ρ/2.</t>
  </si>
  <si>
    <t>area</t>
  </si>
  <si>
    <t>m²</t>
  </si>
  <si>
    <t>Diện tích cản chính diện giả định; chưa có kích thước xe.</t>
  </si>
  <si>
    <t>f0</t>
  </si>
  <si>
    <t>f_threshold_ms</t>
  </si>
  <si>
    <t>m/s</t>
  </si>
  <si>
    <t>phi</t>
  </si>
  <si>
    <t>tire_B_in</t>
  </si>
  <si>
    <t>inch</t>
  </si>
  <si>
    <t>Dự chọn lốp 8.25R16, phải kiểm tra catalogue trước khi chọn sản phẩm.</t>
  </si>
  <si>
    <t>rim_d_in</t>
  </si>
  <si>
    <t>tire_lambda</t>
  </si>
  <si>
    <t>Hệ số bán kính lăn dự chọn 0,935.</t>
  </si>
  <si>
    <t>nN</t>
  </si>
  <si>
    <t>rpm</t>
  </si>
  <si>
    <t>lambda_v</t>
  </si>
  <si>
    <t>Chọn 0,9 cho diesel; nv=2340 rpm.</t>
  </si>
  <si>
    <t>nmin</t>
  </si>
  <si>
    <t>a</t>
  </si>
  <si>
    <t>b</t>
  </si>
  <si>
    <t>c</t>
  </si>
  <si>
    <t>power_factor</t>
  </si>
  <si>
    <t>1,0: công suất thiết kế khép kín vmax; tăng hệ số này sẽ làm thay đổi vận tốc cân bằng.</t>
  </si>
  <si>
    <t>gears</t>
  </si>
  <si>
    <t>first_ratio</t>
  </si>
  <si>
    <t>Chọn 7 sau kiểm tra điều kiện cản đường và bám.</t>
  </si>
  <si>
    <t>top_ratio</t>
  </si>
  <si>
    <t>reverse_factor</t>
  </si>
  <si>
    <t>shift_seconds</t>
  </si>
  <si>
    <t>s</t>
  </si>
  <si>
    <t>delta_coast</t>
  </si>
  <si>
    <t>target_fraction</t>
  </si>
  <si>
    <t>drive_points</t>
  </si>
  <si>
    <t>Số điểm cho mỗi pha kéo, tích phân tách ở ngưỡng f.</t>
  </si>
  <si>
    <t>Đại lượng</t>
  </si>
  <si>
    <t>Đơn vị / ý nghĩa</t>
  </si>
  <si>
    <t>m</t>
  </si>
  <si>
    <t>G</t>
  </si>
  <si>
    <t>N</t>
  </si>
  <si>
    <t>G1</t>
  </si>
  <si>
    <t>N; tải tĩnh cầu trước</t>
  </si>
  <si>
    <t>G2</t>
  </si>
  <si>
    <t>N; tải tĩnh cầu sau</t>
  </si>
  <si>
    <t>vmax</t>
  </si>
  <si>
    <t>rb</t>
  </si>
  <si>
    <t>W</t>
  </si>
  <si>
    <t>N·s²/m²</t>
  </si>
  <si>
    <t>f_vmax</t>
  </si>
  <si>
    <t>nv</t>
  </si>
  <si>
    <t>rpm; điểm thiết kế tốc độ cực đại và chuyển số</t>
  </si>
  <si>
    <t>Nv</t>
  </si>
  <si>
    <t>kW; công suất cần ở động cơ tại vmax</t>
  </si>
  <si>
    <t>Nmax</t>
  </si>
  <si>
    <t>kW; đỉnh đặc tính thiết kế</t>
  </si>
  <si>
    <t>nM</t>
  </si>
  <si>
    <t>rpm; đỉnh mômen của đa thức</t>
  </si>
  <si>
    <t>Mmax</t>
  </si>
  <si>
    <t>N·m</t>
  </si>
  <si>
    <t>i0</t>
  </si>
  <si>
    <t>Pphi</t>
  </si>
  <si>
    <t>N; bám theo tải tĩnh cầu sau</t>
  </si>
  <si>
    <t>ih1_min</t>
  </si>
  <si>
    <t>–; chưa kể Pw, kiểm tra lại sau khi chọn</t>
  </si>
  <si>
    <t>ih1_max</t>
  </si>
  <si>
    <t>–; giới hạn bám</t>
  </si>
  <si>
    <t>q</t>
  </si>
  <si>
    <t>–; workbook cố định 5 trang số, đổi số cấp cần chạy Python</t>
  </si>
  <si>
    <t>ih1</t>
  </si>
  <si>
    <t>ih2</t>
  </si>
  <si>
    <t>ih3</t>
  </si>
  <si>
    <t>ih4</t>
  </si>
  <si>
    <t>ih5</t>
  </si>
  <si>
    <t>iR</t>
  </si>
  <si>
    <t>–; số lùi</t>
  </si>
  <si>
    <t>n (rpm)</t>
  </si>
  <si>
    <t>x=n/nN</t>
  </si>
  <si>
    <t>Ne (kW)</t>
  </si>
  <si>
    <t>Me (N·m)</t>
  </si>
  <si>
    <t>Nk (kW)</t>
  </si>
  <si>
    <t>Số</t>
  </si>
  <si>
    <t>ih</t>
  </si>
  <si>
    <t>n rpm</t>
  </si>
  <si>
    <t>v m/s</t>
  </si>
  <si>
    <t>v km/h</t>
  </si>
  <si>
    <t>Ne kW</t>
  </si>
  <si>
    <t>Me Nm</t>
  </si>
  <si>
    <t>Pk N</t>
  </si>
  <si>
    <t>f</t>
  </si>
  <si>
    <t>Pw N</t>
  </si>
  <si>
    <t>Pc N</t>
  </si>
  <si>
    <t>D</t>
  </si>
  <si>
    <t>delta</t>
  </si>
  <si>
    <t>j m/s2</t>
  </si>
  <si>
    <t>1/j s2/m</t>
  </si>
  <si>
    <t>BẢN KẾT QUẢ CỐ ĐỊNH — sửa JSON và chạy Python để tính lại</t>
  </si>
  <si>
    <t>Giai đoạn</t>
  </si>
  <si>
    <t>t (s)</t>
  </si>
  <si>
    <t>v (m/s)</t>
  </si>
  <si>
    <t>S (m)</t>
  </si>
  <si>
    <t>j (m/s²)</t>
  </si>
  <si>
    <t>Bắt đầu</t>
  </si>
  <si>
    <t>Kéo</t>
  </si>
  <si>
    <t>Chuyển số</t>
  </si>
  <si>
    <t>Số CT bài mẫu</t>
  </si>
  <si>
    <t>Trang in mẫu</t>
  </si>
  <si>
    <t>Trang in sách</t>
  </si>
  <si>
    <t>Công thức chuẩn hóa</t>
  </si>
  <si>
    <t>Ghi chú</t>
  </si>
  <si>
    <t>2.1.1; tải cầu</t>
  </si>
  <si>
    <t>1</t>
  </si>
  <si>
    <t>136–138</t>
  </si>
  <si>
    <t>m=m0+nc·mn+mh; G=mg; G1=β1G; G2=β2G</t>
  </si>
  <si>
    <t>Tách kg và N; tải cầu ở trạng thái tĩnh.</t>
  </si>
  <si>
    <t>2.2.1</t>
  </si>
  <si>
    <t>2</t>
  </si>
  <si>
    <t>139</t>
  </si>
  <si>
    <t>Nv=[G·ψv·vmax+K·A·vmax³]/(1000η)</t>
  </si>
  <si>
    <t>Nv kW; v m/s; ψv=f(vmax) trên đường bằng.</t>
  </si>
  <si>
    <t>2.2.2</t>
  </si>
  <si>
    <t>3</t>
  </si>
  <si>
    <t>140, IV-49</t>
  </si>
  <si>
    <t>Nmax=Nv/(aλ+bλ²−cλ³)</t>
  </si>
  <si>
    <t>Công suất thiết kế cực đại, λ=nv/nN.</t>
  </si>
  <si>
    <t>2.2.3</t>
  </si>
  <si>
    <t>140 (cần phân biệt công suất sử dụng)</t>
  </si>
  <si>
    <t>Nchọn=kN·Nmax</t>
  </si>
  <si>
    <t>Bài mẫu chọn kN=1,1–1,25; bài này kN=1 để khép kín vmax=95.</t>
  </si>
  <si>
    <t>2.2.4</t>
  </si>
  <si>
    <t>12, I-3</t>
  </si>
  <si>
    <t>Me=60000·Ne/(2πn)</t>
  </si>
  <si>
    <t>Ne kW, n rpm, Me N·m.</t>
  </si>
  <si>
    <t>2.2.5</t>
  </si>
  <si>
    <t>140–141</t>
  </si>
  <si>
    <t>nv=λ·nN</t>
  </si>
  <si>
    <t>Không coi λ là hằng số cho mọi điểm trên đặc tính.</t>
  </si>
  <si>
    <t>2.2.6</t>
  </si>
  <si>
    <t>4</t>
  </si>
  <si>
    <t>11, I-2; 12</t>
  </si>
  <si>
    <t>Ne=Nmax[a·x+b·x²−c·x³], x=n/nN</t>
  </si>
  <si>
    <t>Diesel phun trực tiếp: a=0,5; b=1,5; c=1.</t>
  </si>
  <si>
    <t>2.3.1 (i0)</t>
  </si>
  <si>
    <t>5</t>
  </si>
  <si>
    <t>141, IV-51</t>
  </si>
  <si>
    <t>i0=2π·rb·nv/(60·ih_top·ip·vmax)</t>
  </si>
  <si>
    <t>ip=1, truyền lực phụ không có.</t>
  </si>
  <si>
    <t>2.3.1 (rb; mẫu trùng số)</t>
  </si>
  <si>
    <t>37–38</t>
  </si>
  <si>
    <t>r0=(B+d/2)·0,0254; rb=λt·r0</t>
  </si>
  <si>
    <t>B,d inch; công thức hình học gần đúng cho lốp kiểu cũ.</t>
  </si>
  <si>
    <t>2.3.2</t>
  </si>
  <si>
    <t>35; 95–96; 127–128</t>
  </si>
  <si>
    <t>Pψ+Pw+Pj ≤ Pk ≤ Pφ</t>
  </si>
  <si>
    <t>Ở vận tốc thấp thường bỏ Pw khi chọn số I.</t>
  </si>
  <si>
    <t>2.3.3</t>
  </si>
  <si>
    <t>6</t>
  </si>
  <si>
    <t>127–128</t>
  </si>
  <si>
    <t>ih1 ≥ ψmax·G·rb/(Memax·i0·ip·η)</t>
  </si>
  <si>
    <t>Sau chọn phải kiểm lại Pw ở điểm mômen lớn nhất.</t>
  </si>
  <si>
    <t>2.3.4</t>
  </si>
  <si>
    <t>127–128, IV-32</t>
  </si>
  <si>
    <t>Pφ=φ·mZ·Gφ</t>
  </si>
  <si>
    <t>mZ là hệ số thay đổi tải động; chọn 1 vì thiếu vị trí trọng tâm.</t>
  </si>
  <si>
    <t>2.3.5</t>
  </si>
  <si>
    <t>128, IV-33</t>
  </si>
  <si>
    <t>ih1 ≤ φ·mZ·Gφ·rb/(Memax·i0·ip·η)</t>
  </si>
  <si>
    <t>Gφ=G2 nếu cầu sau chủ động.</t>
  </si>
  <si>
    <t>2.3.6</t>
  </si>
  <si>
    <t>7</t>
  </si>
  <si>
    <t>129–131</t>
  </si>
  <si>
    <t>q=(ih1/ih_top)^(1/(z−1))</t>
  </si>
  <si>
    <t>Cấp số nhân.</t>
  </si>
  <si>
    <t>2.3.7</t>
  </si>
  <si>
    <t>ihk=ih1/q^(k−1)</t>
  </si>
  <si>
    <t>Số cao nhất chọn truyền thẳng.</t>
  </si>
  <si>
    <t>2.3.8</t>
  </si>
  <si>
    <t>8</t>
  </si>
  <si>
    <t>142</t>
  </si>
  <si>
    <t>iR=(1,2…1,3)ih1</t>
  </si>
  <si>
    <t>Bài này chọn 1,2; kiểm tra bám số lùi.</t>
  </si>
  <si>
    <t>3.1.1</t>
  </si>
  <si>
    <t>88–89, IV-1…3</t>
  </si>
  <si>
    <t>Ne=Nt+Nf+Nw+Ni+Nj</t>
  </si>
  <si>
    <t>Quy ước dốc lên, tăng tốc, không gió.</t>
  </si>
  <si>
    <t>3.1.2</t>
  </si>
  <si>
    <t>89, IV-2</t>
  </si>
  <si>
    <t>Nk=η·Ne</t>
  </si>
  <si>
    <t>Tổn thất truyền lực đã tính trong η.</t>
  </si>
  <si>
    <t>3.1.3</t>
  </si>
  <si>
    <t>9</t>
  </si>
  <si>
    <t>89; 95–96</t>
  </si>
  <si>
    <t>Nc=Nf+Nw=(Gf+KA·v²)v/1000</t>
  </si>
  <si>
    <t>Trên đường bằng; đơn vị kW.</t>
  </si>
  <si>
    <t>3.2.1</t>
  </si>
  <si>
    <t>95–96, IV-9…10</t>
  </si>
  <si>
    <t>Pk=Pf+Pi+Pw+Pj</t>
  </si>
  <si>
    <t>Pf=fGcosα; Pi=Gsinα; Pj=mδj.</t>
  </si>
  <si>
    <t>3.2.2</t>
  </si>
  <si>
    <t>10</t>
  </si>
  <si>
    <t>16; 95–96</t>
  </si>
  <si>
    <t>Pk=Me·i0·ih·ip·η/rb</t>
  </si>
  <si>
    <t>Lực kéo tính từ mômen; không trừ Pf tại đây.</t>
  </si>
  <si>
    <t>3.2.3</t>
  </si>
  <si>
    <t>11</t>
  </si>
  <si>
    <t>95–96</t>
  </si>
  <si>
    <t>Pc=Pf+Pw=fG+KA·v²</t>
  </si>
  <si>
    <t>Pc là tổng cản đường bằng, không riêng cản lăn.</t>
  </si>
  <si>
    <t>3.3.1</t>
  </si>
  <si>
    <t>12</t>
  </si>
  <si>
    <t>101–102, IV-15…16</t>
  </si>
  <si>
    <t>D=(Pk−Pw)/G=ψ+δj/g</t>
  </si>
  <si>
    <t>D không có đơn vị.</t>
  </si>
  <si>
    <t>3.3.2</t>
  </si>
  <si>
    <t>35; 101–102 (suy ra)</t>
  </si>
  <si>
    <t>Dφ=(Pφ−Pw)/G</t>
  </si>
  <si>
    <t>Cản không khí cũng phải trừ trong giới hạn Dφ.</t>
  </si>
  <si>
    <t>3.3.3</t>
  </si>
  <si>
    <t>Dφ≥D≥ψ</t>
  </si>
  <si>
    <t>Vùng đủ kéo, còn bám; D≥ψ tương ứng j≥0.</t>
  </si>
  <si>
    <t>3.3.4</t>
  </si>
  <si>
    <t>101–102</t>
  </si>
  <si>
    <t>Dk=[Me·i0·ihk·η/rb−KA·v²]/G</t>
  </si>
  <si>
    <t>Sửa ngoặc ở mẫu: toàn bộ hiệu chia G.</t>
  </si>
  <si>
    <t>3.3.5</t>
  </si>
  <si>
    <t>v=2π·n·rb/(60·i0·ih·ip)</t>
  </si>
  <si>
    <t>v m/s; nhân 3,6 để đổi km/h.</t>
  </si>
  <si>
    <t>3.4.1</t>
  </si>
  <si>
    <t>14</t>
  </si>
  <si>
    <t>102; 107–109</t>
  </si>
  <si>
    <t>D=fcosα+sinα+δj/g ≈ f+i+δj/g</t>
  </si>
  <si>
    <t>i=tanα; dạng xấp xỉ chỉ cho dốc nhỏ.</t>
  </si>
  <si>
    <t>3.4.2</t>
  </si>
  <si>
    <t>109, IV-23</t>
  </si>
  <si>
    <t>j=g(D−ψ)/δ</t>
  </si>
  <si>
    <t>Đường bằng ψ=f(v).</t>
  </si>
  <si>
    <t>3.4.3</t>
  </si>
  <si>
    <t>33–34, I-49…53</t>
  </si>
  <si>
    <t>δ=1,05+0,05ih²</t>
  </si>
  <si>
    <t>Công thức kinh nghiệm; có quán tính chi tiết thì dùng I-49.</t>
  </si>
  <si>
    <t>3.5.1; 3.5.2</t>
  </si>
  <si>
    <t>18</t>
  </si>
  <si>
    <t>113–115, IV-24</t>
  </si>
  <si>
    <t>dt=dv/j; t=∫dv/j</t>
  </si>
  <si>
    <t>Bắt đầu ở vmin, không tự gán bắt đầu từ 0 km/h.</t>
  </si>
  <si>
    <t>3.5.3; 3.5.4</t>
  </si>
  <si>
    <t>117</t>
  </si>
  <si>
    <t>dS=vdt; S=∫vdt=∫v·dv/j</t>
  </si>
  <si>
    <t>Có thể tích phân trực tiếp v/j theo v.</t>
  </si>
  <si>
    <t>3.5.5</t>
  </si>
  <si>
    <t>19</t>
  </si>
  <si>
    <t>116, IV-25</t>
  </si>
  <si>
    <t>Δv≈ψ·g·t_shift/δcoast</t>
  </si>
  <si>
    <t>Bài này tích phân thêm Pw trong khi ngắt mômen.</t>
  </si>
  <si>
    <t>Hình thang (không số)</t>
  </si>
  <si>
    <t>18–19</t>
  </si>
  <si>
    <t>Số hóa tích phân IV-24</t>
  </si>
  <si>
    <t>Δt≈0,5(1/jA+1/jB)Δv; ΔS≈0,5(vA/jA+vB/jB)Δv</t>
  </si>
  <si>
    <t>Bản in mẫu có chỗ ghi chia 0,5; phải nhân 0,5.</t>
  </si>
  <si>
    <t>Bổ sung cho đề 95 km/h</t>
  </si>
  <si>
    <t>Mẫu 75 km/h không cần</t>
  </si>
  <si>
    <t>53, II-16</t>
  </si>
  <si>
    <t>f=f0 nếu v≤22,2; f=f0(1+v²/1500) nếu v&gt;22,2</t>
  </si>
  <si>
    <t>v m/s; mô hình ghép thực nghiệm có bước nhảy tại ngưỡng.</t>
  </si>
  <si>
    <t>ĐỒ THỊ CỐ ĐỊNH CỦA BỘ THAM SỐ GỐC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</si>
</sst>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64E63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 wrapText="1"/>
    </xf>
    <xf numFmtId="164" fontId="0" fillId="3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Đặc tính công suất — công thức động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Ne (kW)</c:v>
          </c:tx>
          <c:marker>
            <c:symbol val="none"/>
          </c:marker>
          <c:xVal>
            <c:numRef>
              <c:f>Dong_co!$A$2:$A$102</c:f>
              <c:numCache>
                <c:formatCode>General</c:formatCode>
                <c:ptCount val="101"/>
                <c:pt idx="0">
                  <c:v>800.0</c:v>
                </c:pt>
                <c:pt idx="1">
                  <c:v>820.6</c:v>
                </c:pt>
                <c:pt idx="2">
                  <c:v>841.2</c:v>
                </c:pt>
                <c:pt idx="3">
                  <c:v>861.8000000000001</c:v>
                </c:pt>
                <c:pt idx="4">
                  <c:v>882.4</c:v>
                </c:pt>
                <c:pt idx="5">
                  <c:v>903.0</c:v>
                </c:pt>
                <c:pt idx="6">
                  <c:v>923.6</c:v>
                </c:pt>
                <c:pt idx="7">
                  <c:v>944.2</c:v>
                </c:pt>
                <c:pt idx="8">
                  <c:v>964.8000000000001</c:v>
                </c:pt>
                <c:pt idx="9">
                  <c:v>985.4000000000001</c:v>
                </c:pt>
                <c:pt idx="10">
                  <c:v>1006.0</c:v>
                </c:pt>
                <c:pt idx="11">
                  <c:v>1026.6</c:v>
                </c:pt>
                <c:pt idx="12">
                  <c:v>1047.2</c:v>
                </c:pt>
                <c:pt idx="13">
                  <c:v>1067.8000000000002</c:v>
                </c:pt>
                <c:pt idx="14">
                  <c:v>1088.4</c:v>
                </c:pt>
                <c:pt idx="15">
                  <c:v>1109.0</c:v>
                </c:pt>
                <c:pt idx="16">
                  <c:v>1129.6000000000001</c:v>
                </c:pt>
                <c:pt idx="17">
                  <c:v>1150.2</c:v>
                </c:pt>
                <c:pt idx="18">
                  <c:v>1170.8000000000002</c:v>
                </c:pt>
                <c:pt idx="19">
                  <c:v>1191.4</c:v>
                </c:pt>
                <c:pt idx="20">
                  <c:v>1212.0</c:v>
                </c:pt>
                <c:pt idx="21">
                  <c:v>1232.6000000000001</c:v>
                </c:pt>
                <c:pt idx="22">
                  <c:v>1253.2</c:v>
                </c:pt>
                <c:pt idx="23">
                  <c:v>1273.8000000000002</c:v>
                </c:pt>
                <c:pt idx="24">
                  <c:v>1294.4</c:v>
                </c:pt>
                <c:pt idx="25">
                  <c:v>1315.0</c:v>
                </c:pt>
                <c:pt idx="26">
                  <c:v>1335.6000000000001</c:v>
                </c:pt>
                <c:pt idx="27">
                  <c:v>1356.2000000000003</c:v>
                </c:pt>
                <c:pt idx="28">
                  <c:v>1376.8000000000002</c:v>
                </c:pt>
                <c:pt idx="29">
                  <c:v>1397.4</c:v>
                </c:pt>
                <c:pt idx="30">
                  <c:v>1418.0</c:v>
                </c:pt>
                <c:pt idx="31">
                  <c:v>1438.6000000000001</c:v>
                </c:pt>
                <c:pt idx="32">
                  <c:v>1459.2000000000003</c:v>
                </c:pt>
                <c:pt idx="33">
                  <c:v>1479.8000000000002</c:v>
                </c:pt>
                <c:pt idx="34">
                  <c:v>1500.4</c:v>
                </c:pt>
                <c:pt idx="35">
                  <c:v>1521.0</c:v>
                </c:pt>
                <c:pt idx="36">
                  <c:v>1541.6000000000001</c:v>
                </c:pt>
                <c:pt idx="37">
                  <c:v>1562.2000000000003</c:v>
                </c:pt>
                <c:pt idx="38">
                  <c:v>1582.8000000000002</c:v>
                </c:pt>
                <c:pt idx="39">
                  <c:v>1603.4</c:v>
                </c:pt>
                <c:pt idx="40">
                  <c:v>1624.0</c:v>
                </c:pt>
                <c:pt idx="41">
                  <c:v>1644.6000000000001</c:v>
                </c:pt>
                <c:pt idx="42">
                  <c:v>1665.2000000000003</c:v>
                </c:pt>
                <c:pt idx="43">
                  <c:v>1685.8000000000002</c:v>
                </c:pt>
                <c:pt idx="44">
                  <c:v>1706.4</c:v>
                </c:pt>
                <c:pt idx="45">
                  <c:v>1727.0</c:v>
                </c:pt>
                <c:pt idx="46">
                  <c:v>1747.6000000000001</c:v>
                </c:pt>
                <c:pt idx="47">
                  <c:v>1768.2000000000003</c:v>
                </c:pt>
                <c:pt idx="48">
                  <c:v>1788.8000000000002</c:v>
                </c:pt>
                <c:pt idx="49">
                  <c:v>1809.4000000000003</c:v>
                </c:pt>
                <c:pt idx="50">
                  <c:v>1830.0000000000002</c:v>
                </c:pt>
                <c:pt idx="51">
                  <c:v>1850.6000000000004</c:v>
                </c:pt>
                <c:pt idx="52">
                  <c:v>1871.2000000000003</c:v>
                </c:pt>
                <c:pt idx="53">
                  <c:v>1891.8000000000002</c:v>
                </c:pt>
                <c:pt idx="54">
                  <c:v>1912.4000000000003</c:v>
                </c:pt>
                <c:pt idx="55">
                  <c:v>1933.0000000000002</c:v>
                </c:pt>
                <c:pt idx="56">
                  <c:v>1953.6000000000004</c:v>
                </c:pt>
                <c:pt idx="57">
                  <c:v>1974.2000000000003</c:v>
                </c:pt>
                <c:pt idx="58">
                  <c:v>1994.8000000000002</c:v>
                </c:pt>
                <c:pt idx="59">
                  <c:v>2015.4000000000003</c:v>
                </c:pt>
                <c:pt idx="60">
                  <c:v>2036.0000000000002</c:v>
                </c:pt>
                <c:pt idx="61">
                  <c:v>2056.6000000000004</c:v>
                </c:pt>
                <c:pt idx="62">
                  <c:v>2077.2000000000003</c:v>
                </c:pt>
                <c:pt idx="63">
                  <c:v>2097.8</c:v>
                </c:pt>
                <c:pt idx="64">
                  <c:v>2118.4000000000005</c:v>
                </c:pt>
                <c:pt idx="65">
                  <c:v>2139.0</c:v>
                </c:pt>
                <c:pt idx="66">
                  <c:v>2159.6000000000004</c:v>
                </c:pt>
                <c:pt idx="67">
                  <c:v>2180.2000000000003</c:v>
                </c:pt>
                <c:pt idx="68">
                  <c:v>2200.8</c:v>
                </c:pt>
                <c:pt idx="69">
                  <c:v>2221.4000000000005</c:v>
                </c:pt>
                <c:pt idx="70">
                  <c:v>2242.0</c:v>
                </c:pt>
                <c:pt idx="71">
                  <c:v>2262.6000000000004</c:v>
                </c:pt>
                <c:pt idx="72">
                  <c:v>2283.2000000000003</c:v>
                </c:pt>
                <c:pt idx="73">
                  <c:v>2303.8</c:v>
                </c:pt>
                <c:pt idx="74">
                  <c:v>2324.4000000000005</c:v>
                </c:pt>
                <c:pt idx="75">
                  <c:v>2345.0</c:v>
                </c:pt>
                <c:pt idx="76">
                  <c:v>2365.6000000000004</c:v>
                </c:pt>
                <c:pt idx="77">
                  <c:v>2386.2000000000003</c:v>
                </c:pt>
                <c:pt idx="78">
                  <c:v>2406.8</c:v>
                </c:pt>
                <c:pt idx="79">
                  <c:v>2427.4000000000005</c:v>
                </c:pt>
                <c:pt idx="80">
                  <c:v>2448.0</c:v>
                </c:pt>
                <c:pt idx="81">
                  <c:v>2468.6000000000004</c:v>
                </c:pt>
                <c:pt idx="82">
                  <c:v>2489.2000000000003</c:v>
                </c:pt>
                <c:pt idx="83">
                  <c:v>2509.8</c:v>
                </c:pt>
                <c:pt idx="84">
                  <c:v>2530.4000000000005</c:v>
                </c:pt>
                <c:pt idx="85">
                  <c:v>2551.0</c:v>
                </c:pt>
                <c:pt idx="86">
                  <c:v>2571.6000000000004</c:v>
                </c:pt>
                <c:pt idx="87">
                  <c:v>2592.2000000000003</c:v>
                </c:pt>
                <c:pt idx="88">
                  <c:v>2612.8</c:v>
                </c:pt>
                <c:pt idx="89">
                  <c:v>2633.4000000000005</c:v>
                </c:pt>
                <c:pt idx="90">
                  <c:v>2654.0</c:v>
                </c:pt>
                <c:pt idx="91">
                  <c:v>2674.6000000000004</c:v>
                </c:pt>
                <c:pt idx="92">
                  <c:v>2695.2000000000003</c:v>
                </c:pt>
                <c:pt idx="93">
                  <c:v>2715.8</c:v>
                </c:pt>
                <c:pt idx="94">
                  <c:v>2736.4000000000005</c:v>
                </c:pt>
                <c:pt idx="95">
                  <c:v>2757.0</c:v>
                </c:pt>
                <c:pt idx="96">
                  <c:v>2777.6000000000004</c:v>
                </c:pt>
                <c:pt idx="97">
                  <c:v>2798.2000000000007</c:v>
                </c:pt>
                <c:pt idx="98">
                  <c:v>2818.8000000000006</c:v>
                </c:pt>
                <c:pt idx="99">
                  <c:v>2839.4000000000005</c:v>
                </c:pt>
                <c:pt idx="100">
                  <c:v>2860.0000000000005</c:v>
                </c:pt>
              </c:numCache>
            </c:numRef>
          </c:xVal>
          <c:yVal>
            <c:numRef>
              <c:f>Dong_co!$C$2:$C$102</c:f>
              <c:numCache>
                <c:formatCode>General</c:formatCode>
                <c:ptCount val="101"/>
                <c:pt idx="0">
                  <c:v>31.210277899168606</c:v>
                </c:pt>
                <c:pt idx="1">
                  <c:v>32.27046732667572</c:v>
                </c:pt>
                <c:pt idx="2">
                  <c:v>33.33878307106586</c:v>
                </c:pt>
                <c:pt idx="3">
                  <c:v>34.41487594141749</c:v>
                </c:pt>
                <c:pt idx="4">
                  <c:v>35.49839674680905</c:v>
                </c:pt>
                <c:pt idx="5">
                  <c:v>36.58899629631901</c:v>
                </c:pt>
                <c:pt idx="6">
                  <c:v>37.6863253990258</c:v>
                </c:pt>
                <c:pt idx="7">
                  <c:v>38.79003486400788</c:v>
                </c:pt>
                <c:pt idx="8">
                  <c:v>39.89977550034369</c:v>
                </c:pt>
                <c:pt idx="9">
                  <c:v>41.015198117111694</c:v>
                </c:pt>
                <c:pt idx="10">
                  <c:v>42.13595352339034</c:v>
                </c:pt>
                <c:pt idx="11">
                  <c:v>43.261692528258074</c:v>
                </c:pt>
                <c:pt idx="12">
                  <c:v>44.392065940793366</c:v>
                </c:pt>
                <c:pt idx="13">
                  <c:v>45.526724570074656</c:v>
                </c:pt>
                <c:pt idx="14">
                  <c:v>46.66531922518038</c:v>
                </c:pt>
                <c:pt idx="15">
                  <c:v>47.807500715189</c:v>
                </c:pt>
                <c:pt idx="16">
                  <c:v>48.95291984917899</c:v>
                </c:pt>
                <c:pt idx="17">
                  <c:v>50.101227436228754</c:v>
                </c:pt>
                <c:pt idx="18">
                  <c:v>51.2520742854168</c:v>
                </c:pt>
                <c:pt idx="19">
                  <c:v>52.40511120582154</c:v>
                </c:pt>
                <c:pt idx="20">
                  <c:v>53.55998900652142</c:v>
                </c:pt>
                <c:pt idx="21">
                  <c:v>54.71635849659493</c:v>
                </c:pt>
                <c:pt idx="22">
                  <c:v>55.87387048512047</c:v>
                </c:pt>
                <c:pt idx="23">
                  <c:v>57.03217578117654</c:v>
                </c:pt>
                <c:pt idx="24">
                  <c:v>58.19092519384156</c:v>
                </c:pt>
                <c:pt idx="25">
                  <c:v>59.34976953219397</c:v>
                </c:pt>
                <c:pt idx="26">
                  <c:v>60.508359605312286</c:v>
                </c:pt>
                <c:pt idx="27">
                  <c:v>61.666346222274896</c:v>
                </c:pt>
                <c:pt idx="28">
                  <c:v>62.82338019216026</c:v>
                </c:pt>
                <c:pt idx="29">
                  <c:v>63.979112324046845</c:v>
                </c:pt>
                <c:pt idx="30">
                  <c:v>65.1331934270131</c:v>
                </c:pt>
                <c:pt idx="31">
                  <c:v>66.28527431013751</c:v>
                </c:pt>
                <c:pt idx="32">
                  <c:v>67.43500578249845</c:v>
                </c:pt>
                <c:pt idx="33">
                  <c:v>68.58203865317441</c:v>
                </c:pt>
                <c:pt idx="34">
                  <c:v>69.72602373124384</c:v>
                </c:pt>
                <c:pt idx="35">
                  <c:v>70.8666118257852</c:v>
                </c:pt>
                <c:pt idx="36">
                  <c:v>72.00345374587697</c:v>
                </c:pt>
                <c:pt idx="37">
                  <c:v>73.13620030059752</c:v>
                </c:pt>
                <c:pt idx="38">
                  <c:v>74.26450229902538</c:v>
                </c:pt>
                <c:pt idx="39">
                  <c:v>75.38801055023895</c:v>
                </c:pt>
                <c:pt idx="40">
                  <c:v>76.50637586331669</c:v>
                </c:pt>
                <c:pt idx="41">
                  <c:v>77.61924904733709</c:v>
                </c:pt>
                <c:pt idx="42">
                  <c:v>78.72628091137858</c:v>
                </c:pt>
                <c:pt idx="43">
                  <c:v>79.82712226451957</c:v>
                </c:pt>
                <c:pt idx="44">
                  <c:v>80.92142391583856</c:v>
                </c:pt>
                <c:pt idx="45">
                  <c:v>82.00883667441398</c:v>
                </c:pt>
                <c:pt idx="46">
                  <c:v>83.0890113493243</c:v>
                </c:pt>
                <c:pt idx="47">
                  <c:v>84.16159874964796</c:v>
                </c:pt>
                <c:pt idx="48">
                  <c:v>85.2262496844634</c:v>
                </c:pt>
                <c:pt idx="49">
                  <c:v>86.28261496284911</c:v>
                </c:pt>
                <c:pt idx="50">
                  <c:v>87.33034539388348</c:v>
                </c:pt>
                <c:pt idx="51">
                  <c:v>88.36909178664501</c:v>
                </c:pt>
                <c:pt idx="52">
                  <c:v>89.39850495021211</c:v>
                </c:pt>
                <c:pt idx="53">
                  <c:v>90.4182356936633</c:v>
                </c:pt>
                <c:pt idx="54">
                  <c:v>91.42793482607698</c:v>
                </c:pt>
                <c:pt idx="55">
                  <c:v>92.42725315653159</c:v>
                </c:pt>
                <c:pt idx="56">
                  <c:v>93.41584149410562</c:v>
                </c:pt>
                <c:pt idx="57">
                  <c:v>94.39335064787748</c:v>
                </c:pt>
                <c:pt idx="58">
                  <c:v>95.35943142692564</c:v>
                </c:pt>
                <c:pt idx="59">
                  <c:v>96.31373464032859</c:v>
                </c:pt>
                <c:pt idx="60">
                  <c:v>97.25591109716473</c:v>
                </c:pt>
                <c:pt idx="61">
                  <c:v>98.18561160651252</c:v>
                </c:pt>
                <c:pt idx="62">
                  <c:v>99.10248697745041</c:v>
                </c:pt>
                <c:pt idx="63">
                  <c:v>100.00618801905688</c:v>
                </c:pt>
                <c:pt idx="64">
                  <c:v>100.89636554041037</c:v>
                </c:pt>
                <c:pt idx="65">
                  <c:v>101.77267035058928</c:v>
                </c:pt>
                <c:pt idx="66">
                  <c:v>102.63475325867213</c:v>
                </c:pt>
                <c:pt idx="67">
                  <c:v>103.48226507373738</c:v>
                </c:pt>
                <c:pt idx="68">
                  <c:v>104.31485660486338</c:v>
                </c:pt>
                <c:pt idx="69">
                  <c:v>105.13217866112869</c:v>
                </c:pt>
                <c:pt idx="70">
                  <c:v>105.93388205161168</c:v>
                </c:pt>
                <c:pt idx="71">
                  <c:v>106.71961758539089</c:v>
                </c:pt>
                <c:pt idx="72">
                  <c:v>107.48903607154469</c:v>
                </c:pt>
                <c:pt idx="73">
                  <c:v>108.24178831915158</c:v>
                </c:pt>
                <c:pt idx="74">
                  <c:v>108.97752513729002</c:v>
                </c:pt>
                <c:pt idx="75">
                  <c:v>109.69589733503837</c:v>
                </c:pt>
                <c:pt idx="76">
                  <c:v>110.3965557214752</c:v>
                </c:pt>
                <c:pt idx="77">
                  <c:v>111.07915110567883</c:v>
                </c:pt>
                <c:pt idx="78">
                  <c:v>111.74333429672788</c:v>
                </c:pt>
                <c:pt idx="79">
                  <c:v>112.38875610370069</c:v>
                </c:pt>
                <c:pt idx="80">
                  <c:v>113.01506733567571</c:v>
                </c:pt>
                <c:pt idx="81">
                  <c:v>113.62191880173138</c:v>
                </c:pt>
                <c:pt idx="82">
                  <c:v>114.20896131094625</c:v>
                </c:pt>
                <c:pt idx="83">
                  <c:v>114.77584567239873</c:v>
                </c:pt>
                <c:pt idx="84">
                  <c:v>115.32222269516717</c:v>
                </c:pt>
                <c:pt idx="85">
                  <c:v>115.84774318833011</c:v>
                </c:pt>
                <c:pt idx="86">
                  <c:v>116.35205796096601</c:v>
                </c:pt>
                <c:pt idx="87">
                  <c:v>116.83481782215333</c:v>
                </c:pt>
                <c:pt idx="88">
                  <c:v>117.29567358097042</c:v>
                </c:pt>
                <c:pt idx="89">
                  <c:v>117.73427604649585</c:v>
                </c:pt>
                <c:pt idx="90">
                  <c:v>118.15027602780799</c:v>
                </c:pt>
                <c:pt idx="91">
                  <c:v>118.54332433398537</c:v>
                </c:pt>
                <c:pt idx="92">
                  <c:v>118.9130717741064</c:v>
                </c:pt>
                <c:pt idx="93">
                  <c:v>119.25916915724949</c:v>
                </c:pt>
                <c:pt idx="94">
                  <c:v>119.58126729249317</c:v>
                </c:pt>
                <c:pt idx="95">
                  <c:v>119.8790169889158</c:v>
                </c:pt>
                <c:pt idx="96">
                  <c:v>120.15206905559592</c:v>
                </c:pt>
                <c:pt idx="97">
                  <c:v>120.40007430161195</c:v>
                </c:pt>
                <c:pt idx="98">
                  <c:v>120.62268353604233</c:v>
                </c:pt>
                <c:pt idx="99">
                  <c:v>120.81954756796551</c:v>
                </c:pt>
                <c:pt idx="100">
                  <c:v>120.99031720645989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Công suất động cơ theo vận tốc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Số 1</c:v>
          </c:tx>
          <c:marker>
            <c:symbol val="none"/>
          </c:marker>
          <c:xVal>
            <c:numRef>
              <c:f>Luc_keo!$E$2:$E$202</c:f>
              <c:numCache>
                <c:formatCode>General</c:formatCode>
                <c:ptCount val="201"/>
                <c:pt idx="0">
                  <c:v>4.639804639804639</c:v>
                </c:pt>
                <c:pt idx="1">
                  <c:v>4.692002442002441</c:v>
                </c:pt>
                <c:pt idx="2">
                  <c:v>4.744200244200244</c:v>
                </c:pt>
                <c:pt idx="3">
                  <c:v>4.796398046398046</c:v>
                </c:pt>
                <c:pt idx="4">
                  <c:v>4.848595848595849</c:v>
                </c:pt>
                <c:pt idx="5">
                  <c:v>4.900793650793651</c:v>
                </c:pt>
                <c:pt idx="6">
                  <c:v>4.952991452991452</c:v>
                </c:pt>
                <c:pt idx="7">
                  <c:v>5.005189255189254</c:v>
                </c:pt>
                <c:pt idx="8">
                  <c:v>5.057387057387056</c:v>
                </c:pt>
                <c:pt idx="9">
                  <c:v>5.109584859584859</c:v>
                </c:pt>
                <c:pt idx="10">
                  <c:v>5.161782661782661</c:v>
                </c:pt>
                <c:pt idx="11">
                  <c:v>5.213980463980464</c:v>
                </c:pt>
                <c:pt idx="12">
                  <c:v>5.266178266178266</c:v>
                </c:pt>
                <c:pt idx="13">
                  <c:v>5.318376068376068</c:v>
                </c:pt>
                <c:pt idx="14">
                  <c:v>5.37057387057387</c:v>
                </c:pt>
                <c:pt idx="15">
                  <c:v>5.422771672771673</c:v>
                </c:pt>
                <c:pt idx="16">
                  <c:v>5.474969474969475</c:v>
                </c:pt>
                <c:pt idx="17">
                  <c:v>5.527167277167278</c:v>
                </c:pt>
                <c:pt idx="18">
                  <c:v>5.57936507936508</c:v>
                </c:pt>
                <c:pt idx="19">
                  <c:v>5.631562881562882</c:v>
                </c:pt>
                <c:pt idx="20">
                  <c:v>5.683760683760684</c:v>
                </c:pt>
                <c:pt idx="21">
                  <c:v>5.735958485958485</c:v>
                </c:pt>
                <c:pt idx="22">
                  <c:v>5.788156288156289</c:v>
                </c:pt>
                <c:pt idx="23">
                  <c:v>5.84035409035409</c:v>
                </c:pt>
                <c:pt idx="24">
                  <c:v>5.892551892551892</c:v>
                </c:pt>
                <c:pt idx="25">
                  <c:v>5.944749694749694</c:v>
                </c:pt>
                <c:pt idx="26">
                  <c:v>5.996947496947497</c:v>
                </c:pt>
                <c:pt idx="27">
                  <c:v>6.049145299145299</c:v>
                </c:pt>
                <c:pt idx="28">
                  <c:v>6.101343101343102</c:v>
                </c:pt>
                <c:pt idx="29">
                  <c:v>6.153540903540904</c:v>
                </c:pt>
                <c:pt idx="30">
                  <c:v>6.205738705738706</c:v>
                </c:pt>
                <c:pt idx="31">
                  <c:v>6.257936507936508</c:v>
                </c:pt>
                <c:pt idx="32">
                  <c:v>6.310134310134311</c:v>
                </c:pt>
                <c:pt idx="33">
                  <c:v>6.362332112332113</c:v>
                </c:pt>
                <c:pt idx="34">
                  <c:v>6.414529914529915</c:v>
                </c:pt>
                <c:pt idx="35">
                  <c:v>6.466727716727717</c:v>
                </c:pt>
                <c:pt idx="36">
                  <c:v>6.518925518925519</c:v>
                </c:pt>
                <c:pt idx="37">
                  <c:v>6.571123321123321</c:v>
                </c:pt>
                <c:pt idx="38">
                  <c:v>6.623321123321123</c:v>
                </c:pt>
                <c:pt idx="39">
                  <c:v>6.675518925518925</c:v>
                </c:pt>
                <c:pt idx="40">
                  <c:v>6.727716727716727</c:v>
                </c:pt>
                <c:pt idx="41">
                  <c:v>6.779914529914531</c:v>
                </c:pt>
                <c:pt idx="42">
                  <c:v>6.832112332112331</c:v>
                </c:pt>
                <c:pt idx="43">
                  <c:v>6.884310134310134</c:v>
                </c:pt>
                <c:pt idx="44">
                  <c:v>6.936507936507936</c:v>
                </c:pt>
                <c:pt idx="45">
                  <c:v>6.988705738705738</c:v>
                </c:pt>
                <c:pt idx="46">
                  <c:v>7.040903540903541</c:v>
                </c:pt>
                <c:pt idx="47">
                  <c:v>7.093101343101343</c:v>
                </c:pt>
                <c:pt idx="48">
                  <c:v>7.145299145299145</c:v>
                </c:pt>
                <c:pt idx="49">
                  <c:v>7.197496947496947</c:v>
                </c:pt>
                <c:pt idx="50">
                  <c:v>7.24969474969475</c:v>
                </c:pt>
                <c:pt idx="51">
                  <c:v>7.301892551892552</c:v>
                </c:pt>
                <c:pt idx="52">
                  <c:v>7.354090354090354</c:v>
                </c:pt>
                <c:pt idx="53">
                  <c:v>7.406288156288156</c:v>
                </c:pt>
                <c:pt idx="54">
                  <c:v>7.458485958485958</c:v>
                </c:pt>
                <c:pt idx="55">
                  <c:v>7.51068376068376</c:v>
                </c:pt>
                <c:pt idx="56">
                  <c:v>7.562881562881562</c:v>
                </c:pt>
                <c:pt idx="57">
                  <c:v>7.615079365079366</c:v>
                </c:pt>
                <c:pt idx="58">
                  <c:v>7.667277167277168</c:v>
                </c:pt>
                <c:pt idx="59">
                  <c:v>7.719474969474968</c:v>
                </c:pt>
                <c:pt idx="60">
                  <c:v>7.771672771672772</c:v>
                </c:pt>
                <c:pt idx="61">
                  <c:v>7.823870573870574</c:v>
                </c:pt>
                <c:pt idx="62">
                  <c:v>7.876068376068377</c:v>
                </c:pt>
                <c:pt idx="63">
                  <c:v>7.928266178266178</c:v>
                </c:pt>
                <c:pt idx="64">
                  <c:v>7.98046398046398</c:v>
                </c:pt>
                <c:pt idx="65">
                  <c:v>8.032661782661782</c:v>
                </c:pt>
                <c:pt idx="66">
                  <c:v>8.084859584859585</c:v>
                </c:pt>
                <c:pt idx="67">
                  <c:v>8.137057387057386</c:v>
                </c:pt>
                <c:pt idx="68">
                  <c:v>8.189255189255189</c:v>
                </c:pt>
                <c:pt idx="69">
                  <c:v>8.241452991452991</c:v>
                </c:pt>
                <c:pt idx="70">
                  <c:v>8.293650793650793</c:v>
                </c:pt>
                <c:pt idx="71">
                  <c:v>8.345848595848596</c:v>
                </c:pt>
                <c:pt idx="72">
                  <c:v>8.398046398046397</c:v>
                </c:pt>
                <c:pt idx="73">
                  <c:v>8.450244200244201</c:v>
                </c:pt>
                <c:pt idx="74">
                  <c:v>8.502442002442</c:v>
                </c:pt>
                <c:pt idx="75">
                  <c:v>8.554639804639805</c:v>
                </c:pt>
                <c:pt idx="76">
                  <c:v>8.606837606837606</c:v>
                </c:pt>
                <c:pt idx="77">
                  <c:v>8.65903540903541</c:v>
                </c:pt>
                <c:pt idx="78">
                  <c:v>8.71123321123321</c:v>
                </c:pt>
                <c:pt idx="79">
                  <c:v>8.763431013431013</c:v>
                </c:pt>
                <c:pt idx="80">
                  <c:v>8.815628815628815</c:v>
                </c:pt>
                <c:pt idx="81">
                  <c:v>8.86782661782662</c:v>
                </c:pt>
                <c:pt idx="82">
                  <c:v>8.920024420024419</c:v>
                </c:pt>
                <c:pt idx="83">
                  <c:v>8.972222222222223</c:v>
                </c:pt>
                <c:pt idx="84">
                  <c:v>9.024420024420024</c:v>
                </c:pt>
                <c:pt idx="85">
                  <c:v>9.076617826617825</c:v>
                </c:pt>
                <c:pt idx="86">
                  <c:v>9.128815628815628</c:v>
                </c:pt>
                <c:pt idx="87">
                  <c:v>9.181013431013431</c:v>
                </c:pt>
                <c:pt idx="88">
                  <c:v>9.233211233211234</c:v>
                </c:pt>
                <c:pt idx="89">
                  <c:v>9.285409035409035</c:v>
                </c:pt>
                <c:pt idx="90">
                  <c:v>9.337606837606836</c:v>
                </c:pt>
                <c:pt idx="91">
                  <c:v>9.389804639804641</c:v>
                </c:pt>
                <c:pt idx="92">
                  <c:v>9.442002442002442</c:v>
                </c:pt>
                <c:pt idx="93">
                  <c:v>9.494200244200243</c:v>
                </c:pt>
                <c:pt idx="94">
                  <c:v>9.546398046398046</c:v>
                </c:pt>
                <c:pt idx="95">
                  <c:v>9.59859584859585</c:v>
                </c:pt>
                <c:pt idx="96">
                  <c:v>9.650793650793652</c:v>
                </c:pt>
                <c:pt idx="97">
                  <c:v>9.702991452991453</c:v>
                </c:pt>
                <c:pt idx="98">
                  <c:v>9.755189255189254</c:v>
                </c:pt>
                <c:pt idx="99">
                  <c:v>9.807387057387059</c:v>
                </c:pt>
                <c:pt idx="100">
                  <c:v>9.859584859584858</c:v>
                </c:pt>
                <c:pt idx="101">
                  <c:v>9.911782661782663</c:v>
                </c:pt>
                <c:pt idx="102">
                  <c:v>9.963980463980464</c:v>
                </c:pt>
                <c:pt idx="103">
                  <c:v>10.016178266178267</c:v>
                </c:pt>
                <c:pt idx="104">
                  <c:v>10.068376068376068</c:v>
                </c:pt>
                <c:pt idx="105">
                  <c:v>10.12057387057387</c:v>
                </c:pt>
                <c:pt idx="106">
                  <c:v>10.172771672771672</c:v>
                </c:pt>
                <c:pt idx="107">
                  <c:v>10.224969474969475</c:v>
                </c:pt>
                <c:pt idx="108">
                  <c:v>10.277167277167276</c:v>
                </c:pt>
                <c:pt idx="109">
                  <c:v>10.329365079365079</c:v>
                </c:pt>
                <c:pt idx="110">
                  <c:v>10.381562881562882</c:v>
                </c:pt>
                <c:pt idx="111">
                  <c:v>10.433760683760683</c:v>
                </c:pt>
                <c:pt idx="112">
                  <c:v>10.485958485958486</c:v>
                </c:pt>
                <c:pt idx="113">
                  <c:v>10.538156288156287</c:v>
                </c:pt>
                <c:pt idx="114">
                  <c:v>10.590354090354092</c:v>
                </c:pt>
                <c:pt idx="115">
                  <c:v>10.642551892551891</c:v>
                </c:pt>
                <c:pt idx="116">
                  <c:v>10.694749694749694</c:v>
                </c:pt>
                <c:pt idx="117">
                  <c:v>10.746947496947495</c:v>
                </c:pt>
                <c:pt idx="118">
                  <c:v>10.7991452991453</c:v>
                </c:pt>
                <c:pt idx="119">
                  <c:v>10.8513431013431</c:v>
                </c:pt>
                <c:pt idx="120">
                  <c:v>10.903540903540904</c:v>
                </c:pt>
                <c:pt idx="121">
                  <c:v>10.955738705738705</c:v>
                </c:pt>
                <c:pt idx="122">
                  <c:v>11.007936507936506</c:v>
                </c:pt>
                <c:pt idx="123">
                  <c:v>11.060134310134309</c:v>
                </c:pt>
                <c:pt idx="124">
                  <c:v>11.112332112332114</c:v>
                </c:pt>
                <c:pt idx="125">
                  <c:v>11.164529914529915</c:v>
                </c:pt>
                <c:pt idx="126">
                  <c:v>11.216727716727716</c:v>
                </c:pt>
                <c:pt idx="127">
                  <c:v>11.268925518925519</c:v>
                </c:pt>
                <c:pt idx="128">
                  <c:v>11.32112332112332</c:v>
                </c:pt>
                <c:pt idx="129">
                  <c:v>11.373321123321123</c:v>
                </c:pt>
                <c:pt idx="130">
                  <c:v>11.425518925518924</c:v>
                </c:pt>
                <c:pt idx="131">
                  <c:v>11.477716727716727</c:v>
                </c:pt>
                <c:pt idx="132">
                  <c:v>11.52991452991453</c:v>
                </c:pt>
                <c:pt idx="133">
                  <c:v>11.582112332112333</c:v>
                </c:pt>
                <c:pt idx="134">
                  <c:v>11.634310134310134</c:v>
                </c:pt>
                <c:pt idx="135">
                  <c:v>11.686507936507937</c:v>
                </c:pt>
                <c:pt idx="136">
                  <c:v>11.73870573870574</c:v>
                </c:pt>
                <c:pt idx="137">
                  <c:v>11.79090354090354</c:v>
                </c:pt>
                <c:pt idx="138">
                  <c:v>11.843101343101344</c:v>
                </c:pt>
                <c:pt idx="139">
                  <c:v>11.895299145299147</c:v>
                </c:pt>
                <c:pt idx="140">
                  <c:v>11.947496947496948</c:v>
                </c:pt>
                <c:pt idx="141">
                  <c:v>11.999694749694747</c:v>
                </c:pt>
                <c:pt idx="142">
                  <c:v>12.051892551892552</c:v>
                </c:pt>
                <c:pt idx="143">
                  <c:v>12.104090354090353</c:v>
                </c:pt>
                <c:pt idx="144">
                  <c:v>12.156288156288158</c:v>
                </c:pt>
                <c:pt idx="145">
                  <c:v>12.208485958485957</c:v>
                </c:pt>
                <c:pt idx="146">
                  <c:v>12.260683760683762</c:v>
                </c:pt>
                <c:pt idx="147">
                  <c:v>12.312881562881563</c:v>
                </c:pt>
                <c:pt idx="148">
                  <c:v>12.365079365079366</c:v>
                </c:pt>
                <c:pt idx="149">
                  <c:v>12.417277167277167</c:v>
                </c:pt>
                <c:pt idx="150">
                  <c:v>12.46947496947497</c:v>
                </c:pt>
                <c:pt idx="151">
                  <c:v>12.52167277167277</c:v>
                </c:pt>
                <c:pt idx="152">
                  <c:v>12.573870573870574</c:v>
                </c:pt>
                <c:pt idx="153">
                  <c:v>12.626068376068375</c:v>
                </c:pt>
                <c:pt idx="154">
                  <c:v>12.678266178266178</c:v>
                </c:pt>
                <c:pt idx="155">
                  <c:v>12.73046398046398</c:v>
                </c:pt>
                <c:pt idx="156">
                  <c:v>12.782661782661782</c:v>
                </c:pt>
                <c:pt idx="157">
                  <c:v>12.834859584859585</c:v>
                </c:pt>
                <c:pt idx="158">
                  <c:v>12.887057387057387</c:v>
                </c:pt>
                <c:pt idx="159">
                  <c:v>12.93925518925519</c:v>
                </c:pt>
                <c:pt idx="160">
                  <c:v>12.99145299145299</c:v>
                </c:pt>
                <c:pt idx="161">
                  <c:v>13.043650793650794</c:v>
                </c:pt>
                <c:pt idx="162">
                  <c:v>13.095848595848597</c:v>
                </c:pt>
                <c:pt idx="163">
                  <c:v>13.148046398046398</c:v>
                </c:pt>
                <c:pt idx="164">
                  <c:v>13.200244200244198</c:v>
                </c:pt>
                <c:pt idx="165">
                  <c:v>13.252442002442002</c:v>
                </c:pt>
                <c:pt idx="166">
                  <c:v>13.304639804639804</c:v>
                </c:pt>
                <c:pt idx="167">
                  <c:v>13.356837606837605</c:v>
                </c:pt>
                <c:pt idx="168">
                  <c:v>13.409035409035408</c:v>
                </c:pt>
                <c:pt idx="169">
                  <c:v>13.461233211233212</c:v>
                </c:pt>
                <c:pt idx="170">
                  <c:v>13.513431013431013</c:v>
                </c:pt>
                <c:pt idx="171">
                  <c:v>13.565628815628815</c:v>
                </c:pt>
                <c:pt idx="172">
                  <c:v>13.617826617826617</c:v>
                </c:pt>
                <c:pt idx="173">
                  <c:v>13.670024420024422</c:v>
                </c:pt>
                <c:pt idx="174">
                  <c:v>13.722222222222221</c:v>
                </c:pt>
                <c:pt idx="175">
                  <c:v>13.774420024420024</c:v>
                </c:pt>
                <c:pt idx="176">
                  <c:v>13.826617826617825</c:v>
                </c:pt>
                <c:pt idx="177">
                  <c:v>13.878815628815628</c:v>
                </c:pt>
                <c:pt idx="178">
                  <c:v>13.93101343101343</c:v>
                </c:pt>
                <c:pt idx="179">
                  <c:v>13.983211233211232</c:v>
                </c:pt>
                <c:pt idx="180">
                  <c:v>14.035409035409035</c:v>
                </c:pt>
                <c:pt idx="181">
                  <c:v>14.087606837606838</c:v>
                </c:pt>
                <c:pt idx="182">
                  <c:v>14.13980463980464</c:v>
                </c:pt>
                <c:pt idx="183">
                  <c:v>14.192002442002442</c:v>
                </c:pt>
                <c:pt idx="184">
                  <c:v>14.244200244200245</c:v>
                </c:pt>
                <c:pt idx="185">
                  <c:v>14.296398046398048</c:v>
                </c:pt>
                <c:pt idx="186">
                  <c:v>14.34859584859585</c:v>
                </c:pt>
                <c:pt idx="187">
                  <c:v>14.400793650793648</c:v>
                </c:pt>
                <c:pt idx="188">
                  <c:v>14.452991452991451</c:v>
                </c:pt>
                <c:pt idx="189">
                  <c:v>14.505189255189253</c:v>
                </c:pt>
                <c:pt idx="190">
                  <c:v>14.557387057387055</c:v>
                </c:pt>
                <c:pt idx="191">
                  <c:v>14.60958485958486</c:v>
                </c:pt>
                <c:pt idx="192">
                  <c:v>14.661782661782663</c:v>
                </c:pt>
                <c:pt idx="193">
                  <c:v>14.713980463980464</c:v>
                </c:pt>
                <c:pt idx="194">
                  <c:v>14.766178266178267</c:v>
                </c:pt>
                <c:pt idx="195">
                  <c:v>14.818376068376068</c:v>
                </c:pt>
                <c:pt idx="196">
                  <c:v>14.870573870573871</c:v>
                </c:pt>
                <c:pt idx="197">
                  <c:v>14.922771672771672</c:v>
                </c:pt>
                <c:pt idx="198">
                  <c:v>14.974969474969475</c:v>
                </c:pt>
                <c:pt idx="199">
                  <c:v>15.027167277167276</c:v>
                </c:pt>
                <c:pt idx="200">
                  <c:v>15.079365079365076</c:v>
                </c:pt>
              </c:numCache>
            </c:numRef>
          </c:xVal>
          <c:yVal>
            <c:numRef>
              <c:f>Luc_keo!$F$2:$F$202</c:f>
              <c:numCache>
                <c:formatCode>General</c:formatCode>
                <c:ptCount val="201"/>
                <c:pt idx="0">
                  <c:v>31.210277899168606</c:v>
                </c:pt>
                <c:pt idx="1">
                  <c:v>31.67244546633681</c:v>
                </c:pt>
                <c:pt idx="2">
                  <c:v>32.13620168192096</c:v>
                </c:pt>
                <c:pt idx="3">
                  <c:v>32.60151742609266</c:v>
                </c:pt>
                <c:pt idx="4">
                  <c:v>33.068363579023526</c:v>
                </c:pt>
                <c:pt idx="5">
                  <c:v>33.53671102088513</c:v>
                </c:pt>
                <c:pt idx="6">
                  <c:v>34.006530631849095</c:v>
                </c:pt>
                <c:pt idx="7">
                  <c:v>34.47779329208702</c:v>
                </c:pt>
                <c:pt idx="8">
                  <c:v>34.9504698817705</c:v>
                </c:pt>
                <c:pt idx="9">
                  <c:v>35.42453128107114</c:v>
                </c:pt>
                <c:pt idx="10">
                  <c:v>35.89994837016054</c:v>
                </c:pt>
                <c:pt idx="11">
                  <c:v>36.37669202921032</c:v>
                </c:pt>
                <c:pt idx="12">
                  <c:v>36.854733138392056</c:v>
                </c:pt>
                <c:pt idx="13">
                  <c:v>37.33404257787736</c:v>
                </c:pt>
                <c:pt idx="14">
                  <c:v>37.81459122783783</c:v>
                </c:pt>
                <c:pt idx="15">
                  <c:v>38.29634996844507</c:v>
                </c:pt>
                <c:pt idx="16">
                  <c:v>38.7792896798707</c:v>
                </c:pt>
                <c:pt idx="17">
                  <c:v>39.26338124228629</c:v>
                </c:pt>
                <c:pt idx="18">
                  <c:v>39.74859553586345</c:v>
                </c:pt>
                <c:pt idx="19">
                  <c:v>40.234903440773806</c:v>
                </c:pt>
                <c:pt idx="20">
                  <c:v>40.72227583718894</c:v>
                </c:pt>
                <c:pt idx="21">
                  <c:v>41.210683605280444</c:v>
                </c:pt>
                <c:pt idx="22">
                  <c:v>41.70009762521995</c:v>
                </c:pt>
                <c:pt idx="23">
                  <c:v>42.19048877717902</c:v>
                </c:pt>
                <c:pt idx="24">
                  <c:v>42.681827941329296</c:v>
                </c:pt>
                <c:pt idx="25">
                  <c:v>43.17408599784235</c:v>
                </c:pt>
                <c:pt idx="26">
                  <c:v>43.667233826889785</c:v>
                </c:pt>
                <c:pt idx="27">
                  <c:v>44.161242308643224</c:v>
                </c:pt>
                <c:pt idx="28">
                  <c:v>44.65608232327426</c:v>
                </c:pt>
                <c:pt idx="29">
                  <c:v>45.151724750954486</c:v>
                </c:pt>
                <c:pt idx="30">
                  <c:v>45.64814047185552</c:v>
                </c:pt>
                <c:pt idx="31">
                  <c:v>46.14530036614894</c:v>
                </c:pt>
                <c:pt idx="32">
                  <c:v>46.64317531400637</c:v>
                </c:pt>
                <c:pt idx="33">
                  <c:v>47.1417361955994</c:v>
                </c:pt>
                <c:pt idx="34">
                  <c:v>47.64095389109963</c:v>
                </c:pt>
                <c:pt idx="35">
                  <c:v>48.14079928067868</c:v>
                </c:pt>
                <c:pt idx="36">
                  <c:v>48.64124324450813</c:v>
                </c:pt>
                <c:pt idx="37">
                  <c:v>49.1422566627596</c:v>
                </c:pt>
                <c:pt idx="38">
                  <c:v>49.643810415604676</c:v>
                </c:pt>
                <c:pt idx="39">
                  <c:v>50.14587538321496</c:v>
                </c:pt>
                <c:pt idx="40">
                  <c:v>50.648422445762066</c:v>
                </c:pt>
                <c:pt idx="41">
                  <c:v>51.151422483417576</c:v>
                </c:pt>
                <c:pt idx="42">
                  <c:v>51.65484637635312</c:v>
                </c:pt>
                <c:pt idx="43">
                  <c:v>52.15866500474027</c:v>
                </c:pt>
                <c:pt idx="44">
                  <c:v>52.66284924875066</c:v>
                </c:pt>
                <c:pt idx="45">
                  <c:v>53.16736998855586</c:v>
                </c:pt>
                <c:pt idx="46">
                  <c:v>53.67219810432749</c:v>
                </c:pt>
                <c:pt idx="47">
                  <c:v>54.177304476237154</c:v>
                </c:pt>
                <c:pt idx="48">
                  <c:v>54.682659984456436</c:v>
                </c:pt>
                <c:pt idx="49">
                  <c:v>55.188235509156954</c:v>
                </c:pt>
                <c:pt idx="50">
                  <c:v>55.69400193051032</c:v>
                </c:pt>
                <c:pt idx="51">
                  <c:v>56.199930128688095</c:v>
                </c:pt>
                <c:pt idx="52">
                  <c:v>56.70599098386193</c:v>
                </c:pt>
                <c:pt idx="53">
                  <c:v>57.212155376203384</c:v>
                </c:pt>
                <c:pt idx="54">
                  <c:v>57.71839418588409</c:v>
                </c:pt>
                <c:pt idx="55">
                  <c:v>58.22467829307563</c:v>
                </c:pt>
                <c:pt idx="56">
                  <c:v>58.73097857794961</c:v>
                </c:pt>
                <c:pt idx="57">
                  <c:v>59.23726592067765</c:v>
                </c:pt>
                <c:pt idx="58">
                  <c:v>59.74351120143131</c:v>
                </c:pt>
                <c:pt idx="59">
                  <c:v>60.24968530038224</c:v>
                </c:pt>
                <c:pt idx="60">
                  <c:v>60.75575909770202</c:v>
                </c:pt>
                <c:pt idx="61">
                  <c:v>61.26170347356226</c:v>
                </c:pt>
                <c:pt idx="62">
                  <c:v>61.76748930813455</c:v>
                </c:pt>
                <c:pt idx="63">
                  <c:v>62.27308748159049</c:v>
                </c:pt>
                <c:pt idx="64">
                  <c:v>62.778468874101684</c:v>
                </c:pt>
                <c:pt idx="65">
                  <c:v>63.28360436583975</c:v>
                </c:pt>
                <c:pt idx="66">
                  <c:v>63.78846483697627</c:v>
                </c:pt>
                <c:pt idx="67">
                  <c:v>64.29302116768284</c:v>
                </c:pt>
                <c:pt idx="68">
                  <c:v>64.79724423813109</c:v>
                </c:pt>
                <c:pt idx="69">
                  <c:v>65.30110492849258</c:v>
                </c:pt>
                <c:pt idx="70">
                  <c:v>65.80457411893899</c:v>
                </c:pt>
                <c:pt idx="71">
                  <c:v>66.30762268964183</c:v>
                </c:pt>
                <c:pt idx="72">
                  <c:v>66.81022152077274</c:v>
                </c:pt>
                <c:pt idx="73">
                  <c:v>67.31234149250334</c:v>
                </c:pt>
                <c:pt idx="74">
                  <c:v>67.81395348500523</c:v>
                </c:pt>
                <c:pt idx="75">
                  <c:v>68.31502837844995</c:v>
                </c:pt>
                <c:pt idx="76">
                  <c:v>68.8155370530092</c:v>
                </c:pt>
                <c:pt idx="77">
                  <c:v>69.31545038885447</c:v>
                </c:pt>
                <c:pt idx="78">
                  <c:v>69.81473926615747</c:v>
                </c:pt>
                <c:pt idx="79">
                  <c:v>70.31337456508975</c:v>
                </c:pt>
                <c:pt idx="80">
                  <c:v>70.81132716582292</c:v>
                </c:pt>
                <c:pt idx="81">
                  <c:v>71.30856794852853</c:v>
                </c:pt>
                <c:pt idx="82">
                  <c:v>71.80506779337827</c:v>
                </c:pt>
                <c:pt idx="83">
                  <c:v>72.3007975805437</c:v>
                </c:pt>
                <c:pt idx="84">
                  <c:v>72.79572819019643</c:v>
                </c:pt>
                <c:pt idx="85">
                  <c:v>73.28983050250802</c:v>
                </c:pt>
                <c:pt idx="86">
                  <c:v>73.78307539765014</c:v>
                </c:pt>
                <c:pt idx="87">
                  <c:v>74.27543375579434</c:v>
                </c:pt>
                <c:pt idx="88">
                  <c:v>74.76687645711225</c:v>
                </c:pt>
                <c:pt idx="89">
                  <c:v>75.25737438177545</c:v>
                </c:pt>
                <c:pt idx="90">
                  <c:v>75.74689840995556</c:v>
                </c:pt>
                <c:pt idx="91">
                  <c:v>76.23541942182418</c:v>
                </c:pt>
                <c:pt idx="92">
                  <c:v>76.7229082975529</c:v>
                </c:pt>
                <c:pt idx="93">
                  <c:v>77.20933591731331</c:v>
                </c:pt>
                <c:pt idx="94">
                  <c:v>77.69467316127707</c:v>
                </c:pt>
                <c:pt idx="95">
                  <c:v>78.17889090961572</c:v>
                </c:pt>
                <c:pt idx="96">
                  <c:v>78.66196004250087</c:v>
                </c:pt>
                <c:pt idx="97">
                  <c:v>79.14385144010419</c:v>
                </c:pt>
                <c:pt idx="98">
                  <c:v>79.62453598259717</c:v>
                </c:pt>
                <c:pt idx="99">
                  <c:v>80.1039845501515</c:v>
                </c:pt>
                <c:pt idx="100">
                  <c:v>80.58216802293873</c:v>
                </c:pt>
                <c:pt idx="101">
                  <c:v>81.05905728113048</c:v>
                </c:pt>
                <c:pt idx="102">
                  <c:v>81.53462320489838</c:v>
                </c:pt>
                <c:pt idx="103">
                  <c:v>82.00883667441398</c:v>
                </c:pt>
                <c:pt idx="104">
                  <c:v>82.4816685698489</c:v>
                </c:pt>
                <c:pt idx="105">
                  <c:v>82.95308977137479</c:v>
                </c:pt>
                <c:pt idx="106">
                  <c:v>83.42307115916319</c:v>
                </c:pt>
                <c:pt idx="107">
                  <c:v>83.8915836133857</c:v>
                </c:pt>
                <c:pt idx="108">
                  <c:v>84.35859801421401</c:v>
                </c:pt>
                <c:pt idx="109">
                  <c:v>84.82408524181962</c:v>
                </c:pt>
                <c:pt idx="110">
                  <c:v>85.28801617637414</c:v>
                </c:pt>
                <c:pt idx="111">
                  <c:v>85.75036169804922</c:v>
                </c:pt>
                <c:pt idx="112">
                  <c:v>86.21109268701645</c:v>
                </c:pt>
                <c:pt idx="113">
                  <c:v>86.67018002344741</c:v>
                </c:pt>
                <c:pt idx="114">
                  <c:v>87.12759458751373</c:v>
                </c:pt>
                <c:pt idx="115">
                  <c:v>87.58330725938698</c:v>
                </c:pt>
                <c:pt idx="116">
                  <c:v>88.03728891923879</c:v>
                </c:pt>
                <c:pt idx="117">
                  <c:v>88.48951044724076</c:v>
                </c:pt>
                <c:pt idx="118">
                  <c:v>88.93994272356449</c:v>
                </c:pt>
                <c:pt idx="119">
                  <c:v>89.38855662838155</c:v>
                </c:pt>
                <c:pt idx="120">
                  <c:v>89.83532304186356</c:v>
                </c:pt>
                <c:pt idx="121">
                  <c:v>90.28021284418215</c:v>
                </c:pt>
                <c:pt idx="122">
                  <c:v>90.7231969155089</c:v>
                </c:pt>
                <c:pt idx="123">
                  <c:v>91.16424613601536</c:v>
                </c:pt>
                <c:pt idx="124">
                  <c:v>91.60333138587326</c:v>
                </c:pt>
                <c:pt idx="125">
                  <c:v>92.04042354525409</c:v>
                </c:pt>
                <c:pt idx="126">
                  <c:v>92.47549349432948</c:v>
                </c:pt>
                <c:pt idx="127">
                  <c:v>92.90851211327106</c:v>
                </c:pt>
                <c:pt idx="128">
                  <c:v>93.33945028225037</c:v>
                </c:pt>
                <c:pt idx="129">
                  <c:v>93.76827888143906</c:v>
                </c:pt>
                <c:pt idx="130">
                  <c:v>94.19496879100878</c:v>
                </c:pt>
                <c:pt idx="131">
                  <c:v>94.61949089113101</c:v>
                </c:pt>
                <c:pt idx="132">
                  <c:v>95.04181606197744</c:v>
                </c:pt>
                <c:pt idx="133">
                  <c:v>95.46191518371967</c:v>
                </c:pt>
                <c:pt idx="134">
                  <c:v>95.87975913652924</c:v>
                </c:pt>
                <c:pt idx="135">
                  <c:v>96.29531880057782</c:v>
                </c:pt>
                <c:pt idx="136">
                  <c:v>96.70856505603696</c:v>
                </c:pt>
                <c:pt idx="137">
                  <c:v>97.11946878307835</c:v>
                </c:pt>
                <c:pt idx="138">
                  <c:v>97.52800086187342</c:v>
                </c:pt>
                <c:pt idx="139">
                  <c:v>97.93413217259396</c:v>
                </c:pt>
                <c:pt idx="140">
                  <c:v>98.33783359541148</c:v>
                </c:pt>
                <c:pt idx="141">
                  <c:v>98.7390760104976</c:v>
                </c:pt>
                <c:pt idx="142">
                  <c:v>99.13783029802386</c:v>
                </c:pt>
                <c:pt idx="143">
                  <c:v>99.53406733816198</c:v>
                </c:pt>
                <c:pt idx="144">
                  <c:v>99.92775801108345</c:v>
                </c:pt>
                <c:pt idx="145">
                  <c:v>100.31887319695994</c:v>
                </c:pt>
                <c:pt idx="146">
                  <c:v>100.70738377596304</c:v>
                </c:pt>
                <c:pt idx="147">
                  <c:v>101.09326062826435</c:v>
                </c:pt>
                <c:pt idx="148">
                  <c:v>101.47647463403544</c:v>
                </c:pt>
                <c:pt idx="149">
                  <c:v>101.85699667344795</c:v>
                </c:pt>
                <c:pt idx="150">
                  <c:v>102.23479762667348</c:v>
                </c:pt>
                <c:pt idx="151">
                  <c:v>102.60984837388361</c:v>
                </c:pt>
                <c:pt idx="152">
                  <c:v>102.98211979524993</c:v>
                </c:pt>
                <c:pt idx="153">
                  <c:v>103.35158277094412</c:v>
                </c:pt>
                <c:pt idx="154">
                  <c:v>103.71820818113765</c:v>
                </c:pt>
                <c:pt idx="155">
                  <c:v>104.08196690600225</c:v>
                </c:pt>
                <c:pt idx="156">
                  <c:v>104.44282982570947</c:v>
                </c:pt>
                <c:pt idx="157">
                  <c:v>104.80076782043088</c:v>
                </c:pt>
                <c:pt idx="158">
                  <c:v>105.15575177033813</c:v>
                </c:pt>
                <c:pt idx="159">
                  <c:v>105.5077525556028</c:v>
                </c:pt>
                <c:pt idx="160">
                  <c:v>105.85674105639652</c:v>
                </c:pt>
                <c:pt idx="161">
                  <c:v>106.20268815289084</c:v>
                </c:pt>
                <c:pt idx="162">
                  <c:v>106.54556472525739</c:v>
                </c:pt>
                <c:pt idx="163">
                  <c:v>106.88534165366778</c:v>
                </c:pt>
                <c:pt idx="164">
                  <c:v>107.22198981829357</c:v>
                </c:pt>
                <c:pt idx="165">
                  <c:v>107.55548009930645</c:v>
                </c:pt>
                <c:pt idx="166">
                  <c:v>107.88578337687797</c:v>
                </c:pt>
                <c:pt idx="167">
                  <c:v>108.21287053117969</c:v>
                </c:pt>
                <c:pt idx="168">
                  <c:v>108.53671244238325</c:v>
                </c:pt>
                <c:pt idx="169">
                  <c:v>108.8572799906603</c:v>
                </c:pt>
                <c:pt idx="170">
                  <c:v>109.17454405618234</c:v>
                </c:pt>
                <c:pt idx="171">
                  <c:v>109.48847551912104</c:v>
                </c:pt>
                <c:pt idx="172">
                  <c:v>109.799045259648</c:v>
                </c:pt>
                <c:pt idx="173">
                  <c:v>110.1062241579348</c:v>
                </c:pt>
                <c:pt idx="174">
                  <c:v>110.40998309415305</c:v>
                </c:pt>
                <c:pt idx="175">
                  <c:v>110.71029294847435</c:v>
                </c:pt>
                <c:pt idx="176">
                  <c:v>111.0071246010703</c:v>
                </c:pt>
                <c:pt idx="177">
                  <c:v>111.30044893211249</c:v>
                </c:pt>
                <c:pt idx="178">
                  <c:v>111.59023682177258</c:v>
                </c:pt>
                <c:pt idx="179">
                  <c:v>111.87645915022212</c:v>
                </c:pt>
                <c:pt idx="180">
                  <c:v>112.1590867976327</c:v>
                </c:pt>
                <c:pt idx="181">
                  <c:v>112.43809064417597</c:v>
                </c:pt>
                <c:pt idx="182">
                  <c:v>112.71344157002348</c:v>
                </c:pt>
                <c:pt idx="183">
                  <c:v>112.98511045534687</c:v>
                </c:pt>
                <c:pt idx="184">
                  <c:v>113.25306818031773</c:v>
                </c:pt>
                <c:pt idx="185">
                  <c:v>113.51728562510766</c:v>
                </c:pt>
                <c:pt idx="186">
                  <c:v>113.77773366988825</c:v>
                </c:pt>
                <c:pt idx="187">
                  <c:v>114.03438319483111</c:v>
                </c:pt>
                <c:pt idx="188">
                  <c:v>114.28720508010785</c:v>
                </c:pt>
                <c:pt idx="189">
                  <c:v>114.5361702058901</c:v>
                </c:pt>
                <c:pt idx="190">
                  <c:v>114.78124945234941</c:v>
                </c:pt>
                <c:pt idx="191">
                  <c:v>115.02241369965739</c:v>
                </c:pt>
                <c:pt idx="192">
                  <c:v>115.25963382798565</c:v>
                </c:pt>
                <c:pt idx="193">
                  <c:v>115.49288071750577</c:v>
                </c:pt>
                <c:pt idx="194">
                  <c:v>115.72212524838945</c:v>
                </c:pt>
                <c:pt idx="195">
                  <c:v>115.94733830080816</c:v>
                </c:pt>
                <c:pt idx="196">
                  <c:v>116.16849075493356</c:v>
                </c:pt>
                <c:pt idx="197">
                  <c:v>116.38555349093728</c:v>
                </c:pt>
                <c:pt idx="198">
                  <c:v>116.59849738899089</c:v>
                </c:pt>
                <c:pt idx="199">
                  <c:v>116.80729332926596</c:v>
                </c:pt>
                <c:pt idx="200">
                  <c:v>117.01191219193416</c:v>
                </c:pt>
              </c:numCache>
            </c:numRef>
          </c:yVal>
        </c:ser>
        <c:ser>
          <c:idx val="1"/>
          <c:order val="1"/>
          <c:tx>
            <c:v>Số 2</c:v>
          </c:tx>
          <c:marker>
            <c:symbol val="none"/>
          </c:marker>
          <c:xVal>
            <c:numRef>
              <c:f>Luc_keo!$E$203:$E$403</c:f>
              <c:numCache>
                <c:formatCode>General</c:formatCode>
                <c:ptCount val="201"/>
                <c:pt idx="0">
                  <c:v>7.546997477962866</c:v>
                </c:pt>
                <c:pt idx="1">
                  <c:v>7.631901199589947</c:v>
                </c:pt>
                <c:pt idx="2">
                  <c:v>7.71680492121703</c:v>
                </c:pt>
                <c:pt idx="3">
                  <c:v>7.801708642844112</c:v>
                </c:pt>
                <c:pt idx="4">
                  <c:v>7.886612364471195</c:v>
                </c:pt>
                <c:pt idx="5">
                  <c:v>7.971516086098276</c:v>
                </c:pt>
                <c:pt idx="6">
                  <c:v>8.056419807725359</c:v>
                </c:pt>
                <c:pt idx="7">
                  <c:v>8.141323529352439</c:v>
                </c:pt>
                <c:pt idx="8">
                  <c:v>8.226227250979521</c:v>
                </c:pt>
                <c:pt idx="9">
                  <c:v>8.311130972606605</c:v>
                </c:pt>
                <c:pt idx="10">
                  <c:v>8.396034694233688</c:v>
                </c:pt>
                <c:pt idx="11">
                  <c:v>8.480938415860772</c:v>
                </c:pt>
                <c:pt idx="12">
                  <c:v>8.565842137487852</c:v>
                </c:pt>
                <c:pt idx="13">
                  <c:v>8.650745859114934</c:v>
                </c:pt>
                <c:pt idx="14">
                  <c:v>8.735649580742015</c:v>
                </c:pt>
                <c:pt idx="15">
                  <c:v>8.820553302369099</c:v>
                </c:pt>
                <c:pt idx="16">
                  <c:v>8.90545702399618</c:v>
                </c:pt>
                <c:pt idx="17">
                  <c:v>8.990360745623265</c:v>
                </c:pt>
                <c:pt idx="18">
                  <c:v>9.075264467250346</c:v>
                </c:pt>
                <c:pt idx="19">
                  <c:v>9.160168188877428</c:v>
                </c:pt>
                <c:pt idx="20">
                  <c:v>9.24507191050451</c:v>
                </c:pt>
                <c:pt idx="21">
                  <c:v>9.32997563213159</c:v>
                </c:pt>
                <c:pt idx="22">
                  <c:v>9.414879353758675</c:v>
                </c:pt>
                <c:pt idx="23">
                  <c:v>9.499783075385755</c:v>
                </c:pt>
                <c:pt idx="24">
                  <c:v>9.58468679701284</c:v>
                </c:pt>
                <c:pt idx="25">
                  <c:v>9.66959051863992</c:v>
                </c:pt>
                <c:pt idx="26">
                  <c:v>9.754494240267004</c:v>
                </c:pt>
                <c:pt idx="27">
                  <c:v>9.839397961894086</c:v>
                </c:pt>
                <c:pt idx="28">
                  <c:v>9.924301683521168</c:v>
                </c:pt>
                <c:pt idx="29">
                  <c:v>10.00920540514825</c:v>
                </c:pt>
                <c:pt idx="30">
                  <c:v>10.094109126775331</c:v>
                </c:pt>
                <c:pt idx="31">
                  <c:v>10.179012848402413</c:v>
                </c:pt>
                <c:pt idx="32">
                  <c:v>10.263916570029497</c:v>
                </c:pt>
                <c:pt idx="33">
                  <c:v>10.34882029165658</c:v>
                </c:pt>
                <c:pt idx="34">
                  <c:v>10.43372401328366</c:v>
                </c:pt>
                <c:pt idx="35">
                  <c:v>10.518627734910744</c:v>
                </c:pt>
                <c:pt idx="36">
                  <c:v>10.603531456537826</c:v>
                </c:pt>
                <c:pt idx="37">
                  <c:v>10.688435178164907</c:v>
                </c:pt>
                <c:pt idx="38">
                  <c:v>10.77333889979199</c:v>
                </c:pt>
                <c:pt idx="39">
                  <c:v>10.858242621419073</c:v>
                </c:pt>
                <c:pt idx="40">
                  <c:v>10.943146343046156</c:v>
                </c:pt>
                <c:pt idx="41">
                  <c:v>11.028050064673238</c:v>
                </c:pt>
                <c:pt idx="42">
                  <c:v>11.112953786300318</c:v>
                </c:pt>
                <c:pt idx="43">
                  <c:v>11.1978575079274</c:v>
                </c:pt>
                <c:pt idx="44">
                  <c:v>11.282761229554483</c:v>
                </c:pt>
                <c:pt idx="45">
                  <c:v>11.367664951181565</c:v>
                </c:pt>
                <c:pt idx="46">
                  <c:v>11.452568672808647</c:v>
                </c:pt>
                <c:pt idx="47">
                  <c:v>11.537472394435731</c:v>
                </c:pt>
                <c:pt idx="48">
                  <c:v>11.622376116062812</c:v>
                </c:pt>
                <c:pt idx="49">
                  <c:v>11.707279837689894</c:v>
                </c:pt>
                <c:pt idx="50">
                  <c:v>11.792183559316976</c:v>
                </c:pt>
                <c:pt idx="51">
                  <c:v>11.877087280944059</c:v>
                </c:pt>
                <c:pt idx="52">
                  <c:v>11.961991002571141</c:v>
                </c:pt>
                <c:pt idx="53">
                  <c:v>12.046894724198223</c:v>
                </c:pt>
                <c:pt idx="54">
                  <c:v>12.131798445825307</c:v>
                </c:pt>
                <c:pt idx="55">
                  <c:v>12.216702167452388</c:v>
                </c:pt>
                <c:pt idx="56">
                  <c:v>12.30160588907947</c:v>
                </c:pt>
                <c:pt idx="57">
                  <c:v>12.386509610706552</c:v>
                </c:pt>
                <c:pt idx="58">
                  <c:v>12.471413332333636</c:v>
                </c:pt>
                <c:pt idx="59">
                  <c:v>12.556317053960715</c:v>
                </c:pt>
                <c:pt idx="60">
                  <c:v>12.641220775587799</c:v>
                </c:pt>
                <c:pt idx="61">
                  <c:v>12.726124497214881</c:v>
                </c:pt>
                <c:pt idx="62">
                  <c:v>12.811028218841965</c:v>
                </c:pt>
                <c:pt idx="63">
                  <c:v>12.895931940469046</c:v>
                </c:pt>
                <c:pt idx="64">
                  <c:v>12.980835662096128</c:v>
                </c:pt>
                <c:pt idx="65">
                  <c:v>13.06573938372321</c:v>
                </c:pt>
                <c:pt idx="66">
                  <c:v>13.150643105350293</c:v>
                </c:pt>
                <c:pt idx="67">
                  <c:v>13.235546826977373</c:v>
                </c:pt>
                <c:pt idx="68">
                  <c:v>13.320450548604455</c:v>
                </c:pt>
                <c:pt idx="69">
                  <c:v>13.405354270231541</c:v>
                </c:pt>
                <c:pt idx="70">
                  <c:v>13.490257991858622</c:v>
                </c:pt>
                <c:pt idx="71">
                  <c:v>13.575161713485704</c:v>
                </c:pt>
                <c:pt idx="72">
                  <c:v>13.660065435112786</c:v>
                </c:pt>
                <c:pt idx="73">
                  <c:v>13.744969156739868</c:v>
                </c:pt>
                <c:pt idx="74">
                  <c:v>13.829872878366949</c:v>
                </c:pt>
                <c:pt idx="75">
                  <c:v>13.914776599994031</c:v>
                </c:pt>
                <c:pt idx="76">
                  <c:v>13.999680321621117</c:v>
                </c:pt>
                <c:pt idx="77">
                  <c:v>14.084584043248197</c:v>
                </c:pt>
                <c:pt idx="78">
                  <c:v>14.16948776487528</c:v>
                </c:pt>
                <c:pt idx="79">
                  <c:v>14.254391486502362</c:v>
                </c:pt>
                <c:pt idx="80">
                  <c:v>14.339295208129444</c:v>
                </c:pt>
                <c:pt idx="81">
                  <c:v>14.424198929756528</c:v>
                </c:pt>
                <c:pt idx="82">
                  <c:v>14.509102651383609</c:v>
                </c:pt>
                <c:pt idx="83">
                  <c:v>14.594006373010691</c:v>
                </c:pt>
                <c:pt idx="84">
                  <c:v>14.678910094637772</c:v>
                </c:pt>
                <c:pt idx="85">
                  <c:v>14.763813816264854</c:v>
                </c:pt>
                <c:pt idx="86">
                  <c:v>14.848717537891936</c:v>
                </c:pt>
                <c:pt idx="87">
                  <c:v>14.93362125951902</c:v>
                </c:pt>
                <c:pt idx="88">
                  <c:v>15.018524981146104</c:v>
                </c:pt>
                <c:pt idx="89">
                  <c:v>15.103428702773183</c:v>
                </c:pt>
                <c:pt idx="90">
                  <c:v>15.188332424400265</c:v>
                </c:pt>
                <c:pt idx="91">
                  <c:v>15.27323614602735</c:v>
                </c:pt>
                <c:pt idx="92">
                  <c:v>15.358139867654431</c:v>
                </c:pt>
                <c:pt idx="93">
                  <c:v>15.443043589281512</c:v>
                </c:pt>
                <c:pt idx="94">
                  <c:v>15.527947310908594</c:v>
                </c:pt>
                <c:pt idx="95">
                  <c:v>15.612851032535676</c:v>
                </c:pt>
                <c:pt idx="96">
                  <c:v>15.69775475416276</c:v>
                </c:pt>
                <c:pt idx="97">
                  <c:v>15.782658475789843</c:v>
                </c:pt>
                <c:pt idx="98">
                  <c:v>15.867562197416923</c:v>
                </c:pt>
                <c:pt idx="99">
                  <c:v>15.952465919044009</c:v>
                </c:pt>
                <c:pt idx="100">
                  <c:v>16.037369640671088</c:v>
                </c:pt>
                <c:pt idx="101">
                  <c:v>16.12227336229817</c:v>
                </c:pt>
                <c:pt idx="102">
                  <c:v>16.207177083925252</c:v>
                </c:pt>
                <c:pt idx="103">
                  <c:v>16.292080805552335</c:v>
                </c:pt>
                <c:pt idx="104">
                  <c:v>16.37698452717942</c:v>
                </c:pt>
                <c:pt idx="105">
                  <c:v>16.4618882488065</c:v>
                </c:pt>
                <c:pt idx="106">
                  <c:v>16.54679197043358</c:v>
                </c:pt>
                <c:pt idx="107">
                  <c:v>16.631695692060664</c:v>
                </c:pt>
                <c:pt idx="108">
                  <c:v>16.716599413687746</c:v>
                </c:pt>
                <c:pt idx="109">
                  <c:v>16.801503135314828</c:v>
                </c:pt>
                <c:pt idx="110">
                  <c:v>16.88640685694191</c:v>
                </c:pt>
                <c:pt idx="111">
                  <c:v>16.971310578568993</c:v>
                </c:pt>
                <c:pt idx="112">
                  <c:v>17.056214300196075</c:v>
                </c:pt>
                <c:pt idx="113">
                  <c:v>17.14111802182316</c:v>
                </c:pt>
                <c:pt idx="114">
                  <c:v>17.226021743450243</c:v>
                </c:pt>
                <c:pt idx="115">
                  <c:v>17.31092546507732</c:v>
                </c:pt>
                <c:pt idx="116">
                  <c:v>17.3958291867044</c:v>
                </c:pt>
                <c:pt idx="117">
                  <c:v>17.480732908331486</c:v>
                </c:pt>
                <c:pt idx="118">
                  <c:v>17.565636629958572</c:v>
                </c:pt>
                <c:pt idx="119">
                  <c:v>17.65054035158565</c:v>
                </c:pt>
                <c:pt idx="120">
                  <c:v>17.735444073212733</c:v>
                </c:pt>
                <c:pt idx="121">
                  <c:v>17.820347794839815</c:v>
                </c:pt>
                <c:pt idx="122">
                  <c:v>17.905251516466897</c:v>
                </c:pt>
                <c:pt idx="123">
                  <c:v>17.99015523809398</c:v>
                </c:pt>
                <c:pt idx="124">
                  <c:v>18.075058959721062</c:v>
                </c:pt>
                <c:pt idx="125">
                  <c:v>18.159962681348148</c:v>
                </c:pt>
                <c:pt idx="126">
                  <c:v>18.244866402975227</c:v>
                </c:pt>
                <c:pt idx="127">
                  <c:v>18.329770124602312</c:v>
                </c:pt>
                <c:pt idx="128">
                  <c:v>18.41467384622939</c:v>
                </c:pt>
                <c:pt idx="129">
                  <c:v>18.499577567856473</c:v>
                </c:pt>
                <c:pt idx="130">
                  <c:v>18.584481289483552</c:v>
                </c:pt>
                <c:pt idx="131">
                  <c:v>18.669385011110638</c:v>
                </c:pt>
                <c:pt idx="132">
                  <c:v>18.75428873273772</c:v>
                </c:pt>
                <c:pt idx="133">
                  <c:v>18.839192454364802</c:v>
                </c:pt>
                <c:pt idx="134">
                  <c:v>18.924096175991885</c:v>
                </c:pt>
                <c:pt idx="135">
                  <c:v>19.008999897618967</c:v>
                </c:pt>
                <c:pt idx="136">
                  <c:v>19.093903619246053</c:v>
                </c:pt>
                <c:pt idx="137">
                  <c:v>19.17880734087313</c:v>
                </c:pt>
                <c:pt idx="138">
                  <c:v>19.263711062500214</c:v>
                </c:pt>
                <c:pt idx="139">
                  <c:v>19.348614784127296</c:v>
                </c:pt>
                <c:pt idx="140">
                  <c:v>19.43351850575438</c:v>
                </c:pt>
                <c:pt idx="141">
                  <c:v>19.518422227381457</c:v>
                </c:pt>
                <c:pt idx="142">
                  <c:v>19.60332594900854</c:v>
                </c:pt>
                <c:pt idx="143">
                  <c:v>19.688229670635625</c:v>
                </c:pt>
                <c:pt idx="144">
                  <c:v>19.773133392262707</c:v>
                </c:pt>
                <c:pt idx="145">
                  <c:v>19.85803711388979</c:v>
                </c:pt>
                <c:pt idx="146">
                  <c:v>19.942940835516872</c:v>
                </c:pt>
                <c:pt idx="147">
                  <c:v>20.027844557143954</c:v>
                </c:pt>
                <c:pt idx="148">
                  <c:v>20.112748278771033</c:v>
                </c:pt>
                <c:pt idx="149">
                  <c:v>20.19765200039812</c:v>
                </c:pt>
                <c:pt idx="150">
                  <c:v>20.282555722025204</c:v>
                </c:pt>
                <c:pt idx="151">
                  <c:v>20.36745944365228</c:v>
                </c:pt>
                <c:pt idx="152">
                  <c:v>20.452363165279365</c:v>
                </c:pt>
                <c:pt idx="153">
                  <c:v>20.537266886906444</c:v>
                </c:pt>
                <c:pt idx="154">
                  <c:v>20.62217060853353</c:v>
                </c:pt>
                <c:pt idx="155">
                  <c:v>20.707074330160612</c:v>
                </c:pt>
                <c:pt idx="156">
                  <c:v>20.79197805178769</c:v>
                </c:pt>
                <c:pt idx="157">
                  <c:v>20.876881773414777</c:v>
                </c:pt>
                <c:pt idx="158">
                  <c:v>20.96178549504186</c:v>
                </c:pt>
                <c:pt idx="159">
                  <c:v>21.046689216668945</c:v>
                </c:pt>
                <c:pt idx="160">
                  <c:v>21.13159293829602</c:v>
                </c:pt>
                <c:pt idx="161">
                  <c:v>21.216496659923106</c:v>
                </c:pt>
                <c:pt idx="162">
                  <c:v>21.30140038155019</c:v>
                </c:pt>
                <c:pt idx="163">
                  <c:v>21.38630410317727</c:v>
                </c:pt>
                <c:pt idx="164">
                  <c:v>21.471207824804353</c:v>
                </c:pt>
                <c:pt idx="165">
                  <c:v>21.55611154643143</c:v>
                </c:pt>
                <c:pt idx="166">
                  <c:v>21.641015268058517</c:v>
                </c:pt>
                <c:pt idx="167">
                  <c:v>21.725918989685596</c:v>
                </c:pt>
                <c:pt idx="168">
                  <c:v>21.81082271131268</c:v>
                </c:pt>
                <c:pt idx="169">
                  <c:v>21.89572643293976</c:v>
                </c:pt>
                <c:pt idx="170">
                  <c:v>21.980630154566846</c:v>
                </c:pt>
                <c:pt idx="171">
                  <c:v>22.06553387619393</c:v>
                </c:pt>
                <c:pt idx="172">
                  <c:v>22.15043759782101</c:v>
                </c:pt>
                <c:pt idx="173">
                  <c:v>22.235341319448093</c:v>
                </c:pt>
                <c:pt idx="174">
                  <c:v>22.32024504107517</c:v>
                </c:pt>
                <c:pt idx="175">
                  <c:v>22.405148762702257</c:v>
                </c:pt>
                <c:pt idx="176">
                  <c:v>22.490052484329336</c:v>
                </c:pt>
                <c:pt idx="177">
                  <c:v>22.574956205956422</c:v>
                </c:pt>
                <c:pt idx="178">
                  <c:v>22.6598599275835</c:v>
                </c:pt>
                <c:pt idx="179">
                  <c:v>22.744763649210583</c:v>
                </c:pt>
                <c:pt idx="180">
                  <c:v>22.82966737083767</c:v>
                </c:pt>
                <c:pt idx="181">
                  <c:v>22.91457109246475</c:v>
                </c:pt>
                <c:pt idx="182">
                  <c:v>22.999474814091833</c:v>
                </c:pt>
                <c:pt idx="183">
                  <c:v>23.084378535718912</c:v>
                </c:pt>
                <c:pt idx="184">
                  <c:v>23.169282257345998</c:v>
                </c:pt>
                <c:pt idx="185">
                  <c:v>23.254185978973084</c:v>
                </c:pt>
                <c:pt idx="186">
                  <c:v>23.339089700600162</c:v>
                </c:pt>
                <c:pt idx="187">
                  <c:v>23.42399342222724</c:v>
                </c:pt>
                <c:pt idx="188">
                  <c:v>23.508897143854323</c:v>
                </c:pt>
                <c:pt idx="189">
                  <c:v>23.593800865481406</c:v>
                </c:pt>
                <c:pt idx="190">
                  <c:v>23.678704587108488</c:v>
                </c:pt>
                <c:pt idx="191">
                  <c:v>23.763608308735574</c:v>
                </c:pt>
                <c:pt idx="192">
                  <c:v>23.848512030362652</c:v>
                </c:pt>
                <c:pt idx="193">
                  <c:v>23.933415751989735</c:v>
                </c:pt>
                <c:pt idx="194">
                  <c:v>24.01831947361682</c:v>
                </c:pt>
                <c:pt idx="195">
                  <c:v>24.103223195243903</c:v>
                </c:pt>
                <c:pt idx="196">
                  <c:v>24.188126916870985</c:v>
                </c:pt>
                <c:pt idx="197">
                  <c:v>24.273030638498064</c:v>
                </c:pt>
                <c:pt idx="198">
                  <c:v>24.35793436012515</c:v>
                </c:pt>
                <c:pt idx="199">
                  <c:v>24.442838081752228</c:v>
                </c:pt>
                <c:pt idx="200">
                  <c:v>24.52774180337931</c:v>
                </c:pt>
              </c:numCache>
            </c:numRef>
          </c:xVal>
          <c:yVal>
            <c:numRef>
              <c:f>Luc_keo!$F$203:$F$403</c:f>
              <c:numCache>
                <c:formatCode>General</c:formatCode>
                <c:ptCount val="201"/>
                <c:pt idx="0">
                  <c:v>31.210277899168606</c:v>
                </c:pt>
                <c:pt idx="1">
                  <c:v>31.67244546633681</c:v>
                </c:pt>
                <c:pt idx="2">
                  <c:v>32.13620168192096</c:v>
                </c:pt>
                <c:pt idx="3">
                  <c:v>32.60151742609266</c:v>
                </c:pt>
                <c:pt idx="4">
                  <c:v>33.068363579023526</c:v>
                </c:pt>
                <c:pt idx="5">
                  <c:v>33.53671102088513</c:v>
                </c:pt>
                <c:pt idx="6">
                  <c:v>34.006530631849095</c:v>
                </c:pt>
                <c:pt idx="7">
                  <c:v>34.47779329208702</c:v>
                </c:pt>
                <c:pt idx="8">
                  <c:v>34.9504698817705</c:v>
                </c:pt>
                <c:pt idx="9">
                  <c:v>35.42453128107114</c:v>
                </c:pt>
                <c:pt idx="10">
                  <c:v>35.89994837016054</c:v>
                </c:pt>
                <c:pt idx="11">
                  <c:v>36.37669202921032</c:v>
                </c:pt>
                <c:pt idx="12">
                  <c:v>36.854733138392056</c:v>
                </c:pt>
                <c:pt idx="13">
                  <c:v>37.33404257787736</c:v>
                </c:pt>
                <c:pt idx="14">
                  <c:v>37.81459122783783</c:v>
                </c:pt>
                <c:pt idx="15">
                  <c:v>38.29634996844507</c:v>
                </c:pt>
                <c:pt idx="16">
                  <c:v>38.7792896798707</c:v>
                </c:pt>
                <c:pt idx="17">
                  <c:v>39.26338124228629</c:v>
                </c:pt>
                <c:pt idx="18">
                  <c:v>39.74859553586345</c:v>
                </c:pt>
                <c:pt idx="19">
                  <c:v>40.234903440773806</c:v>
                </c:pt>
                <c:pt idx="20">
                  <c:v>40.72227583718894</c:v>
                </c:pt>
                <c:pt idx="21">
                  <c:v>41.210683605280444</c:v>
                </c:pt>
                <c:pt idx="22">
                  <c:v>41.70009762521995</c:v>
                </c:pt>
                <c:pt idx="23">
                  <c:v>42.19048877717902</c:v>
                </c:pt>
                <c:pt idx="24">
                  <c:v>42.681827941329296</c:v>
                </c:pt>
                <c:pt idx="25">
                  <c:v>43.17408599784235</c:v>
                </c:pt>
                <c:pt idx="26">
                  <c:v>43.667233826889785</c:v>
                </c:pt>
                <c:pt idx="27">
                  <c:v>44.161242308643224</c:v>
                </c:pt>
                <c:pt idx="28">
                  <c:v>44.65608232327426</c:v>
                </c:pt>
                <c:pt idx="29">
                  <c:v>45.151724750954486</c:v>
                </c:pt>
                <c:pt idx="30">
                  <c:v>45.64814047185552</c:v>
                </c:pt>
                <c:pt idx="31">
                  <c:v>46.14530036614894</c:v>
                </c:pt>
                <c:pt idx="32">
                  <c:v>46.64317531400637</c:v>
                </c:pt>
                <c:pt idx="33">
                  <c:v>47.1417361955994</c:v>
                </c:pt>
                <c:pt idx="34">
                  <c:v>47.64095389109963</c:v>
                </c:pt>
                <c:pt idx="35">
                  <c:v>48.14079928067868</c:v>
                </c:pt>
                <c:pt idx="36">
                  <c:v>48.64124324450813</c:v>
                </c:pt>
                <c:pt idx="37">
                  <c:v>49.1422566627596</c:v>
                </c:pt>
                <c:pt idx="38">
                  <c:v>49.643810415604676</c:v>
                </c:pt>
                <c:pt idx="39">
                  <c:v>50.14587538321496</c:v>
                </c:pt>
                <c:pt idx="40">
                  <c:v>50.648422445762066</c:v>
                </c:pt>
                <c:pt idx="41">
                  <c:v>51.151422483417576</c:v>
                </c:pt>
                <c:pt idx="42">
                  <c:v>51.65484637635312</c:v>
                </c:pt>
                <c:pt idx="43">
                  <c:v>52.15866500474027</c:v>
                </c:pt>
                <c:pt idx="44">
                  <c:v>52.66284924875066</c:v>
                </c:pt>
                <c:pt idx="45">
                  <c:v>53.16736998855586</c:v>
                </c:pt>
                <c:pt idx="46">
                  <c:v>53.67219810432749</c:v>
                </c:pt>
                <c:pt idx="47">
                  <c:v>54.177304476237154</c:v>
                </c:pt>
                <c:pt idx="48">
                  <c:v>54.682659984456436</c:v>
                </c:pt>
                <c:pt idx="49">
                  <c:v>55.188235509156954</c:v>
                </c:pt>
                <c:pt idx="50">
                  <c:v>55.69400193051032</c:v>
                </c:pt>
                <c:pt idx="51">
                  <c:v>56.199930128688095</c:v>
                </c:pt>
                <c:pt idx="52">
                  <c:v>56.70599098386193</c:v>
                </c:pt>
                <c:pt idx="53">
                  <c:v>57.212155376203384</c:v>
                </c:pt>
                <c:pt idx="54">
                  <c:v>57.71839418588409</c:v>
                </c:pt>
                <c:pt idx="55">
                  <c:v>58.22467829307563</c:v>
                </c:pt>
                <c:pt idx="56">
                  <c:v>58.73097857794961</c:v>
                </c:pt>
                <c:pt idx="57">
                  <c:v>59.23726592067765</c:v>
                </c:pt>
                <c:pt idx="58">
                  <c:v>59.74351120143131</c:v>
                </c:pt>
                <c:pt idx="59">
                  <c:v>60.24968530038224</c:v>
                </c:pt>
                <c:pt idx="60">
                  <c:v>60.75575909770202</c:v>
                </c:pt>
                <c:pt idx="61">
                  <c:v>61.26170347356226</c:v>
                </c:pt>
                <c:pt idx="62">
                  <c:v>61.76748930813455</c:v>
                </c:pt>
                <c:pt idx="63">
                  <c:v>62.27308748159049</c:v>
                </c:pt>
                <c:pt idx="64">
                  <c:v>62.778468874101684</c:v>
                </c:pt>
                <c:pt idx="65">
                  <c:v>63.28360436583975</c:v>
                </c:pt>
                <c:pt idx="66">
                  <c:v>63.78846483697627</c:v>
                </c:pt>
                <c:pt idx="67">
                  <c:v>64.29302116768284</c:v>
                </c:pt>
                <c:pt idx="68">
                  <c:v>64.79724423813109</c:v>
                </c:pt>
                <c:pt idx="69">
                  <c:v>65.30110492849258</c:v>
                </c:pt>
                <c:pt idx="70">
                  <c:v>65.80457411893899</c:v>
                </c:pt>
                <c:pt idx="71">
                  <c:v>66.30762268964183</c:v>
                </c:pt>
                <c:pt idx="72">
                  <c:v>66.81022152077274</c:v>
                </c:pt>
                <c:pt idx="73">
                  <c:v>67.31234149250334</c:v>
                </c:pt>
                <c:pt idx="74">
                  <c:v>67.81395348500523</c:v>
                </c:pt>
                <c:pt idx="75">
                  <c:v>68.31502837844995</c:v>
                </c:pt>
                <c:pt idx="76">
                  <c:v>68.8155370530092</c:v>
                </c:pt>
                <c:pt idx="77">
                  <c:v>69.31545038885447</c:v>
                </c:pt>
                <c:pt idx="78">
                  <c:v>69.81473926615747</c:v>
                </c:pt>
                <c:pt idx="79">
                  <c:v>70.31337456508975</c:v>
                </c:pt>
                <c:pt idx="80">
                  <c:v>70.81132716582292</c:v>
                </c:pt>
                <c:pt idx="81">
                  <c:v>71.30856794852853</c:v>
                </c:pt>
                <c:pt idx="82">
                  <c:v>71.80506779337827</c:v>
                </c:pt>
                <c:pt idx="83">
                  <c:v>72.3007975805437</c:v>
                </c:pt>
                <c:pt idx="84">
                  <c:v>72.79572819019643</c:v>
                </c:pt>
                <c:pt idx="85">
                  <c:v>73.28983050250802</c:v>
                </c:pt>
                <c:pt idx="86">
                  <c:v>73.78307539765014</c:v>
                </c:pt>
                <c:pt idx="87">
                  <c:v>74.27543375579434</c:v>
                </c:pt>
                <c:pt idx="88">
                  <c:v>74.76687645711225</c:v>
                </c:pt>
                <c:pt idx="89">
                  <c:v>75.25737438177545</c:v>
                </c:pt>
                <c:pt idx="90">
                  <c:v>75.74689840995556</c:v>
                </c:pt>
                <c:pt idx="91">
                  <c:v>76.23541942182418</c:v>
                </c:pt>
                <c:pt idx="92">
                  <c:v>76.7229082975529</c:v>
                </c:pt>
                <c:pt idx="93">
                  <c:v>77.20933591731331</c:v>
                </c:pt>
                <c:pt idx="94">
                  <c:v>77.69467316127707</c:v>
                </c:pt>
                <c:pt idx="95">
                  <c:v>78.17889090961572</c:v>
                </c:pt>
                <c:pt idx="96">
                  <c:v>78.66196004250087</c:v>
                </c:pt>
                <c:pt idx="97">
                  <c:v>79.14385144010419</c:v>
                </c:pt>
                <c:pt idx="98">
                  <c:v>79.62453598259717</c:v>
                </c:pt>
                <c:pt idx="99">
                  <c:v>80.1039845501515</c:v>
                </c:pt>
                <c:pt idx="100">
                  <c:v>80.58216802293873</c:v>
                </c:pt>
                <c:pt idx="101">
                  <c:v>81.05905728113048</c:v>
                </c:pt>
                <c:pt idx="102">
                  <c:v>81.53462320489838</c:v>
                </c:pt>
                <c:pt idx="103">
                  <c:v>82.00883667441398</c:v>
                </c:pt>
                <c:pt idx="104">
                  <c:v>82.4816685698489</c:v>
                </c:pt>
                <c:pt idx="105">
                  <c:v>82.95308977137479</c:v>
                </c:pt>
                <c:pt idx="106">
                  <c:v>83.42307115916319</c:v>
                </c:pt>
                <c:pt idx="107">
                  <c:v>83.8915836133857</c:v>
                </c:pt>
                <c:pt idx="108">
                  <c:v>84.35859801421401</c:v>
                </c:pt>
                <c:pt idx="109">
                  <c:v>84.82408524181962</c:v>
                </c:pt>
                <c:pt idx="110">
                  <c:v>85.28801617637414</c:v>
                </c:pt>
                <c:pt idx="111">
                  <c:v>85.75036169804922</c:v>
                </c:pt>
                <c:pt idx="112">
                  <c:v>86.21109268701645</c:v>
                </c:pt>
                <c:pt idx="113">
                  <c:v>86.67018002344741</c:v>
                </c:pt>
                <c:pt idx="114">
                  <c:v>87.12759458751373</c:v>
                </c:pt>
                <c:pt idx="115">
                  <c:v>87.58330725938698</c:v>
                </c:pt>
                <c:pt idx="116">
                  <c:v>88.03728891923879</c:v>
                </c:pt>
                <c:pt idx="117">
                  <c:v>88.48951044724076</c:v>
                </c:pt>
                <c:pt idx="118">
                  <c:v>88.93994272356449</c:v>
                </c:pt>
                <c:pt idx="119">
                  <c:v>89.38855662838155</c:v>
                </c:pt>
                <c:pt idx="120">
                  <c:v>89.83532304186356</c:v>
                </c:pt>
                <c:pt idx="121">
                  <c:v>90.28021284418215</c:v>
                </c:pt>
                <c:pt idx="122">
                  <c:v>90.7231969155089</c:v>
                </c:pt>
                <c:pt idx="123">
                  <c:v>91.16424613601536</c:v>
                </c:pt>
                <c:pt idx="124">
                  <c:v>91.60333138587326</c:v>
                </c:pt>
                <c:pt idx="125">
                  <c:v>92.04042354525409</c:v>
                </c:pt>
                <c:pt idx="126">
                  <c:v>92.47549349432948</c:v>
                </c:pt>
                <c:pt idx="127">
                  <c:v>92.90851211327106</c:v>
                </c:pt>
                <c:pt idx="128">
                  <c:v>93.33945028225037</c:v>
                </c:pt>
                <c:pt idx="129">
                  <c:v>93.76827888143906</c:v>
                </c:pt>
                <c:pt idx="130">
                  <c:v>94.19496879100878</c:v>
                </c:pt>
                <c:pt idx="131">
                  <c:v>94.61949089113101</c:v>
                </c:pt>
                <c:pt idx="132">
                  <c:v>95.04181606197744</c:v>
                </c:pt>
                <c:pt idx="133">
                  <c:v>95.46191518371967</c:v>
                </c:pt>
                <c:pt idx="134">
                  <c:v>95.87975913652924</c:v>
                </c:pt>
                <c:pt idx="135">
                  <c:v>96.29531880057782</c:v>
                </c:pt>
                <c:pt idx="136">
                  <c:v>96.70856505603696</c:v>
                </c:pt>
                <c:pt idx="137">
                  <c:v>97.11946878307835</c:v>
                </c:pt>
                <c:pt idx="138">
                  <c:v>97.52800086187342</c:v>
                </c:pt>
                <c:pt idx="139">
                  <c:v>97.93413217259396</c:v>
                </c:pt>
                <c:pt idx="140">
                  <c:v>98.33783359541148</c:v>
                </c:pt>
                <c:pt idx="141">
                  <c:v>98.7390760104976</c:v>
                </c:pt>
                <c:pt idx="142">
                  <c:v>99.13783029802386</c:v>
                </c:pt>
                <c:pt idx="143">
                  <c:v>99.53406733816198</c:v>
                </c:pt>
                <c:pt idx="144">
                  <c:v>99.92775801108345</c:v>
                </c:pt>
                <c:pt idx="145">
                  <c:v>100.31887319695994</c:v>
                </c:pt>
                <c:pt idx="146">
                  <c:v>100.70738377596304</c:v>
                </c:pt>
                <c:pt idx="147">
                  <c:v>101.09326062826435</c:v>
                </c:pt>
                <c:pt idx="148">
                  <c:v>101.47647463403544</c:v>
                </c:pt>
                <c:pt idx="149">
                  <c:v>101.85699667344795</c:v>
                </c:pt>
                <c:pt idx="150">
                  <c:v>102.23479762667348</c:v>
                </c:pt>
                <c:pt idx="151">
                  <c:v>102.60984837388361</c:v>
                </c:pt>
                <c:pt idx="152">
                  <c:v>102.98211979524993</c:v>
                </c:pt>
                <c:pt idx="153">
                  <c:v>103.35158277094412</c:v>
                </c:pt>
                <c:pt idx="154">
                  <c:v>103.71820818113765</c:v>
                </c:pt>
                <c:pt idx="155">
                  <c:v>104.08196690600225</c:v>
                </c:pt>
                <c:pt idx="156">
                  <c:v>104.44282982570947</c:v>
                </c:pt>
                <c:pt idx="157">
                  <c:v>104.80076782043088</c:v>
                </c:pt>
                <c:pt idx="158">
                  <c:v>105.15575177033813</c:v>
                </c:pt>
                <c:pt idx="159">
                  <c:v>105.5077525556028</c:v>
                </c:pt>
                <c:pt idx="160">
                  <c:v>105.85674105639652</c:v>
                </c:pt>
                <c:pt idx="161">
                  <c:v>106.20268815289084</c:v>
                </c:pt>
                <c:pt idx="162">
                  <c:v>106.54556472525739</c:v>
                </c:pt>
                <c:pt idx="163">
                  <c:v>106.88534165366778</c:v>
                </c:pt>
                <c:pt idx="164">
                  <c:v>107.22198981829357</c:v>
                </c:pt>
                <c:pt idx="165">
                  <c:v>107.55548009930645</c:v>
                </c:pt>
                <c:pt idx="166">
                  <c:v>107.88578337687797</c:v>
                </c:pt>
                <c:pt idx="167">
                  <c:v>108.21287053117969</c:v>
                </c:pt>
                <c:pt idx="168">
                  <c:v>108.53671244238325</c:v>
                </c:pt>
                <c:pt idx="169">
                  <c:v>108.8572799906603</c:v>
                </c:pt>
                <c:pt idx="170">
                  <c:v>109.17454405618234</c:v>
                </c:pt>
                <c:pt idx="171">
                  <c:v>109.48847551912104</c:v>
                </c:pt>
                <c:pt idx="172">
                  <c:v>109.799045259648</c:v>
                </c:pt>
                <c:pt idx="173">
                  <c:v>110.1062241579348</c:v>
                </c:pt>
                <c:pt idx="174">
                  <c:v>110.40998309415305</c:v>
                </c:pt>
                <c:pt idx="175">
                  <c:v>110.71029294847435</c:v>
                </c:pt>
                <c:pt idx="176">
                  <c:v>111.0071246010703</c:v>
                </c:pt>
                <c:pt idx="177">
                  <c:v>111.30044893211249</c:v>
                </c:pt>
                <c:pt idx="178">
                  <c:v>111.59023682177258</c:v>
                </c:pt>
                <c:pt idx="179">
                  <c:v>111.87645915022212</c:v>
                </c:pt>
                <c:pt idx="180">
                  <c:v>112.1590867976327</c:v>
                </c:pt>
                <c:pt idx="181">
                  <c:v>112.43809064417597</c:v>
                </c:pt>
                <c:pt idx="182">
                  <c:v>112.71344157002348</c:v>
                </c:pt>
                <c:pt idx="183">
                  <c:v>112.98511045534687</c:v>
                </c:pt>
                <c:pt idx="184">
                  <c:v>113.25306818031773</c:v>
                </c:pt>
                <c:pt idx="185">
                  <c:v>113.51728562510766</c:v>
                </c:pt>
                <c:pt idx="186">
                  <c:v>113.77773366988825</c:v>
                </c:pt>
                <c:pt idx="187">
                  <c:v>114.03438319483111</c:v>
                </c:pt>
                <c:pt idx="188">
                  <c:v>114.28720508010785</c:v>
                </c:pt>
                <c:pt idx="189">
                  <c:v>114.5361702058901</c:v>
                </c:pt>
                <c:pt idx="190">
                  <c:v>114.78124945234941</c:v>
                </c:pt>
                <c:pt idx="191">
                  <c:v>115.02241369965739</c:v>
                </c:pt>
                <c:pt idx="192">
                  <c:v>115.25963382798565</c:v>
                </c:pt>
                <c:pt idx="193">
                  <c:v>115.49288071750577</c:v>
                </c:pt>
                <c:pt idx="194">
                  <c:v>115.72212524838945</c:v>
                </c:pt>
                <c:pt idx="195">
                  <c:v>115.94733830080816</c:v>
                </c:pt>
                <c:pt idx="196">
                  <c:v>116.16849075493356</c:v>
                </c:pt>
                <c:pt idx="197">
                  <c:v>116.38555349093728</c:v>
                </c:pt>
                <c:pt idx="198">
                  <c:v>116.59849738899089</c:v>
                </c:pt>
                <c:pt idx="199">
                  <c:v>116.80729332926596</c:v>
                </c:pt>
                <c:pt idx="200">
                  <c:v>117.01191219193416</c:v>
                </c:pt>
              </c:numCache>
            </c:numRef>
          </c:yVal>
        </c:ser>
        <c:ser>
          <c:idx val="2"/>
          <c:order val="2"/>
          <c:tx>
            <c:v>Số 3</c:v>
          </c:tx>
          <c:marker>
            <c:symbol val="none"/>
          </c:marker>
          <c:xVal>
            <c:numRef>
              <c:f>Luc_keo!$E$404:$E$604</c:f>
              <c:numCache>
                <c:formatCode>General</c:formatCode>
                <c:ptCount val="201"/>
                <c:pt idx="0">
                  <c:v>12.275769208846697</c:v>
                </c:pt>
                <c:pt idx="1">
                  <c:v>12.413871612446222</c:v>
                </c:pt>
                <c:pt idx="2">
                  <c:v>12.551974016045747</c:v>
                </c:pt>
                <c:pt idx="3">
                  <c:v>12.690076419645271</c:v>
                </c:pt>
                <c:pt idx="4">
                  <c:v>12.8281788232448</c:v>
                </c:pt>
                <c:pt idx="5">
                  <c:v>12.966281226844323</c:v>
                </c:pt>
                <c:pt idx="6">
                  <c:v>13.104383630443849</c:v>
                </c:pt>
                <c:pt idx="7">
                  <c:v>13.242486034043372</c:v>
                </c:pt>
                <c:pt idx="8">
                  <c:v>13.380588437642897</c:v>
                </c:pt>
                <c:pt idx="9">
                  <c:v>13.518690841242424</c:v>
                </c:pt>
                <c:pt idx="10">
                  <c:v>13.65679324484195</c:v>
                </c:pt>
                <c:pt idx="11">
                  <c:v>13.794895648441477</c:v>
                </c:pt>
                <c:pt idx="12">
                  <c:v>13.932998052041</c:v>
                </c:pt>
                <c:pt idx="13">
                  <c:v>14.071100455640526</c:v>
                </c:pt>
                <c:pt idx="14">
                  <c:v>14.20920285924005</c:v>
                </c:pt>
                <c:pt idx="15">
                  <c:v>14.347305262839578</c:v>
                </c:pt>
                <c:pt idx="16">
                  <c:v>14.485407666439103</c:v>
                </c:pt>
                <c:pt idx="17">
                  <c:v>14.623510070038629</c:v>
                </c:pt>
                <c:pt idx="18">
                  <c:v>14.761612473638154</c:v>
                </c:pt>
                <c:pt idx="19">
                  <c:v>14.899714877237678</c:v>
                </c:pt>
                <c:pt idx="20">
                  <c:v>15.037817280837203</c:v>
                </c:pt>
                <c:pt idx="21">
                  <c:v>15.175919684436728</c:v>
                </c:pt>
                <c:pt idx="22">
                  <c:v>15.314022088036253</c:v>
                </c:pt>
                <c:pt idx="23">
                  <c:v>15.452124491635779</c:v>
                </c:pt>
                <c:pt idx="24">
                  <c:v>15.590226895235302</c:v>
                </c:pt>
                <c:pt idx="25">
                  <c:v>15.728329298834828</c:v>
                </c:pt>
                <c:pt idx="26">
                  <c:v>15.866431702434356</c:v>
                </c:pt>
                <c:pt idx="27">
                  <c:v>16.00453410603388</c:v>
                </c:pt>
                <c:pt idx="28">
                  <c:v>16.14263650963341</c:v>
                </c:pt>
                <c:pt idx="29">
                  <c:v>16.28073891323293</c:v>
                </c:pt>
                <c:pt idx="30">
                  <c:v>16.418841316832456</c:v>
                </c:pt>
                <c:pt idx="31">
                  <c:v>16.55694372043198</c:v>
                </c:pt>
                <c:pt idx="32">
                  <c:v>16.695046124031506</c:v>
                </c:pt>
                <c:pt idx="33">
                  <c:v>16.83314852763103</c:v>
                </c:pt>
                <c:pt idx="34">
                  <c:v>16.971250931230557</c:v>
                </c:pt>
                <c:pt idx="35">
                  <c:v>17.109353334830086</c:v>
                </c:pt>
                <c:pt idx="36">
                  <c:v>17.24745573842961</c:v>
                </c:pt>
                <c:pt idx="37">
                  <c:v>17.385558142029133</c:v>
                </c:pt>
                <c:pt idx="38">
                  <c:v>17.52366054562866</c:v>
                </c:pt>
                <c:pt idx="39">
                  <c:v>17.661762949228184</c:v>
                </c:pt>
                <c:pt idx="40">
                  <c:v>17.79986535282771</c:v>
                </c:pt>
                <c:pt idx="41">
                  <c:v>17.937967756427238</c:v>
                </c:pt>
                <c:pt idx="42">
                  <c:v>18.076070160026756</c:v>
                </c:pt>
                <c:pt idx="43">
                  <c:v>18.214172563626285</c:v>
                </c:pt>
                <c:pt idx="44">
                  <c:v>18.352274967225814</c:v>
                </c:pt>
                <c:pt idx="45">
                  <c:v>18.490377370825335</c:v>
                </c:pt>
                <c:pt idx="46">
                  <c:v>18.628479774424864</c:v>
                </c:pt>
                <c:pt idx="47">
                  <c:v>18.766582178024386</c:v>
                </c:pt>
                <c:pt idx="48">
                  <c:v>18.90468458162391</c:v>
                </c:pt>
                <c:pt idx="49">
                  <c:v>19.042786985223437</c:v>
                </c:pt>
                <c:pt idx="50">
                  <c:v>19.180889388822962</c:v>
                </c:pt>
                <c:pt idx="51">
                  <c:v>19.318991792422487</c:v>
                </c:pt>
                <c:pt idx="52">
                  <c:v>19.457094196022013</c:v>
                </c:pt>
                <c:pt idx="53">
                  <c:v>19.59519659962154</c:v>
                </c:pt>
                <c:pt idx="54">
                  <c:v>19.733299003221067</c:v>
                </c:pt>
                <c:pt idx="55">
                  <c:v>19.87140140682059</c:v>
                </c:pt>
                <c:pt idx="56">
                  <c:v>20.009503810420114</c:v>
                </c:pt>
                <c:pt idx="57">
                  <c:v>20.14760621401964</c:v>
                </c:pt>
                <c:pt idx="58">
                  <c:v>20.285708617619168</c:v>
                </c:pt>
                <c:pt idx="59">
                  <c:v>20.42381102121869</c:v>
                </c:pt>
                <c:pt idx="60">
                  <c:v>20.561913424818215</c:v>
                </c:pt>
                <c:pt idx="61">
                  <c:v>20.70001582841774</c:v>
                </c:pt>
                <c:pt idx="62">
                  <c:v>20.83811823201727</c:v>
                </c:pt>
                <c:pt idx="63">
                  <c:v>20.97622063561679</c:v>
                </c:pt>
                <c:pt idx="64">
                  <c:v>21.11432303921632</c:v>
                </c:pt>
                <c:pt idx="65">
                  <c:v>21.25242544281584</c:v>
                </c:pt>
                <c:pt idx="66">
                  <c:v>21.39052784641537</c:v>
                </c:pt>
                <c:pt idx="67">
                  <c:v>21.528630250014892</c:v>
                </c:pt>
                <c:pt idx="68">
                  <c:v>21.666732653614417</c:v>
                </c:pt>
                <c:pt idx="69">
                  <c:v>21.804835057213946</c:v>
                </c:pt>
                <c:pt idx="70">
                  <c:v>21.942937460813468</c:v>
                </c:pt>
                <c:pt idx="71">
                  <c:v>22.081039864412997</c:v>
                </c:pt>
                <c:pt idx="72">
                  <c:v>22.21914226801252</c:v>
                </c:pt>
                <c:pt idx="73">
                  <c:v>22.357244671612047</c:v>
                </c:pt>
                <c:pt idx="74">
                  <c:v>22.49534707521157</c:v>
                </c:pt>
                <c:pt idx="75">
                  <c:v>22.633449478811094</c:v>
                </c:pt>
                <c:pt idx="76">
                  <c:v>22.771551882410623</c:v>
                </c:pt>
                <c:pt idx="77">
                  <c:v>22.909654286010145</c:v>
                </c:pt>
                <c:pt idx="78">
                  <c:v>23.04775668960967</c:v>
                </c:pt>
                <c:pt idx="79">
                  <c:v>23.185859093209196</c:v>
                </c:pt>
                <c:pt idx="80">
                  <c:v>23.323961496808725</c:v>
                </c:pt>
                <c:pt idx="81">
                  <c:v>23.462063900408253</c:v>
                </c:pt>
                <c:pt idx="82">
                  <c:v>23.600166304007775</c:v>
                </c:pt>
                <c:pt idx="83">
                  <c:v>23.7382687076073</c:v>
                </c:pt>
                <c:pt idx="84">
                  <c:v>23.876371111206826</c:v>
                </c:pt>
                <c:pt idx="85">
                  <c:v>24.014473514806344</c:v>
                </c:pt>
                <c:pt idx="86">
                  <c:v>24.152575918405873</c:v>
                </c:pt>
                <c:pt idx="87">
                  <c:v>24.2906783220054</c:v>
                </c:pt>
                <c:pt idx="88">
                  <c:v>24.428780725604927</c:v>
                </c:pt>
                <c:pt idx="89">
                  <c:v>24.566883129204452</c:v>
                </c:pt>
                <c:pt idx="90">
                  <c:v>24.704985532803974</c:v>
                </c:pt>
                <c:pt idx="91">
                  <c:v>24.843087936403503</c:v>
                </c:pt>
                <c:pt idx="92">
                  <c:v>24.981190340003028</c:v>
                </c:pt>
                <c:pt idx="93">
                  <c:v>25.11929274360255</c:v>
                </c:pt>
                <c:pt idx="94">
                  <c:v>25.25739514720208</c:v>
                </c:pt>
                <c:pt idx="95">
                  <c:v>25.3954975508016</c:v>
                </c:pt>
                <c:pt idx="96">
                  <c:v>25.53359995440113</c:v>
                </c:pt>
                <c:pt idx="97">
                  <c:v>25.67170235800065</c:v>
                </c:pt>
                <c:pt idx="98">
                  <c:v>25.80980476160018</c:v>
                </c:pt>
                <c:pt idx="99">
                  <c:v>25.94790716519971</c:v>
                </c:pt>
                <c:pt idx="100">
                  <c:v>26.086009568799227</c:v>
                </c:pt>
                <c:pt idx="101">
                  <c:v>26.224111972398756</c:v>
                </c:pt>
                <c:pt idx="102">
                  <c:v>26.362214375998285</c:v>
                </c:pt>
                <c:pt idx="103">
                  <c:v>26.500316779597803</c:v>
                </c:pt>
                <c:pt idx="104">
                  <c:v>26.638419183197332</c:v>
                </c:pt>
                <c:pt idx="105">
                  <c:v>26.776521586796854</c:v>
                </c:pt>
                <c:pt idx="106">
                  <c:v>26.91462399039638</c:v>
                </c:pt>
                <c:pt idx="107">
                  <c:v>27.052726393995908</c:v>
                </c:pt>
                <c:pt idx="108">
                  <c:v>27.19082879759543</c:v>
                </c:pt>
                <c:pt idx="109">
                  <c:v>27.32893120119496</c:v>
                </c:pt>
                <c:pt idx="110">
                  <c:v>27.467033604794484</c:v>
                </c:pt>
                <c:pt idx="111">
                  <c:v>27.605136008394005</c:v>
                </c:pt>
                <c:pt idx="112">
                  <c:v>27.743238411993534</c:v>
                </c:pt>
                <c:pt idx="113">
                  <c:v>27.88134081559306</c:v>
                </c:pt>
                <c:pt idx="114">
                  <c:v>28.01944321919259</c:v>
                </c:pt>
                <c:pt idx="115">
                  <c:v>28.157545622792107</c:v>
                </c:pt>
                <c:pt idx="116">
                  <c:v>28.295648026391632</c:v>
                </c:pt>
                <c:pt idx="117">
                  <c:v>28.43375042999116</c:v>
                </c:pt>
                <c:pt idx="118">
                  <c:v>28.571852833590686</c:v>
                </c:pt>
                <c:pt idx="119">
                  <c:v>28.709955237190208</c:v>
                </c:pt>
                <c:pt idx="120">
                  <c:v>28.848057640789737</c:v>
                </c:pt>
                <c:pt idx="121">
                  <c:v>28.986160044389266</c:v>
                </c:pt>
                <c:pt idx="122">
                  <c:v>29.12426244798878</c:v>
                </c:pt>
                <c:pt idx="123">
                  <c:v>29.26236485158831</c:v>
                </c:pt>
                <c:pt idx="124">
                  <c:v>29.400467255187838</c:v>
                </c:pt>
                <c:pt idx="125">
                  <c:v>29.538569658787367</c:v>
                </c:pt>
                <c:pt idx="126">
                  <c:v>29.676672062386892</c:v>
                </c:pt>
                <c:pt idx="127">
                  <c:v>29.814774465986414</c:v>
                </c:pt>
                <c:pt idx="128">
                  <c:v>29.952876869585936</c:v>
                </c:pt>
                <c:pt idx="129">
                  <c:v>30.090979273185464</c:v>
                </c:pt>
                <c:pt idx="130">
                  <c:v>30.229081676784986</c:v>
                </c:pt>
                <c:pt idx="131">
                  <c:v>30.367184080384515</c:v>
                </c:pt>
                <c:pt idx="132">
                  <c:v>30.505286483984037</c:v>
                </c:pt>
                <c:pt idx="133">
                  <c:v>30.643388887583566</c:v>
                </c:pt>
                <c:pt idx="134">
                  <c:v>30.78149129118309</c:v>
                </c:pt>
                <c:pt idx="135">
                  <c:v>30.91959369478262</c:v>
                </c:pt>
                <c:pt idx="136">
                  <c:v>31.05769609838215</c:v>
                </c:pt>
                <c:pt idx="137">
                  <c:v>31.195798501981663</c:v>
                </c:pt>
                <c:pt idx="138">
                  <c:v>31.333900905581192</c:v>
                </c:pt>
                <c:pt idx="139">
                  <c:v>31.47200330918072</c:v>
                </c:pt>
                <c:pt idx="140">
                  <c:v>31.610105712780243</c:v>
                </c:pt>
                <c:pt idx="141">
                  <c:v>31.748208116379764</c:v>
                </c:pt>
                <c:pt idx="142">
                  <c:v>31.88631051997929</c:v>
                </c:pt>
                <c:pt idx="143">
                  <c:v>32.024412923578815</c:v>
                </c:pt>
                <c:pt idx="144">
                  <c:v>32.16251532717835</c:v>
                </c:pt>
                <c:pt idx="145">
                  <c:v>32.300617730777866</c:v>
                </c:pt>
                <c:pt idx="146">
                  <c:v>32.4387201343774</c:v>
                </c:pt>
                <c:pt idx="147">
                  <c:v>32.57682253797692</c:v>
                </c:pt>
                <c:pt idx="148">
                  <c:v>32.71492494157644</c:v>
                </c:pt>
                <c:pt idx="149">
                  <c:v>32.853027345175974</c:v>
                </c:pt>
                <c:pt idx="150">
                  <c:v>32.9911297487755</c:v>
                </c:pt>
                <c:pt idx="151">
                  <c:v>33.129232152375025</c:v>
                </c:pt>
                <c:pt idx="152">
                  <c:v>33.26733455597454</c:v>
                </c:pt>
                <c:pt idx="153">
                  <c:v>33.40543695957407</c:v>
                </c:pt>
                <c:pt idx="154">
                  <c:v>33.54353936317359</c:v>
                </c:pt>
                <c:pt idx="155">
                  <c:v>33.681641766773126</c:v>
                </c:pt>
                <c:pt idx="156">
                  <c:v>33.81974417037265</c:v>
                </c:pt>
                <c:pt idx="157">
                  <c:v>33.95784657397217</c:v>
                </c:pt>
                <c:pt idx="158">
                  <c:v>34.0959489775717</c:v>
                </c:pt>
                <c:pt idx="159">
                  <c:v>34.23405138117123</c:v>
                </c:pt>
                <c:pt idx="160">
                  <c:v>34.37215378477075</c:v>
                </c:pt>
                <c:pt idx="161">
                  <c:v>34.51025618837028</c:v>
                </c:pt>
                <c:pt idx="162">
                  <c:v>34.6483585919698</c:v>
                </c:pt>
                <c:pt idx="163">
                  <c:v>34.78646099556932</c:v>
                </c:pt>
                <c:pt idx="164">
                  <c:v>34.924563399168846</c:v>
                </c:pt>
                <c:pt idx="165">
                  <c:v>35.06266580276838</c:v>
                </c:pt>
                <c:pt idx="166">
                  <c:v>35.200768206367904</c:v>
                </c:pt>
                <c:pt idx="167">
                  <c:v>35.33887060996743</c:v>
                </c:pt>
                <c:pt idx="168">
                  <c:v>35.47697301356695</c:v>
                </c:pt>
                <c:pt idx="169">
                  <c:v>35.61507541716648</c:v>
                </c:pt>
                <c:pt idx="170">
                  <c:v>35.753177820766005</c:v>
                </c:pt>
                <c:pt idx="171">
                  <c:v>35.89128022436553</c:v>
                </c:pt>
                <c:pt idx="172">
                  <c:v>36.02938262796505</c:v>
                </c:pt>
                <c:pt idx="173">
                  <c:v>36.16748503156458</c:v>
                </c:pt>
                <c:pt idx="174">
                  <c:v>36.30558743516411</c:v>
                </c:pt>
                <c:pt idx="175">
                  <c:v>36.44368983876363</c:v>
                </c:pt>
                <c:pt idx="176">
                  <c:v>36.58179224236316</c:v>
                </c:pt>
                <c:pt idx="177">
                  <c:v>36.719894645962675</c:v>
                </c:pt>
                <c:pt idx="178">
                  <c:v>36.8579970495622</c:v>
                </c:pt>
                <c:pt idx="179">
                  <c:v>36.996099453161726</c:v>
                </c:pt>
                <c:pt idx="180">
                  <c:v>37.13420185676126</c:v>
                </c:pt>
                <c:pt idx="181">
                  <c:v>37.272304260360784</c:v>
                </c:pt>
                <c:pt idx="182">
                  <c:v>37.41040666396031</c:v>
                </c:pt>
                <c:pt idx="183">
                  <c:v>37.548509067559834</c:v>
                </c:pt>
                <c:pt idx="184">
                  <c:v>37.68661147115936</c:v>
                </c:pt>
                <c:pt idx="185">
                  <c:v>37.82471387475889</c:v>
                </c:pt>
                <c:pt idx="186">
                  <c:v>37.96281627835841</c:v>
                </c:pt>
                <c:pt idx="187">
                  <c:v>38.100918681957936</c:v>
                </c:pt>
                <c:pt idx="188">
                  <c:v>38.239021085557454</c:v>
                </c:pt>
                <c:pt idx="189">
                  <c:v>38.37712348915698</c:v>
                </c:pt>
                <c:pt idx="190">
                  <c:v>38.515225892756504</c:v>
                </c:pt>
                <c:pt idx="191">
                  <c:v>38.65332829635604</c:v>
                </c:pt>
                <c:pt idx="192">
                  <c:v>38.79143069995556</c:v>
                </c:pt>
                <c:pt idx="193">
                  <c:v>38.92953310355508</c:v>
                </c:pt>
                <c:pt idx="194">
                  <c:v>39.06763550715461</c:v>
                </c:pt>
                <c:pt idx="195">
                  <c:v>39.20573791075414</c:v>
                </c:pt>
                <c:pt idx="196">
                  <c:v>39.34384031435367</c:v>
                </c:pt>
                <c:pt idx="197">
                  <c:v>39.48194271795319</c:v>
                </c:pt>
                <c:pt idx="198">
                  <c:v>39.620045121552714</c:v>
                </c:pt>
                <c:pt idx="199">
                  <c:v>39.75814752515223</c:v>
                </c:pt>
                <c:pt idx="200">
                  <c:v>39.89624992875176</c:v>
                </c:pt>
              </c:numCache>
            </c:numRef>
          </c:xVal>
          <c:yVal>
            <c:numRef>
              <c:f>Luc_keo!$F$404:$F$604</c:f>
              <c:numCache>
                <c:formatCode>General</c:formatCode>
                <c:ptCount val="201"/>
                <c:pt idx="0">
                  <c:v>31.210277899168606</c:v>
                </c:pt>
                <c:pt idx="1">
                  <c:v>31.67244546633681</c:v>
                </c:pt>
                <c:pt idx="2">
                  <c:v>32.13620168192096</c:v>
                </c:pt>
                <c:pt idx="3">
                  <c:v>32.60151742609266</c:v>
                </c:pt>
                <c:pt idx="4">
                  <c:v>33.068363579023526</c:v>
                </c:pt>
                <c:pt idx="5">
                  <c:v>33.53671102088513</c:v>
                </c:pt>
                <c:pt idx="6">
                  <c:v>34.006530631849095</c:v>
                </c:pt>
                <c:pt idx="7">
                  <c:v>34.47779329208702</c:v>
                </c:pt>
                <c:pt idx="8">
                  <c:v>34.9504698817705</c:v>
                </c:pt>
                <c:pt idx="9">
                  <c:v>35.42453128107114</c:v>
                </c:pt>
                <c:pt idx="10">
                  <c:v>35.89994837016054</c:v>
                </c:pt>
                <c:pt idx="11">
                  <c:v>36.37669202921032</c:v>
                </c:pt>
                <c:pt idx="12">
                  <c:v>36.854733138392056</c:v>
                </c:pt>
                <c:pt idx="13">
                  <c:v>37.33404257787736</c:v>
                </c:pt>
                <c:pt idx="14">
                  <c:v>37.81459122783783</c:v>
                </c:pt>
                <c:pt idx="15">
                  <c:v>38.29634996844507</c:v>
                </c:pt>
                <c:pt idx="16">
                  <c:v>38.7792896798707</c:v>
                </c:pt>
                <c:pt idx="17">
                  <c:v>39.26338124228629</c:v>
                </c:pt>
                <c:pt idx="18">
                  <c:v>39.74859553586345</c:v>
                </c:pt>
                <c:pt idx="19">
                  <c:v>40.234903440773806</c:v>
                </c:pt>
                <c:pt idx="20">
                  <c:v>40.72227583718894</c:v>
                </c:pt>
                <c:pt idx="21">
                  <c:v>41.210683605280444</c:v>
                </c:pt>
                <c:pt idx="22">
                  <c:v>41.70009762521995</c:v>
                </c:pt>
                <c:pt idx="23">
                  <c:v>42.19048877717902</c:v>
                </c:pt>
                <c:pt idx="24">
                  <c:v>42.681827941329296</c:v>
                </c:pt>
                <c:pt idx="25">
                  <c:v>43.17408599784235</c:v>
                </c:pt>
                <c:pt idx="26">
                  <c:v>43.667233826889785</c:v>
                </c:pt>
                <c:pt idx="27">
                  <c:v>44.161242308643224</c:v>
                </c:pt>
                <c:pt idx="28">
                  <c:v>44.65608232327426</c:v>
                </c:pt>
                <c:pt idx="29">
                  <c:v>45.151724750954486</c:v>
                </c:pt>
                <c:pt idx="30">
                  <c:v>45.64814047185552</c:v>
                </c:pt>
                <c:pt idx="31">
                  <c:v>46.14530036614894</c:v>
                </c:pt>
                <c:pt idx="32">
                  <c:v>46.64317531400637</c:v>
                </c:pt>
                <c:pt idx="33">
                  <c:v>47.1417361955994</c:v>
                </c:pt>
                <c:pt idx="34">
                  <c:v>47.64095389109963</c:v>
                </c:pt>
                <c:pt idx="35">
                  <c:v>48.14079928067868</c:v>
                </c:pt>
                <c:pt idx="36">
                  <c:v>48.64124324450813</c:v>
                </c:pt>
                <c:pt idx="37">
                  <c:v>49.1422566627596</c:v>
                </c:pt>
                <c:pt idx="38">
                  <c:v>49.643810415604676</c:v>
                </c:pt>
                <c:pt idx="39">
                  <c:v>50.14587538321496</c:v>
                </c:pt>
                <c:pt idx="40">
                  <c:v>50.648422445762066</c:v>
                </c:pt>
                <c:pt idx="41">
                  <c:v>51.151422483417576</c:v>
                </c:pt>
                <c:pt idx="42">
                  <c:v>51.65484637635312</c:v>
                </c:pt>
                <c:pt idx="43">
                  <c:v>52.15866500474027</c:v>
                </c:pt>
                <c:pt idx="44">
                  <c:v>52.66284924875066</c:v>
                </c:pt>
                <c:pt idx="45">
                  <c:v>53.16736998855586</c:v>
                </c:pt>
                <c:pt idx="46">
                  <c:v>53.67219810432749</c:v>
                </c:pt>
                <c:pt idx="47">
                  <c:v>54.177304476237154</c:v>
                </c:pt>
                <c:pt idx="48">
                  <c:v>54.682659984456436</c:v>
                </c:pt>
                <c:pt idx="49">
                  <c:v>55.188235509156954</c:v>
                </c:pt>
                <c:pt idx="50">
                  <c:v>55.69400193051032</c:v>
                </c:pt>
                <c:pt idx="51">
                  <c:v>56.199930128688095</c:v>
                </c:pt>
                <c:pt idx="52">
                  <c:v>56.70599098386193</c:v>
                </c:pt>
                <c:pt idx="53">
                  <c:v>57.212155376203384</c:v>
                </c:pt>
                <c:pt idx="54">
                  <c:v>57.71839418588409</c:v>
                </c:pt>
                <c:pt idx="55">
                  <c:v>58.22467829307563</c:v>
                </c:pt>
                <c:pt idx="56">
                  <c:v>58.73097857794961</c:v>
                </c:pt>
                <c:pt idx="57">
                  <c:v>59.23726592067765</c:v>
                </c:pt>
                <c:pt idx="58">
                  <c:v>59.74351120143131</c:v>
                </c:pt>
                <c:pt idx="59">
                  <c:v>60.24968530038224</c:v>
                </c:pt>
                <c:pt idx="60">
                  <c:v>60.75575909770202</c:v>
                </c:pt>
                <c:pt idx="61">
                  <c:v>61.26170347356226</c:v>
                </c:pt>
                <c:pt idx="62">
                  <c:v>61.76748930813455</c:v>
                </c:pt>
                <c:pt idx="63">
                  <c:v>62.27308748159049</c:v>
                </c:pt>
                <c:pt idx="64">
                  <c:v>62.778468874101684</c:v>
                </c:pt>
                <c:pt idx="65">
                  <c:v>63.28360436583975</c:v>
                </c:pt>
                <c:pt idx="66">
                  <c:v>63.78846483697627</c:v>
                </c:pt>
                <c:pt idx="67">
                  <c:v>64.29302116768284</c:v>
                </c:pt>
                <c:pt idx="68">
                  <c:v>64.79724423813109</c:v>
                </c:pt>
                <c:pt idx="69">
                  <c:v>65.30110492849258</c:v>
                </c:pt>
                <c:pt idx="70">
                  <c:v>65.80457411893899</c:v>
                </c:pt>
                <c:pt idx="71">
                  <c:v>66.30762268964183</c:v>
                </c:pt>
                <c:pt idx="72">
                  <c:v>66.81022152077274</c:v>
                </c:pt>
                <c:pt idx="73">
                  <c:v>67.31234149250334</c:v>
                </c:pt>
                <c:pt idx="74">
                  <c:v>67.81395348500523</c:v>
                </c:pt>
                <c:pt idx="75">
                  <c:v>68.31502837844995</c:v>
                </c:pt>
                <c:pt idx="76">
                  <c:v>68.8155370530092</c:v>
                </c:pt>
                <c:pt idx="77">
                  <c:v>69.31545038885447</c:v>
                </c:pt>
                <c:pt idx="78">
                  <c:v>69.81473926615747</c:v>
                </c:pt>
                <c:pt idx="79">
                  <c:v>70.31337456508975</c:v>
                </c:pt>
                <c:pt idx="80">
                  <c:v>70.81132716582292</c:v>
                </c:pt>
                <c:pt idx="81">
                  <c:v>71.30856794852853</c:v>
                </c:pt>
                <c:pt idx="82">
                  <c:v>71.80506779337827</c:v>
                </c:pt>
                <c:pt idx="83">
                  <c:v>72.3007975805437</c:v>
                </c:pt>
                <c:pt idx="84">
                  <c:v>72.79572819019643</c:v>
                </c:pt>
                <c:pt idx="85">
                  <c:v>73.28983050250802</c:v>
                </c:pt>
                <c:pt idx="86">
                  <c:v>73.78307539765014</c:v>
                </c:pt>
                <c:pt idx="87">
                  <c:v>74.27543375579434</c:v>
                </c:pt>
                <c:pt idx="88">
                  <c:v>74.76687645711225</c:v>
                </c:pt>
                <c:pt idx="89">
                  <c:v>75.25737438177545</c:v>
                </c:pt>
                <c:pt idx="90">
                  <c:v>75.74689840995556</c:v>
                </c:pt>
                <c:pt idx="91">
                  <c:v>76.23541942182418</c:v>
                </c:pt>
                <c:pt idx="92">
                  <c:v>76.7229082975529</c:v>
                </c:pt>
                <c:pt idx="93">
                  <c:v>77.20933591731331</c:v>
                </c:pt>
                <c:pt idx="94">
                  <c:v>77.69467316127707</c:v>
                </c:pt>
                <c:pt idx="95">
                  <c:v>78.17889090961572</c:v>
                </c:pt>
                <c:pt idx="96">
                  <c:v>78.66196004250087</c:v>
                </c:pt>
                <c:pt idx="97">
                  <c:v>79.14385144010419</c:v>
                </c:pt>
                <c:pt idx="98">
                  <c:v>79.62453598259717</c:v>
                </c:pt>
                <c:pt idx="99">
                  <c:v>80.1039845501515</c:v>
                </c:pt>
                <c:pt idx="100">
                  <c:v>80.58216802293873</c:v>
                </c:pt>
                <c:pt idx="101">
                  <c:v>81.05905728113048</c:v>
                </c:pt>
                <c:pt idx="102">
                  <c:v>81.53462320489838</c:v>
                </c:pt>
                <c:pt idx="103">
                  <c:v>82.00883667441398</c:v>
                </c:pt>
                <c:pt idx="104">
                  <c:v>82.4816685698489</c:v>
                </c:pt>
                <c:pt idx="105">
                  <c:v>82.95308977137479</c:v>
                </c:pt>
                <c:pt idx="106">
                  <c:v>83.42307115916319</c:v>
                </c:pt>
                <c:pt idx="107">
                  <c:v>83.8915836133857</c:v>
                </c:pt>
                <c:pt idx="108">
                  <c:v>84.35859801421401</c:v>
                </c:pt>
                <c:pt idx="109">
                  <c:v>84.82408524181962</c:v>
                </c:pt>
                <c:pt idx="110">
                  <c:v>85.28801617637414</c:v>
                </c:pt>
                <c:pt idx="111">
                  <c:v>85.75036169804922</c:v>
                </c:pt>
                <c:pt idx="112">
                  <c:v>86.21109268701645</c:v>
                </c:pt>
                <c:pt idx="113">
                  <c:v>86.67018002344741</c:v>
                </c:pt>
                <c:pt idx="114">
                  <c:v>87.12759458751373</c:v>
                </c:pt>
                <c:pt idx="115">
                  <c:v>87.58330725938698</c:v>
                </c:pt>
                <c:pt idx="116">
                  <c:v>88.03728891923879</c:v>
                </c:pt>
                <c:pt idx="117">
                  <c:v>88.48951044724076</c:v>
                </c:pt>
                <c:pt idx="118">
                  <c:v>88.93994272356449</c:v>
                </c:pt>
                <c:pt idx="119">
                  <c:v>89.38855662838155</c:v>
                </c:pt>
                <c:pt idx="120">
                  <c:v>89.83532304186356</c:v>
                </c:pt>
                <c:pt idx="121">
                  <c:v>90.28021284418215</c:v>
                </c:pt>
                <c:pt idx="122">
                  <c:v>90.7231969155089</c:v>
                </c:pt>
                <c:pt idx="123">
                  <c:v>91.16424613601536</c:v>
                </c:pt>
                <c:pt idx="124">
                  <c:v>91.60333138587326</c:v>
                </c:pt>
                <c:pt idx="125">
                  <c:v>92.04042354525409</c:v>
                </c:pt>
                <c:pt idx="126">
                  <c:v>92.47549349432948</c:v>
                </c:pt>
                <c:pt idx="127">
                  <c:v>92.90851211327106</c:v>
                </c:pt>
                <c:pt idx="128">
                  <c:v>93.33945028225037</c:v>
                </c:pt>
                <c:pt idx="129">
                  <c:v>93.76827888143906</c:v>
                </c:pt>
                <c:pt idx="130">
                  <c:v>94.19496879100878</c:v>
                </c:pt>
                <c:pt idx="131">
                  <c:v>94.61949089113101</c:v>
                </c:pt>
                <c:pt idx="132">
                  <c:v>95.04181606197744</c:v>
                </c:pt>
                <c:pt idx="133">
                  <c:v>95.46191518371967</c:v>
                </c:pt>
                <c:pt idx="134">
                  <c:v>95.87975913652924</c:v>
                </c:pt>
                <c:pt idx="135">
                  <c:v>96.29531880057782</c:v>
                </c:pt>
                <c:pt idx="136">
                  <c:v>96.70856505603696</c:v>
                </c:pt>
                <c:pt idx="137">
                  <c:v>97.11946878307835</c:v>
                </c:pt>
                <c:pt idx="138">
                  <c:v>97.52800086187342</c:v>
                </c:pt>
                <c:pt idx="139">
                  <c:v>97.93413217259396</c:v>
                </c:pt>
                <c:pt idx="140">
                  <c:v>98.33783359541148</c:v>
                </c:pt>
                <c:pt idx="141">
                  <c:v>98.7390760104976</c:v>
                </c:pt>
                <c:pt idx="142">
                  <c:v>99.13783029802386</c:v>
                </c:pt>
                <c:pt idx="143">
                  <c:v>99.53406733816198</c:v>
                </c:pt>
                <c:pt idx="144">
                  <c:v>99.92775801108345</c:v>
                </c:pt>
                <c:pt idx="145">
                  <c:v>100.31887319695994</c:v>
                </c:pt>
                <c:pt idx="146">
                  <c:v>100.70738377596304</c:v>
                </c:pt>
                <c:pt idx="147">
                  <c:v>101.09326062826435</c:v>
                </c:pt>
                <c:pt idx="148">
                  <c:v>101.47647463403544</c:v>
                </c:pt>
                <c:pt idx="149">
                  <c:v>101.85699667344795</c:v>
                </c:pt>
                <c:pt idx="150">
                  <c:v>102.23479762667348</c:v>
                </c:pt>
                <c:pt idx="151">
                  <c:v>102.60984837388361</c:v>
                </c:pt>
                <c:pt idx="152">
                  <c:v>102.98211979524993</c:v>
                </c:pt>
                <c:pt idx="153">
                  <c:v>103.35158277094412</c:v>
                </c:pt>
                <c:pt idx="154">
                  <c:v>103.71820818113765</c:v>
                </c:pt>
                <c:pt idx="155">
                  <c:v>104.08196690600225</c:v>
                </c:pt>
                <c:pt idx="156">
                  <c:v>104.44282982570947</c:v>
                </c:pt>
                <c:pt idx="157">
                  <c:v>104.80076782043088</c:v>
                </c:pt>
                <c:pt idx="158">
                  <c:v>105.15575177033813</c:v>
                </c:pt>
                <c:pt idx="159">
                  <c:v>105.5077525556028</c:v>
                </c:pt>
                <c:pt idx="160">
                  <c:v>105.85674105639652</c:v>
                </c:pt>
                <c:pt idx="161">
                  <c:v>106.20268815289084</c:v>
                </c:pt>
                <c:pt idx="162">
                  <c:v>106.54556472525739</c:v>
                </c:pt>
                <c:pt idx="163">
                  <c:v>106.88534165366778</c:v>
                </c:pt>
                <c:pt idx="164">
                  <c:v>107.22198981829357</c:v>
                </c:pt>
                <c:pt idx="165">
                  <c:v>107.55548009930645</c:v>
                </c:pt>
                <c:pt idx="166">
                  <c:v>107.88578337687797</c:v>
                </c:pt>
                <c:pt idx="167">
                  <c:v>108.21287053117969</c:v>
                </c:pt>
                <c:pt idx="168">
                  <c:v>108.53671244238325</c:v>
                </c:pt>
                <c:pt idx="169">
                  <c:v>108.8572799906603</c:v>
                </c:pt>
                <c:pt idx="170">
                  <c:v>109.17454405618234</c:v>
                </c:pt>
                <c:pt idx="171">
                  <c:v>109.48847551912104</c:v>
                </c:pt>
                <c:pt idx="172">
                  <c:v>109.799045259648</c:v>
                </c:pt>
                <c:pt idx="173">
                  <c:v>110.1062241579348</c:v>
                </c:pt>
                <c:pt idx="174">
                  <c:v>110.40998309415305</c:v>
                </c:pt>
                <c:pt idx="175">
                  <c:v>110.71029294847435</c:v>
                </c:pt>
                <c:pt idx="176">
                  <c:v>111.0071246010703</c:v>
                </c:pt>
                <c:pt idx="177">
                  <c:v>111.30044893211249</c:v>
                </c:pt>
                <c:pt idx="178">
                  <c:v>111.59023682177258</c:v>
                </c:pt>
                <c:pt idx="179">
                  <c:v>111.87645915022212</c:v>
                </c:pt>
                <c:pt idx="180">
                  <c:v>112.1590867976327</c:v>
                </c:pt>
                <c:pt idx="181">
                  <c:v>112.43809064417597</c:v>
                </c:pt>
                <c:pt idx="182">
                  <c:v>112.71344157002348</c:v>
                </c:pt>
                <c:pt idx="183">
                  <c:v>112.98511045534687</c:v>
                </c:pt>
                <c:pt idx="184">
                  <c:v>113.25306818031773</c:v>
                </c:pt>
                <c:pt idx="185">
                  <c:v>113.51728562510766</c:v>
                </c:pt>
                <c:pt idx="186">
                  <c:v>113.77773366988825</c:v>
                </c:pt>
                <c:pt idx="187">
                  <c:v>114.03438319483111</c:v>
                </c:pt>
                <c:pt idx="188">
                  <c:v>114.28720508010785</c:v>
                </c:pt>
                <c:pt idx="189">
                  <c:v>114.5361702058901</c:v>
                </c:pt>
                <c:pt idx="190">
                  <c:v>114.78124945234941</c:v>
                </c:pt>
                <c:pt idx="191">
                  <c:v>115.02241369965739</c:v>
                </c:pt>
                <c:pt idx="192">
                  <c:v>115.25963382798565</c:v>
                </c:pt>
                <c:pt idx="193">
                  <c:v>115.49288071750577</c:v>
                </c:pt>
                <c:pt idx="194">
                  <c:v>115.72212524838945</c:v>
                </c:pt>
                <c:pt idx="195">
                  <c:v>115.94733830080816</c:v>
                </c:pt>
                <c:pt idx="196">
                  <c:v>116.16849075493356</c:v>
                </c:pt>
                <c:pt idx="197">
                  <c:v>116.38555349093728</c:v>
                </c:pt>
                <c:pt idx="198">
                  <c:v>116.59849738899089</c:v>
                </c:pt>
                <c:pt idx="199">
                  <c:v>116.80729332926596</c:v>
                </c:pt>
                <c:pt idx="200">
                  <c:v>117.01191219193416</c:v>
                </c:pt>
              </c:numCache>
            </c:numRef>
          </c:yVal>
        </c:ser>
        <c:ser>
          <c:idx val="3"/>
          <c:order val="3"/>
          <c:tx>
            <c:v>Số 4</c:v>
          </c:tx>
          <c:marker>
            <c:symbol val="none"/>
          </c:marker>
          <c:xVal>
            <c:numRef>
              <c:f>Luc_keo!$E$605:$E$805</c:f>
              <c:numCache>
                <c:formatCode>General</c:formatCode>
                <c:ptCount val="201"/>
                <c:pt idx="0">
                  <c:v>19.967478471921407</c:v>
                </c:pt>
                <c:pt idx="1">
                  <c:v>20.19211260473052</c:v>
                </c:pt>
                <c:pt idx="2">
                  <c:v>20.416746737539636</c:v>
                </c:pt>
                <c:pt idx="3">
                  <c:v>20.64138087034875</c:v>
                </c:pt>
                <c:pt idx="4">
                  <c:v>20.86601500315787</c:v>
                </c:pt>
                <c:pt idx="5">
                  <c:v>21.090649135966988</c:v>
                </c:pt>
                <c:pt idx="6">
                  <c:v>21.3152832687761</c:v>
                </c:pt>
                <c:pt idx="7">
                  <c:v>21.539917401585214</c:v>
                </c:pt>
                <c:pt idx="8">
                  <c:v>21.76455153439433</c:v>
                </c:pt>
                <c:pt idx="9">
                  <c:v>21.989185667203447</c:v>
                </c:pt>
                <c:pt idx="10">
                  <c:v>22.213819800012562</c:v>
                </c:pt>
                <c:pt idx="11">
                  <c:v>22.43845393282168</c:v>
                </c:pt>
                <c:pt idx="12">
                  <c:v>22.663088065630795</c:v>
                </c:pt>
                <c:pt idx="13">
                  <c:v>22.88772219843991</c:v>
                </c:pt>
                <c:pt idx="14">
                  <c:v>23.11235633124902</c:v>
                </c:pt>
                <c:pt idx="15">
                  <c:v>23.336990464058143</c:v>
                </c:pt>
                <c:pt idx="16">
                  <c:v>23.561624596867258</c:v>
                </c:pt>
                <c:pt idx="17">
                  <c:v>23.786258729676376</c:v>
                </c:pt>
                <c:pt idx="18">
                  <c:v>24.01089286248549</c:v>
                </c:pt>
                <c:pt idx="19">
                  <c:v>24.235526995294606</c:v>
                </c:pt>
                <c:pt idx="20">
                  <c:v>24.46016112810372</c:v>
                </c:pt>
                <c:pt idx="21">
                  <c:v>24.684795260912836</c:v>
                </c:pt>
                <c:pt idx="22">
                  <c:v>24.909429393721954</c:v>
                </c:pt>
                <c:pt idx="23">
                  <c:v>25.13406352653107</c:v>
                </c:pt>
                <c:pt idx="24">
                  <c:v>25.358697659340184</c:v>
                </c:pt>
                <c:pt idx="25">
                  <c:v>25.5833317921493</c:v>
                </c:pt>
                <c:pt idx="26">
                  <c:v>25.807965924958413</c:v>
                </c:pt>
                <c:pt idx="27">
                  <c:v>26.03260005776753</c:v>
                </c:pt>
                <c:pt idx="28">
                  <c:v>26.25723419057665</c:v>
                </c:pt>
                <c:pt idx="29">
                  <c:v>26.481868323385765</c:v>
                </c:pt>
                <c:pt idx="30">
                  <c:v>26.706502456194876</c:v>
                </c:pt>
                <c:pt idx="31">
                  <c:v>26.93113658900399</c:v>
                </c:pt>
                <c:pt idx="32">
                  <c:v>27.155770721813113</c:v>
                </c:pt>
                <c:pt idx="33">
                  <c:v>27.380404854622228</c:v>
                </c:pt>
                <c:pt idx="34">
                  <c:v>27.60503898743134</c:v>
                </c:pt>
                <c:pt idx="35">
                  <c:v>27.82967312024046</c:v>
                </c:pt>
                <c:pt idx="36">
                  <c:v>28.054307253049576</c:v>
                </c:pt>
                <c:pt idx="37">
                  <c:v>28.27894138585869</c:v>
                </c:pt>
                <c:pt idx="38">
                  <c:v>28.5035755186678</c:v>
                </c:pt>
                <c:pt idx="39">
                  <c:v>28.728209651476924</c:v>
                </c:pt>
                <c:pt idx="40">
                  <c:v>28.95284378428604</c:v>
                </c:pt>
                <c:pt idx="41">
                  <c:v>29.177477917095157</c:v>
                </c:pt>
                <c:pt idx="42">
                  <c:v>29.402112049904265</c:v>
                </c:pt>
                <c:pt idx="43">
                  <c:v>29.626746182713386</c:v>
                </c:pt>
                <c:pt idx="44">
                  <c:v>29.8513803155225</c:v>
                </c:pt>
                <c:pt idx="45">
                  <c:v>30.076014448331616</c:v>
                </c:pt>
                <c:pt idx="46">
                  <c:v>30.300648581140734</c:v>
                </c:pt>
                <c:pt idx="47">
                  <c:v>30.52528271394985</c:v>
                </c:pt>
                <c:pt idx="48">
                  <c:v>30.749916846758964</c:v>
                </c:pt>
                <c:pt idx="49">
                  <c:v>30.97455097956808</c:v>
                </c:pt>
                <c:pt idx="50">
                  <c:v>31.199185112377197</c:v>
                </c:pt>
                <c:pt idx="51">
                  <c:v>31.423819245186312</c:v>
                </c:pt>
                <c:pt idx="52">
                  <c:v>31.648453377995427</c:v>
                </c:pt>
                <c:pt idx="53">
                  <c:v>31.87308751080454</c:v>
                </c:pt>
                <c:pt idx="54">
                  <c:v>32.09772164361365</c:v>
                </c:pt>
                <c:pt idx="55">
                  <c:v>32.322355776422775</c:v>
                </c:pt>
                <c:pt idx="56">
                  <c:v>32.54698990923189</c:v>
                </c:pt>
                <c:pt idx="57">
                  <c:v>32.771624042041005</c:v>
                </c:pt>
                <c:pt idx="58">
                  <c:v>32.99625817485013</c:v>
                </c:pt>
                <c:pt idx="59">
                  <c:v>33.220892307659234</c:v>
                </c:pt>
                <c:pt idx="60">
                  <c:v>33.44552644046835</c:v>
                </c:pt>
                <c:pt idx="61">
                  <c:v>33.670160573277464</c:v>
                </c:pt>
                <c:pt idx="62">
                  <c:v>33.894794706086586</c:v>
                </c:pt>
                <c:pt idx="63">
                  <c:v>34.11942883889569</c:v>
                </c:pt>
                <c:pt idx="64">
                  <c:v>34.344062971704815</c:v>
                </c:pt>
                <c:pt idx="65">
                  <c:v>34.56869710451393</c:v>
                </c:pt>
                <c:pt idx="66">
                  <c:v>34.79333123732305</c:v>
                </c:pt>
                <c:pt idx="67">
                  <c:v>35.01796537013216</c:v>
                </c:pt>
                <c:pt idx="68">
                  <c:v>35.242599502941275</c:v>
                </c:pt>
                <c:pt idx="69">
                  <c:v>35.4672336357504</c:v>
                </c:pt>
                <c:pt idx="70">
                  <c:v>35.69186776855951</c:v>
                </c:pt>
                <c:pt idx="71">
                  <c:v>35.916501901368626</c:v>
                </c:pt>
                <c:pt idx="72">
                  <c:v>36.14113603417774</c:v>
                </c:pt>
                <c:pt idx="73">
                  <c:v>36.36577016698686</c:v>
                </c:pt>
                <c:pt idx="74">
                  <c:v>36.59040429979597</c:v>
                </c:pt>
                <c:pt idx="75">
                  <c:v>36.81503843260509</c:v>
                </c:pt>
                <c:pt idx="76">
                  <c:v>37.03967256541421</c:v>
                </c:pt>
                <c:pt idx="77">
                  <c:v>37.26430669822332</c:v>
                </c:pt>
                <c:pt idx="78">
                  <c:v>37.48894083103244</c:v>
                </c:pt>
                <c:pt idx="79">
                  <c:v>37.71357496384155</c:v>
                </c:pt>
                <c:pt idx="80">
                  <c:v>37.938209096650674</c:v>
                </c:pt>
                <c:pt idx="81">
                  <c:v>38.16284322945979</c:v>
                </c:pt>
                <c:pt idx="82">
                  <c:v>38.3874773622689</c:v>
                </c:pt>
                <c:pt idx="83">
                  <c:v>38.61211149507802</c:v>
                </c:pt>
                <c:pt idx="84">
                  <c:v>38.83674562788713</c:v>
                </c:pt>
                <c:pt idx="85">
                  <c:v>39.06137976069624</c:v>
                </c:pt>
                <c:pt idx="86">
                  <c:v>39.28601389350536</c:v>
                </c:pt>
                <c:pt idx="87">
                  <c:v>39.51064802631448</c:v>
                </c:pt>
                <c:pt idx="88">
                  <c:v>39.7352821591236</c:v>
                </c:pt>
                <c:pt idx="89">
                  <c:v>39.959916291932714</c:v>
                </c:pt>
                <c:pt idx="90">
                  <c:v>40.18455042474183</c:v>
                </c:pt>
                <c:pt idx="91">
                  <c:v>40.409184557550944</c:v>
                </c:pt>
                <c:pt idx="92">
                  <c:v>40.63381869036006</c:v>
                </c:pt>
                <c:pt idx="93">
                  <c:v>40.85845282316917</c:v>
                </c:pt>
                <c:pt idx="94">
                  <c:v>41.08308695597829</c:v>
                </c:pt>
                <c:pt idx="95">
                  <c:v>41.3077210887874</c:v>
                </c:pt>
                <c:pt idx="96">
                  <c:v>41.532355221596525</c:v>
                </c:pt>
                <c:pt idx="97">
                  <c:v>41.75698935440563</c:v>
                </c:pt>
                <c:pt idx="98">
                  <c:v>41.981623487214755</c:v>
                </c:pt>
                <c:pt idx="99">
                  <c:v>42.20625762002387</c:v>
                </c:pt>
                <c:pt idx="100">
                  <c:v>42.43089175283298</c:v>
                </c:pt>
                <c:pt idx="101">
                  <c:v>42.6555258856421</c:v>
                </c:pt>
                <c:pt idx="102">
                  <c:v>42.88016001845122</c:v>
                </c:pt>
                <c:pt idx="103">
                  <c:v>43.10479415126033</c:v>
                </c:pt>
                <c:pt idx="104">
                  <c:v>43.32942828406945</c:v>
                </c:pt>
                <c:pt idx="105">
                  <c:v>43.55406241687856</c:v>
                </c:pt>
                <c:pt idx="106">
                  <c:v>43.77869654968768</c:v>
                </c:pt>
                <c:pt idx="107">
                  <c:v>44.003330682496795</c:v>
                </c:pt>
                <c:pt idx="108">
                  <c:v>44.2279648153059</c:v>
                </c:pt>
                <c:pt idx="109">
                  <c:v>44.452598948115025</c:v>
                </c:pt>
                <c:pt idx="110">
                  <c:v>44.67723308092415</c:v>
                </c:pt>
                <c:pt idx="111">
                  <c:v>44.901867213733254</c:v>
                </c:pt>
                <c:pt idx="112">
                  <c:v>45.126501346542376</c:v>
                </c:pt>
                <c:pt idx="113">
                  <c:v>45.3511354793515</c:v>
                </c:pt>
                <c:pt idx="114">
                  <c:v>45.57576961216061</c:v>
                </c:pt>
                <c:pt idx="115">
                  <c:v>45.80040374496972</c:v>
                </c:pt>
                <c:pt idx="116">
                  <c:v>46.02503787777883</c:v>
                </c:pt>
                <c:pt idx="117">
                  <c:v>46.24967201058795</c:v>
                </c:pt>
                <c:pt idx="118">
                  <c:v>46.47430614339707</c:v>
                </c:pt>
                <c:pt idx="119">
                  <c:v>46.69894027620618</c:v>
                </c:pt>
                <c:pt idx="120">
                  <c:v>46.9235744090153</c:v>
                </c:pt>
                <c:pt idx="121">
                  <c:v>47.148208541824424</c:v>
                </c:pt>
                <c:pt idx="122">
                  <c:v>47.37284267463353</c:v>
                </c:pt>
                <c:pt idx="123">
                  <c:v>47.597476807442646</c:v>
                </c:pt>
                <c:pt idx="124">
                  <c:v>47.82211094025176</c:v>
                </c:pt>
                <c:pt idx="125">
                  <c:v>48.04674507306088</c:v>
                </c:pt>
                <c:pt idx="126">
                  <c:v>48.27137920587</c:v>
                </c:pt>
                <c:pt idx="127">
                  <c:v>48.49601333867911</c:v>
                </c:pt>
                <c:pt idx="128">
                  <c:v>48.72064747148823</c:v>
                </c:pt>
                <c:pt idx="129">
                  <c:v>48.94528160429734</c:v>
                </c:pt>
                <c:pt idx="130">
                  <c:v>49.16991573710646</c:v>
                </c:pt>
                <c:pt idx="131">
                  <c:v>49.39454986991557</c:v>
                </c:pt>
                <c:pt idx="132">
                  <c:v>49.61918400272469</c:v>
                </c:pt>
                <c:pt idx="133">
                  <c:v>49.84381813553381</c:v>
                </c:pt>
                <c:pt idx="134">
                  <c:v>50.06845226834292</c:v>
                </c:pt>
                <c:pt idx="135">
                  <c:v>50.29308640115204</c:v>
                </c:pt>
                <c:pt idx="136">
                  <c:v>50.51772053396116</c:v>
                </c:pt>
                <c:pt idx="137">
                  <c:v>50.74235466677027</c:v>
                </c:pt>
                <c:pt idx="138">
                  <c:v>50.96698879957939</c:v>
                </c:pt>
                <c:pt idx="139">
                  <c:v>51.191622932388505</c:v>
                </c:pt>
                <c:pt idx="140">
                  <c:v>51.41625706519761</c:v>
                </c:pt>
                <c:pt idx="141">
                  <c:v>51.64089119800672</c:v>
                </c:pt>
                <c:pt idx="142">
                  <c:v>51.86552533081584</c:v>
                </c:pt>
                <c:pt idx="143">
                  <c:v>52.090159463624964</c:v>
                </c:pt>
                <c:pt idx="144">
                  <c:v>52.314793596434086</c:v>
                </c:pt>
                <c:pt idx="145">
                  <c:v>52.539427729243194</c:v>
                </c:pt>
                <c:pt idx="146">
                  <c:v>52.764061862052316</c:v>
                </c:pt>
                <c:pt idx="147">
                  <c:v>52.98869599486143</c:v>
                </c:pt>
                <c:pt idx="148">
                  <c:v>53.21333012767054</c:v>
                </c:pt>
                <c:pt idx="149">
                  <c:v>53.43796426047966</c:v>
                </c:pt>
                <c:pt idx="150">
                  <c:v>53.66259839328878</c:v>
                </c:pt>
                <c:pt idx="151">
                  <c:v>53.88723252609789</c:v>
                </c:pt>
                <c:pt idx="152">
                  <c:v>54.11186665890701</c:v>
                </c:pt>
                <c:pt idx="153">
                  <c:v>54.33650079171612</c:v>
                </c:pt>
                <c:pt idx="154">
                  <c:v>54.56113492452524</c:v>
                </c:pt>
                <c:pt idx="155">
                  <c:v>54.785769057334356</c:v>
                </c:pt>
                <c:pt idx="156">
                  <c:v>55.010403190143464</c:v>
                </c:pt>
                <c:pt idx="157">
                  <c:v>55.235037322952586</c:v>
                </c:pt>
                <c:pt idx="158">
                  <c:v>55.4596714557617</c:v>
                </c:pt>
                <c:pt idx="159">
                  <c:v>55.68430558857082</c:v>
                </c:pt>
                <c:pt idx="160">
                  <c:v>55.90893972137994</c:v>
                </c:pt>
                <c:pt idx="161">
                  <c:v>56.13357385418905</c:v>
                </c:pt>
                <c:pt idx="162">
                  <c:v>56.35820798699817</c:v>
                </c:pt>
                <c:pt idx="163">
                  <c:v>56.582842119807275</c:v>
                </c:pt>
                <c:pt idx="164">
                  <c:v>56.80747625261639</c:v>
                </c:pt>
                <c:pt idx="165">
                  <c:v>57.03211038542551</c:v>
                </c:pt>
                <c:pt idx="166">
                  <c:v>57.256744518234626</c:v>
                </c:pt>
                <c:pt idx="167">
                  <c:v>57.48137865104374</c:v>
                </c:pt>
                <c:pt idx="168">
                  <c:v>57.70601278385286</c:v>
                </c:pt>
                <c:pt idx="169">
                  <c:v>57.930646916661985</c:v>
                </c:pt>
                <c:pt idx="170">
                  <c:v>58.15528104947109</c:v>
                </c:pt>
                <c:pt idx="171">
                  <c:v>58.37991518228021</c:v>
                </c:pt>
                <c:pt idx="172">
                  <c:v>58.60454931508933</c:v>
                </c:pt>
                <c:pt idx="173">
                  <c:v>58.82918344789844</c:v>
                </c:pt>
                <c:pt idx="174">
                  <c:v>59.05381758070756</c:v>
                </c:pt>
                <c:pt idx="175">
                  <c:v>59.27845171351667</c:v>
                </c:pt>
                <c:pt idx="176">
                  <c:v>59.50308584632579</c:v>
                </c:pt>
                <c:pt idx="177">
                  <c:v>59.72771997913491</c:v>
                </c:pt>
                <c:pt idx="178">
                  <c:v>59.95235411194402</c:v>
                </c:pt>
                <c:pt idx="179">
                  <c:v>60.17698824475313</c:v>
                </c:pt>
                <c:pt idx="180">
                  <c:v>60.40162237756224</c:v>
                </c:pt>
                <c:pt idx="181">
                  <c:v>60.62625651037136</c:v>
                </c:pt>
                <c:pt idx="182">
                  <c:v>60.850890643180485</c:v>
                </c:pt>
                <c:pt idx="183">
                  <c:v>61.07552477598959</c:v>
                </c:pt>
                <c:pt idx="184">
                  <c:v>61.300158908798714</c:v>
                </c:pt>
                <c:pt idx="185">
                  <c:v>61.524793041607836</c:v>
                </c:pt>
                <c:pt idx="186">
                  <c:v>61.749427174416944</c:v>
                </c:pt>
                <c:pt idx="187">
                  <c:v>61.97406130722606</c:v>
                </c:pt>
                <c:pt idx="188">
                  <c:v>62.198695440035166</c:v>
                </c:pt>
                <c:pt idx="189">
                  <c:v>62.42332957284429</c:v>
                </c:pt>
                <c:pt idx="190">
                  <c:v>62.647963705653396</c:v>
                </c:pt>
                <c:pt idx="191">
                  <c:v>62.87259783846252</c:v>
                </c:pt>
                <c:pt idx="192">
                  <c:v>63.09723197127164</c:v>
                </c:pt>
                <c:pt idx="193">
                  <c:v>63.32186610408075</c:v>
                </c:pt>
                <c:pt idx="194">
                  <c:v>63.54650023688987</c:v>
                </c:pt>
                <c:pt idx="195">
                  <c:v>63.771134369698984</c:v>
                </c:pt>
                <c:pt idx="196">
                  <c:v>63.995768502508106</c:v>
                </c:pt>
                <c:pt idx="197">
                  <c:v>64.22040263531721</c:v>
                </c:pt>
                <c:pt idx="198">
                  <c:v>64.44503676812634</c:v>
                </c:pt>
                <c:pt idx="199">
                  <c:v>64.66967090093544</c:v>
                </c:pt>
                <c:pt idx="200">
                  <c:v>64.89430503374456</c:v>
                </c:pt>
              </c:numCache>
            </c:numRef>
          </c:xVal>
          <c:yVal>
            <c:numRef>
              <c:f>Luc_keo!$F$605:$F$805</c:f>
              <c:numCache>
                <c:formatCode>General</c:formatCode>
                <c:ptCount val="201"/>
                <c:pt idx="0">
                  <c:v>31.210277899168606</c:v>
                </c:pt>
                <c:pt idx="1">
                  <c:v>31.67244546633681</c:v>
                </c:pt>
                <c:pt idx="2">
                  <c:v>32.13620168192096</c:v>
                </c:pt>
                <c:pt idx="3">
                  <c:v>32.60151742609266</c:v>
                </c:pt>
                <c:pt idx="4">
                  <c:v>33.068363579023526</c:v>
                </c:pt>
                <c:pt idx="5">
                  <c:v>33.53671102088513</c:v>
                </c:pt>
                <c:pt idx="6">
                  <c:v>34.006530631849095</c:v>
                </c:pt>
                <c:pt idx="7">
                  <c:v>34.47779329208702</c:v>
                </c:pt>
                <c:pt idx="8">
                  <c:v>34.9504698817705</c:v>
                </c:pt>
                <c:pt idx="9">
                  <c:v>35.42453128107114</c:v>
                </c:pt>
                <c:pt idx="10">
                  <c:v>35.89994837016054</c:v>
                </c:pt>
                <c:pt idx="11">
                  <c:v>36.37669202921032</c:v>
                </c:pt>
                <c:pt idx="12">
                  <c:v>36.854733138392056</c:v>
                </c:pt>
                <c:pt idx="13">
                  <c:v>37.33404257787736</c:v>
                </c:pt>
                <c:pt idx="14">
                  <c:v>37.81459122783783</c:v>
                </c:pt>
                <c:pt idx="15">
                  <c:v>38.29634996844507</c:v>
                </c:pt>
                <c:pt idx="16">
                  <c:v>38.7792896798707</c:v>
                </c:pt>
                <c:pt idx="17">
                  <c:v>39.26338124228629</c:v>
                </c:pt>
                <c:pt idx="18">
                  <c:v>39.74859553586345</c:v>
                </c:pt>
                <c:pt idx="19">
                  <c:v>40.234903440773806</c:v>
                </c:pt>
                <c:pt idx="20">
                  <c:v>40.72227583718894</c:v>
                </c:pt>
                <c:pt idx="21">
                  <c:v>41.210683605280444</c:v>
                </c:pt>
                <c:pt idx="22">
                  <c:v>41.70009762521995</c:v>
                </c:pt>
                <c:pt idx="23">
                  <c:v>42.19048877717902</c:v>
                </c:pt>
                <c:pt idx="24">
                  <c:v>42.681827941329296</c:v>
                </c:pt>
                <c:pt idx="25">
                  <c:v>43.17408599784235</c:v>
                </c:pt>
                <c:pt idx="26">
                  <c:v>43.667233826889785</c:v>
                </c:pt>
                <c:pt idx="27">
                  <c:v>44.161242308643224</c:v>
                </c:pt>
                <c:pt idx="28">
                  <c:v>44.65608232327426</c:v>
                </c:pt>
                <c:pt idx="29">
                  <c:v>45.151724750954486</c:v>
                </c:pt>
                <c:pt idx="30">
                  <c:v>45.64814047185552</c:v>
                </c:pt>
                <c:pt idx="31">
                  <c:v>46.14530036614894</c:v>
                </c:pt>
                <c:pt idx="32">
                  <c:v>46.64317531400637</c:v>
                </c:pt>
                <c:pt idx="33">
                  <c:v>47.1417361955994</c:v>
                </c:pt>
                <c:pt idx="34">
                  <c:v>47.64095389109963</c:v>
                </c:pt>
                <c:pt idx="35">
                  <c:v>48.14079928067868</c:v>
                </c:pt>
                <c:pt idx="36">
                  <c:v>48.64124324450813</c:v>
                </c:pt>
                <c:pt idx="37">
                  <c:v>49.1422566627596</c:v>
                </c:pt>
                <c:pt idx="38">
                  <c:v>49.643810415604676</c:v>
                </c:pt>
                <c:pt idx="39">
                  <c:v>50.14587538321496</c:v>
                </c:pt>
                <c:pt idx="40">
                  <c:v>50.648422445762066</c:v>
                </c:pt>
                <c:pt idx="41">
                  <c:v>51.151422483417576</c:v>
                </c:pt>
                <c:pt idx="42">
                  <c:v>51.65484637635312</c:v>
                </c:pt>
                <c:pt idx="43">
                  <c:v>52.15866500474027</c:v>
                </c:pt>
                <c:pt idx="44">
                  <c:v>52.66284924875066</c:v>
                </c:pt>
                <c:pt idx="45">
                  <c:v>53.16736998855586</c:v>
                </c:pt>
                <c:pt idx="46">
                  <c:v>53.67219810432749</c:v>
                </c:pt>
                <c:pt idx="47">
                  <c:v>54.177304476237154</c:v>
                </c:pt>
                <c:pt idx="48">
                  <c:v>54.682659984456436</c:v>
                </c:pt>
                <c:pt idx="49">
                  <c:v>55.188235509156954</c:v>
                </c:pt>
                <c:pt idx="50">
                  <c:v>55.69400193051032</c:v>
                </c:pt>
                <c:pt idx="51">
                  <c:v>56.199930128688095</c:v>
                </c:pt>
                <c:pt idx="52">
                  <c:v>56.70599098386193</c:v>
                </c:pt>
                <c:pt idx="53">
                  <c:v>57.212155376203384</c:v>
                </c:pt>
                <c:pt idx="54">
                  <c:v>57.71839418588409</c:v>
                </c:pt>
                <c:pt idx="55">
                  <c:v>58.22467829307563</c:v>
                </c:pt>
                <c:pt idx="56">
                  <c:v>58.73097857794961</c:v>
                </c:pt>
                <c:pt idx="57">
                  <c:v>59.23726592067765</c:v>
                </c:pt>
                <c:pt idx="58">
                  <c:v>59.74351120143131</c:v>
                </c:pt>
                <c:pt idx="59">
                  <c:v>60.24968530038224</c:v>
                </c:pt>
                <c:pt idx="60">
                  <c:v>60.75575909770202</c:v>
                </c:pt>
                <c:pt idx="61">
                  <c:v>61.26170347356226</c:v>
                </c:pt>
                <c:pt idx="62">
                  <c:v>61.76748930813455</c:v>
                </c:pt>
                <c:pt idx="63">
                  <c:v>62.27308748159049</c:v>
                </c:pt>
                <c:pt idx="64">
                  <c:v>62.778468874101684</c:v>
                </c:pt>
                <c:pt idx="65">
                  <c:v>63.28360436583975</c:v>
                </c:pt>
                <c:pt idx="66">
                  <c:v>63.78846483697627</c:v>
                </c:pt>
                <c:pt idx="67">
                  <c:v>64.29302116768284</c:v>
                </c:pt>
                <c:pt idx="68">
                  <c:v>64.79724423813109</c:v>
                </c:pt>
                <c:pt idx="69">
                  <c:v>65.30110492849258</c:v>
                </c:pt>
                <c:pt idx="70">
                  <c:v>65.80457411893899</c:v>
                </c:pt>
                <c:pt idx="71">
                  <c:v>66.30762268964183</c:v>
                </c:pt>
                <c:pt idx="72">
                  <c:v>66.81022152077274</c:v>
                </c:pt>
                <c:pt idx="73">
                  <c:v>67.31234149250334</c:v>
                </c:pt>
                <c:pt idx="74">
                  <c:v>67.81395348500523</c:v>
                </c:pt>
                <c:pt idx="75">
                  <c:v>68.31502837844995</c:v>
                </c:pt>
                <c:pt idx="76">
                  <c:v>68.8155370530092</c:v>
                </c:pt>
                <c:pt idx="77">
                  <c:v>69.31545038885447</c:v>
                </c:pt>
                <c:pt idx="78">
                  <c:v>69.81473926615747</c:v>
                </c:pt>
                <c:pt idx="79">
                  <c:v>70.31337456508975</c:v>
                </c:pt>
                <c:pt idx="80">
                  <c:v>70.81132716582292</c:v>
                </c:pt>
                <c:pt idx="81">
                  <c:v>71.30856794852853</c:v>
                </c:pt>
                <c:pt idx="82">
                  <c:v>71.80506779337827</c:v>
                </c:pt>
                <c:pt idx="83">
                  <c:v>72.3007975805437</c:v>
                </c:pt>
                <c:pt idx="84">
                  <c:v>72.79572819019643</c:v>
                </c:pt>
                <c:pt idx="85">
                  <c:v>73.28983050250802</c:v>
                </c:pt>
                <c:pt idx="86">
                  <c:v>73.78307539765014</c:v>
                </c:pt>
                <c:pt idx="87">
                  <c:v>74.27543375579434</c:v>
                </c:pt>
                <c:pt idx="88">
                  <c:v>74.76687645711225</c:v>
                </c:pt>
                <c:pt idx="89">
                  <c:v>75.25737438177545</c:v>
                </c:pt>
                <c:pt idx="90">
                  <c:v>75.74689840995556</c:v>
                </c:pt>
                <c:pt idx="91">
                  <c:v>76.23541942182418</c:v>
                </c:pt>
                <c:pt idx="92">
                  <c:v>76.7229082975529</c:v>
                </c:pt>
                <c:pt idx="93">
                  <c:v>77.20933591731331</c:v>
                </c:pt>
                <c:pt idx="94">
                  <c:v>77.69467316127707</c:v>
                </c:pt>
                <c:pt idx="95">
                  <c:v>78.17889090961572</c:v>
                </c:pt>
                <c:pt idx="96">
                  <c:v>78.66196004250087</c:v>
                </c:pt>
                <c:pt idx="97">
                  <c:v>79.14385144010419</c:v>
                </c:pt>
                <c:pt idx="98">
                  <c:v>79.62453598259717</c:v>
                </c:pt>
                <c:pt idx="99">
                  <c:v>80.1039845501515</c:v>
                </c:pt>
                <c:pt idx="100">
                  <c:v>80.58216802293873</c:v>
                </c:pt>
                <c:pt idx="101">
                  <c:v>81.05905728113048</c:v>
                </c:pt>
                <c:pt idx="102">
                  <c:v>81.53462320489838</c:v>
                </c:pt>
                <c:pt idx="103">
                  <c:v>82.00883667441398</c:v>
                </c:pt>
                <c:pt idx="104">
                  <c:v>82.4816685698489</c:v>
                </c:pt>
                <c:pt idx="105">
                  <c:v>82.95308977137479</c:v>
                </c:pt>
                <c:pt idx="106">
                  <c:v>83.42307115916319</c:v>
                </c:pt>
                <c:pt idx="107">
                  <c:v>83.8915836133857</c:v>
                </c:pt>
                <c:pt idx="108">
                  <c:v>84.35859801421401</c:v>
                </c:pt>
                <c:pt idx="109">
                  <c:v>84.82408524181962</c:v>
                </c:pt>
                <c:pt idx="110">
                  <c:v>85.28801617637414</c:v>
                </c:pt>
                <c:pt idx="111">
                  <c:v>85.75036169804922</c:v>
                </c:pt>
                <c:pt idx="112">
                  <c:v>86.21109268701645</c:v>
                </c:pt>
                <c:pt idx="113">
                  <c:v>86.67018002344741</c:v>
                </c:pt>
                <c:pt idx="114">
                  <c:v>87.12759458751373</c:v>
                </c:pt>
                <c:pt idx="115">
                  <c:v>87.58330725938698</c:v>
                </c:pt>
                <c:pt idx="116">
                  <c:v>88.03728891923879</c:v>
                </c:pt>
                <c:pt idx="117">
                  <c:v>88.48951044724076</c:v>
                </c:pt>
                <c:pt idx="118">
                  <c:v>88.93994272356449</c:v>
                </c:pt>
                <c:pt idx="119">
                  <c:v>89.38855662838155</c:v>
                </c:pt>
                <c:pt idx="120">
                  <c:v>89.83532304186356</c:v>
                </c:pt>
                <c:pt idx="121">
                  <c:v>90.28021284418215</c:v>
                </c:pt>
                <c:pt idx="122">
                  <c:v>90.7231969155089</c:v>
                </c:pt>
                <c:pt idx="123">
                  <c:v>91.16424613601536</c:v>
                </c:pt>
                <c:pt idx="124">
                  <c:v>91.60333138587326</c:v>
                </c:pt>
                <c:pt idx="125">
                  <c:v>92.04042354525409</c:v>
                </c:pt>
                <c:pt idx="126">
                  <c:v>92.47549349432948</c:v>
                </c:pt>
                <c:pt idx="127">
                  <c:v>92.90851211327106</c:v>
                </c:pt>
                <c:pt idx="128">
                  <c:v>93.33945028225037</c:v>
                </c:pt>
                <c:pt idx="129">
                  <c:v>93.76827888143906</c:v>
                </c:pt>
                <c:pt idx="130">
                  <c:v>94.19496879100878</c:v>
                </c:pt>
                <c:pt idx="131">
                  <c:v>94.61949089113101</c:v>
                </c:pt>
                <c:pt idx="132">
                  <c:v>95.04181606197744</c:v>
                </c:pt>
                <c:pt idx="133">
                  <c:v>95.46191518371967</c:v>
                </c:pt>
                <c:pt idx="134">
                  <c:v>95.87975913652924</c:v>
                </c:pt>
                <c:pt idx="135">
                  <c:v>96.29531880057782</c:v>
                </c:pt>
                <c:pt idx="136">
                  <c:v>96.70856505603696</c:v>
                </c:pt>
                <c:pt idx="137">
                  <c:v>97.11946878307835</c:v>
                </c:pt>
                <c:pt idx="138">
                  <c:v>97.52800086187342</c:v>
                </c:pt>
                <c:pt idx="139">
                  <c:v>97.93413217259396</c:v>
                </c:pt>
                <c:pt idx="140">
                  <c:v>98.33783359541148</c:v>
                </c:pt>
                <c:pt idx="141">
                  <c:v>98.7390760104976</c:v>
                </c:pt>
                <c:pt idx="142">
                  <c:v>99.13783029802386</c:v>
                </c:pt>
                <c:pt idx="143">
                  <c:v>99.53406733816198</c:v>
                </c:pt>
                <c:pt idx="144">
                  <c:v>99.92775801108345</c:v>
                </c:pt>
                <c:pt idx="145">
                  <c:v>100.31887319695994</c:v>
                </c:pt>
                <c:pt idx="146">
                  <c:v>100.70738377596304</c:v>
                </c:pt>
                <c:pt idx="147">
                  <c:v>101.09326062826435</c:v>
                </c:pt>
                <c:pt idx="148">
                  <c:v>101.47647463403544</c:v>
                </c:pt>
                <c:pt idx="149">
                  <c:v>101.85699667344795</c:v>
                </c:pt>
                <c:pt idx="150">
                  <c:v>102.23479762667348</c:v>
                </c:pt>
                <c:pt idx="151">
                  <c:v>102.60984837388361</c:v>
                </c:pt>
                <c:pt idx="152">
                  <c:v>102.98211979524993</c:v>
                </c:pt>
                <c:pt idx="153">
                  <c:v>103.35158277094412</c:v>
                </c:pt>
                <c:pt idx="154">
                  <c:v>103.71820818113765</c:v>
                </c:pt>
                <c:pt idx="155">
                  <c:v>104.08196690600225</c:v>
                </c:pt>
                <c:pt idx="156">
                  <c:v>104.44282982570947</c:v>
                </c:pt>
                <c:pt idx="157">
                  <c:v>104.80076782043088</c:v>
                </c:pt>
                <c:pt idx="158">
                  <c:v>105.15575177033813</c:v>
                </c:pt>
                <c:pt idx="159">
                  <c:v>105.5077525556028</c:v>
                </c:pt>
                <c:pt idx="160">
                  <c:v>105.85674105639652</c:v>
                </c:pt>
                <c:pt idx="161">
                  <c:v>106.20268815289084</c:v>
                </c:pt>
                <c:pt idx="162">
                  <c:v>106.54556472525739</c:v>
                </c:pt>
                <c:pt idx="163">
                  <c:v>106.88534165366778</c:v>
                </c:pt>
                <c:pt idx="164">
                  <c:v>107.22198981829357</c:v>
                </c:pt>
                <c:pt idx="165">
                  <c:v>107.55548009930645</c:v>
                </c:pt>
                <c:pt idx="166">
                  <c:v>107.88578337687797</c:v>
                </c:pt>
                <c:pt idx="167">
                  <c:v>108.21287053117969</c:v>
                </c:pt>
                <c:pt idx="168">
                  <c:v>108.53671244238325</c:v>
                </c:pt>
                <c:pt idx="169">
                  <c:v>108.8572799906603</c:v>
                </c:pt>
                <c:pt idx="170">
                  <c:v>109.17454405618234</c:v>
                </c:pt>
                <c:pt idx="171">
                  <c:v>109.48847551912104</c:v>
                </c:pt>
                <c:pt idx="172">
                  <c:v>109.799045259648</c:v>
                </c:pt>
                <c:pt idx="173">
                  <c:v>110.1062241579348</c:v>
                </c:pt>
                <c:pt idx="174">
                  <c:v>110.40998309415305</c:v>
                </c:pt>
                <c:pt idx="175">
                  <c:v>110.71029294847435</c:v>
                </c:pt>
                <c:pt idx="176">
                  <c:v>111.0071246010703</c:v>
                </c:pt>
                <c:pt idx="177">
                  <c:v>111.30044893211249</c:v>
                </c:pt>
                <c:pt idx="178">
                  <c:v>111.59023682177258</c:v>
                </c:pt>
                <c:pt idx="179">
                  <c:v>111.87645915022212</c:v>
                </c:pt>
                <c:pt idx="180">
                  <c:v>112.1590867976327</c:v>
                </c:pt>
                <c:pt idx="181">
                  <c:v>112.43809064417597</c:v>
                </c:pt>
                <c:pt idx="182">
                  <c:v>112.71344157002348</c:v>
                </c:pt>
                <c:pt idx="183">
                  <c:v>112.98511045534687</c:v>
                </c:pt>
                <c:pt idx="184">
                  <c:v>113.25306818031773</c:v>
                </c:pt>
                <c:pt idx="185">
                  <c:v>113.51728562510766</c:v>
                </c:pt>
                <c:pt idx="186">
                  <c:v>113.77773366988825</c:v>
                </c:pt>
                <c:pt idx="187">
                  <c:v>114.03438319483111</c:v>
                </c:pt>
                <c:pt idx="188">
                  <c:v>114.28720508010785</c:v>
                </c:pt>
                <c:pt idx="189">
                  <c:v>114.5361702058901</c:v>
                </c:pt>
                <c:pt idx="190">
                  <c:v>114.78124945234941</c:v>
                </c:pt>
                <c:pt idx="191">
                  <c:v>115.02241369965739</c:v>
                </c:pt>
                <c:pt idx="192">
                  <c:v>115.25963382798565</c:v>
                </c:pt>
                <c:pt idx="193">
                  <c:v>115.49288071750577</c:v>
                </c:pt>
                <c:pt idx="194">
                  <c:v>115.72212524838945</c:v>
                </c:pt>
                <c:pt idx="195">
                  <c:v>115.94733830080816</c:v>
                </c:pt>
                <c:pt idx="196">
                  <c:v>116.16849075493356</c:v>
                </c:pt>
                <c:pt idx="197">
                  <c:v>116.38555349093728</c:v>
                </c:pt>
                <c:pt idx="198">
                  <c:v>116.59849738899089</c:v>
                </c:pt>
                <c:pt idx="199">
                  <c:v>116.80729332926596</c:v>
                </c:pt>
                <c:pt idx="200">
                  <c:v>117.01191219193416</c:v>
                </c:pt>
              </c:numCache>
            </c:numRef>
          </c:yVal>
        </c:ser>
        <c:ser>
          <c:idx val="4"/>
          <c:order val="4"/>
          <c:tx>
            <c:v>Số 5</c:v>
          </c:tx>
          <c:marker>
            <c:symbol val="none"/>
          </c:marker>
          <c:xVal>
            <c:numRef>
              <c:f>Luc_keo!$E$806:$E$1006</c:f>
              <c:numCache>
                <c:formatCode>General</c:formatCode>
                <c:ptCount val="201"/>
                <c:pt idx="0">
                  <c:v>32.478632478632484</c:v>
                </c:pt>
                <c:pt idx="1">
                  <c:v>32.8440170940171</c:v>
                </c:pt>
                <c:pt idx="2">
                  <c:v>33.20940170940171</c:v>
                </c:pt>
                <c:pt idx="3">
                  <c:v>33.574786324786324</c:v>
                </c:pt>
                <c:pt idx="4">
                  <c:v>33.940170940170944</c:v>
                </c:pt>
                <c:pt idx="5">
                  <c:v>34.30555555555556</c:v>
                </c:pt>
                <c:pt idx="6">
                  <c:v>34.67094017094017</c:v>
                </c:pt>
                <c:pt idx="7">
                  <c:v>35.03632478632478</c:v>
                </c:pt>
                <c:pt idx="8">
                  <c:v>35.4017094017094</c:v>
                </c:pt>
                <c:pt idx="9">
                  <c:v>35.76709401709402</c:v>
                </c:pt>
                <c:pt idx="10">
                  <c:v>36.13247863247863</c:v>
                </c:pt>
                <c:pt idx="11">
                  <c:v>36.49786324786325</c:v>
                </c:pt>
                <c:pt idx="12">
                  <c:v>36.863247863247864</c:v>
                </c:pt>
                <c:pt idx="13">
                  <c:v>37.22863247863248</c:v>
                </c:pt>
                <c:pt idx="14">
                  <c:v>37.59401709401709</c:v>
                </c:pt>
                <c:pt idx="15">
                  <c:v>37.95940170940171</c:v>
                </c:pt>
                <c:pt idx="16">
                  <c:v>38.324786324786324</c:v>
                </c:pt>
                <c:pt idx="17">
                  <c:v>38.690170940170944</c:v>
                </c:pt>
                <c:pt idx="18">
                  <c:v>39.05555555555556</c:v>
                </c:pt>
                <c:pt idx="19">
                  <c:v>39.42094017094017</c:v>
                </c:pt>
                <c:pt idx="20">
                  <c:v>39.78632478632478</c:v>
                </c:pt>
                <c:pt idx="21">
                  <c:v>40.1517094017094</c:v>
                </c:pt>
                <c:pt idx="22">
                  <c:v>40.517094017094024</c:v>
                </c:pt>
                <c:pt idx="23">
                  <c:v>40.88247863247863</c:v>
                </c:pt>
                <c:pt idx="24">
                  <c:v>41.24786324786324</c:v>
                </c:pt>
                <c:pt idx="25">
                  <c:v>41.61324786324786</c:v>
                </c:pt>
                <c:pt idx="26">
                  <c:v>41.97863247863248</c:v>
                </c:pt>
                <c:pt idx="27">
                  <c:v>42.34401709401709</c:v>
                </c:pt>
                <c:pt idx="28">
                  <c:v>42.70940170940172</c:v>
                </c:pt>
                <c:pt idx="29">
                  <c:v>43.07478632478633</c:v>
                </c:pt>
                <c:pt idx="30">
                  <c:v>43.44017094017094</c:v>
                </c:pt>
                <c:pt idx="31">
                  <c:v>43.80555555555555</c:v>
                </c:pt>
                <c:pt idx="32">
                  <c:v>44.17094017094017</c:v>
                </c:pt>
                <c:pt idx="33">
                  <c:v>44.53632478632478</c:v>
                </c:pt>
                <c:pt idx="34">
                  <c:v>44.9017094017094</c:v>
                </c:pt>
                <c:pt idx="35">
                  <c:v>45.267094017094024</c:v>
                </c:pt>
                <c:pt idx="36">
                  <c:v>45.63247863247864</c:v>
                </c:pt>
                <c:pt idx="37">
                  <c:v>45.99786324786324</c:v>
                </c:pt>
                <c:pt idx="38">
                  <c:v>46.36324786324786</c:v>
                </c:pt>
                <c:pt idx="39">
                  <c:v>46.72863247863248</c:v>
                </c:pt>
                <c:pt idx="40">
                  <c:v>47.09401709401709</c:v>
                </c:pt>
                <c:pt idx="41">
                  <c:v>47.45940170940172</c:v>
                </c:pt>
                <c:pt idx="42">
                  <c:v>47.824786324786324</c:v>
                </c:pt>
                <c:pt idx="43">
                  <c:v>48.190170940170944</c:v>
                </c:pt>
                <c:pt idx="44">
                  <c:v>48.55555555555555</c:v>
                </c:pt>
                <c:pt idx="45">
                  <c:v>48.92094017094016</c:v>
                </c:pt>
                <c:pt idx="46">
                  <c:v>49.28632478632478</c:v>
                </c:pt>
                <c:pt idx="47">
                  <c:v>49.6517094017094</c:v>
                </c:pt>
                <c:pt idx="48">
                  <c:v>50.01709401709402</c:v>
                </c:pt>
                <c:pt idx="49">
                  <c:v>50.38247863247863</c:v>
                </c:pt>
                <c:pt idx="50">
                  <c:v>50.74786324786325</c:v>
                </c:pt>
                <c:pt idx="51">
                  <c:v>51.11324786324786</c:v>
                </c:pt>
                <c:pt idx="52">
                  <c:v>51.47863247863248</c:v>
                </c:pt>
                <c:pt idx="53">
                  <c:v>51.84401709401709</c:v>
                </c:pt>
                <c:pt idx="54">
                  <c:v>52.20940170940171</c:v>
                </c:pt>
                <c:pt idx="55">
                  <c:v>52.574786324786324</c:v>
                </c:pt>
                <c:pt idx="56">
                  <c:v>52.94017094017094</c:v>
                </c:pt>
                <c:pt idx="57">
                  <c:v>53.30555555555556</c:v>
                </c:pt>
                <c:pt idx="58">
                  <c:v>53.67094017094017</c:v>
                </c:pt>
                <c:pt idx="59">
                  <c:v>54.036324786324776</c:v>
                </c:pt>
                <c:pt idx="60">
                  <c:v>54.401709401709404</c:v>
                </c:pt>
                <c:pt idx="61">
                  <c:v>54.76709401709402</c:v>
                </c:pt>
                <c:pt idx="62">
                  <c:v>55.13247863247864</c:v>
                </c:pt>
                <c:pt idx="63">
                  <c:v>55.49786324786324</c:v>
                </c:pt>
                <c:pt idx="64">
                  <c:v>55.863247863247864</c:v>
                </c:pt>
                <c:pt idx="65">
                  <c:v>56.22863247863247</c:v>
                </c:pt>
                <c:pt idx="66">
                  <c:v>56.5940170940171</c:v>
                </c:pt>
                <c:pt idx="67">
                  <c:v>56.9594017094017</c:v>
                </c:pt>
                <c:pt idx="68">
                  <c:v>57.324786324786324</c:v>
                </c:pt>
                <c:pt idx="69">
                  <c:v>57.690170940170944</c:v>
                </c:pt>
                <c:pt idx="70">
                  <c:v>58.055555555555564</c:v>
                </c:pt>
                <c:pt idx="71">
                  <c:v>58.42094017094017</c:v>
                </c:pt>
                <c:pt idx="72">
                  <c:v>58.78632478632478</c:v>
                </c:pt>
                <c:pt idx="73">
                  <c:v>59.151709401709404</c:v>
                </c:pt>
                <c:pt idx="74">
                  <c:v>59.51709401709401</c:v>
                </c:pt>
                <c:pt idx="75">
                  <c:v>59.88247863247863</c:v>
                </c:pt>
                <c:pt idx="76">
                  <c:v>60.24786324786325</c:v>
                </c:pt>
                <c:pt idx="77">
                  <c:v>60.61324786324787</c:v>
                </c:pt>
                <c:pt idx="78">
                  <c:v>60.97863247863248</c:v>
                </c:pt>
                <c:pt idx="79">
                  <c:v>61.34401709401709</c:v>
                </c:pt>
                <c:pt idx="80">
                  <c:v>61.70940170940171</c:v>
                </c:pt>
                <c:pt idx="81">
                  <c:v>62.07478632478633</c:v>
                </c:pt>
                <c:pt idx="82">
                  <c:v>62.44017094017094</c:v>
                </c:pt>
                <c:pt idx="83">
                  <c:v>62.80555555555556</c:v>
                </c:pt>
                <c:pt idx="84">
                  <c:v>63.17094017094018</c:v>
                </c:pt>
                <c:pt idx="85">
                  <c:v>63.53632478632478</c:v>
                </c:pt>
                <c:pt idx="86">
                  <c:v>63.9017094017094</c:v>
                </c:pt>
                <c:pt idx="87">
                  <c:v>64.26709401709402</c:v>
                </c:pt>
                <c:pt idx="88">
                  <c:v>64.63247863247864</c:v>
                </c:pt>
                <c:pt idx="89">
                  <c:v>64.99786324786325</c:v>
                </c:pt>
                <c:pt idx="90">
                  <c:v>65.36324786324786</c:v>
                </c:pt>
                <c:pt idx="91">
                  <c:v>65.72863247863248</c:v>
                </c:pt>
                <c:pt idx="92">
                  <c:v>66.0940170940171</c:v>
                </c:pt>
                <c:pt idx="93">
                  <c:v>66.4594017094017</c:v>
                </c:pt>
                <c:pt idx="94">
                  <c:v>66.82478632478633</c:v>
                </c:pt>
                <c:pt idx="95">
                  <c:v>67.19017094017094</c:v>
                </c:pt>
                <c:pt idx="96">
                  <c:v>67.55555555555556</c:v>
                </c:pt>
                <c:pt idx="97">
                  <c:v>67.92094017094017</c:v>
                </c:pt>
                <c:pt idx="98">
                  <c:v>68.28632478632478</c:v>
                </c:pt>
                <c:pt idx="99">
                  <c:v>68.65170940170941</c:v>
                </c:pt>
                <c:pt idx="100">
                  <c:v>69.01709401709401</c:v>
                </c:pt>
                <c:pt idx="101">
                  <c:v>69.38247863247864</c:v>
                </c:pt>
                <c:pt idx="102">
                  <c:v>69.74786324786325</c:v>
                </c:pt>
                <c:pt idx="103">
                  <c:v>70.11324786324786</c:v>
                </c:pt>
                <c:pt idx="104">
                  <c:v>70.47863247863248</c:v>
                </c:pt>
                <c:pt idx="105">
                  <c:v>70.84401709401708</c:v>
                </c:pt>
                <c:pt idx="106">
                  <c:v>71.2094017094017</c:v>
                </c:pt>
                <c:pt idx="107">
                  <c:v>71.57478632478633</c:v>
                </c:pt>
                <c:pt idx="108">
                  <c:v>71.94017094017093</c:v>
                </c:pt>
                <c:pt idx="109">
                  <c:v>72.30555555555556</c:v>
                </c:pt>
                <c:pt idx="110">
                  <c:v>72.67094017094017</c:v>
                </c:pt>
                <c:pt idx="111">
                  <c:v>73.03632478632478</c:v>
                </c:pt>
                <c:pt idx="112">
                  <c:v>73.4017094017094</c:v>
                </c:pt>
                <c:pt idx="113">
                  <c:v>73.76709401709402</c:v>
                </c:pt>
                <c:pt idx="114">
                  <c:v>74.13247863247864</c:v>
                </c:pt>
                <c:pt idx="115">
                  <c:v>74.49786324786325</c:v>
                </c:pt>
                <c:pt idx="116">
                  <c:v>74.86324786324785</c:v>
                </c:pt>
                <c:pt idx="117">
                  <c:v>75.22863247863248</c:v>
                </c:pt>
                <c:pt idx="118">
                  <c:v>75.59401709401709</c:v>
                </c:pt>
                <c:pt idx="119">
                  <c:v>75.95940170940169</c:v>
                </c:pt>
                <c:pt idx="120">
                  <c:v>76.32478632478632</c:v>
                </c:pt>
                <c:pt idx="121">
                  <c:v>76.69017094017094</c:v>
                </c:pt>
                <c:pt idx="122">
                  <c:v>77.05555555555556</c:v>
                </c:pt>
                <c:pt idx="123">
                  <c:v>77.42094017094017</c:v>
                </c:pt>
                <c:pt idx="124">
                  <c:v>77.78632478632478</c:v>
                </c:pt>
                <c:pt idx="125">
                  <c:v>78.15170940170941</c:v>
                </c:pt>
                <c:pt idx="126">
                  <c:v>78.51709401709401</c:v>
                </c:pt>
                <c:pt idx="127">
                  <c:v>78.88247863247864</c:v>
                </c:pt>
                <c:pt idx="128">
                  <c:v>79.24786324786324</c:v>
                </c:pt>
                <c:pt idx="129">
                  <c:v>79.61324786324786</c:v>
                </c:pt>
                <c:pt idx="130">
                  <c:v>79.97863247863246</c:v>
                </c:pt>
                <c:pt idx="131">
                  <c:v>80.34401709401709</c:v>
                </c:pt>
                <c:pt idx="132">
                  <c:v>80.7094017094017</c:v>
                </c:pt>
                <c:pt idx="133">
                  <c:v>81.07478632478633</c:v>
                </c:pt>
                <c:pt idx="134">
                  <c:v>81.44017094017094</c:v>
                </c:pt>
                <c:pt idx="135">
                  <c:v>81.80555555555556</c:v>
                </c:pt>
                <c:pt idx="136">
                  <c:v>82.17094017094018</c:v>
                </c:pt>
                <c:pt idx="137">
                  <c:v>82.53632478632478</c:v>
                </c:pt>
                <c:pt idx="138">
                  <c:v>82.9017094017094</c:v>
                </c:pt>
                <c:pt idx="139">
                  <c:v>83.26709401709402</c:v>
                </c:pt>
                <c:pt idx="140">
                  <c:v>83.63247863247862</c:v>
                </c:pt>
                <c:pt idx="141">
                  <c:v>83.99786324786324</c:v>
                </c:pt>
                <c:pt idx="142">
                  <c:v>84.36324786324785</c:v>
                </c:pt>
                <c:pt idx="143">
                  <c:v>84.72863247863248</c:v>
                </c:pt>
                <c:pt idx="144">
                  <c:v>85.09401709401709</c:v>
                </c:pt>
                <c:pt idx="145">
                  <c:v>85.4594017094017</c:v>
                </c:pt>
                <c:pt idx="146">
                  <c:v>85.82478632478633</c:v>
                </c:pt>
                <c:pt idx="147">
                  <c:v>86.19017094017094</c:v>
                </c:pt>
                <c:pt idx="148">
                  <c:v>86.55555555555556</c:v>
                </c:pt>
                <c:pt idx="149">
                  <c:v>86.92094017094017</c:v>
                </c:pt>
                <c:pt idx="150">
                  <c:v>87.2863247863248</c:v>
                </c:pt>
                <c:pt idx="151">
                  <c:v>87.6517094017094</c:v>
                </c:pt>
                <c:pt idx="152">
                  <c:v>88.01709401709401</c:v>
                </c:pt>
                <c:pt idx="153">
                  <c:v>88.38247863247862</c:v>
                </c:pt>
                <c:pt idx="154">
                  <c:v>88.74786324786324</c:v>
                </c:pt>
                <c:pt idx="155">
                  <c:v>89.11324786324786</c:v>
                </c:pt>
                <c:pt idx="156">
                  <c:v>89.47863247863246</c:v>
                </c:pt>
                <c:pt idx="157">
                  <c:v>89.84401709401709</c:v>
                </c:pt>
                <c:pt idx="158">
                  <c:v>90.20940170940172</c:v>
                </c:pt>
                <c:pt idx="159">
                  <c:v>90.57478632478633</c:v>
                </c:pt>
                <c:pt idx="160">
                  <c:v>90.94017094017094</c:v>
                </c:pt>
                <c:pt idx="161">
                  <c:v>91.30555555555556</c:v>
                </c:pt>
                <c:pt idx="162">
                  <c:v>91.67094017094018</c:v>
                </c:pt>
                <c:pt idx="163">
                  <c:v>92.03632478632478</c:v>
                </c:pt>
                <c:pt idx="164">
                  <c:v>92.4017094017094</c:v>
                </c:pt>
                <c:pt idx="165">
                  <c:v>92.76709401709401</c:v>
                </c:pt>
                <c:pt idx="166">
                  <c:v>93.13247863247862</c:v>
                </c:pt>
                <c:pt idx="167">
                  <c:v>93.49786324786324</c:v>
                </c:pt>
                <c:pt idx="168">
                  <c:v>93.86324786324785</c:v>
                </c:pt>
                <c:pt idx="169">
                  <c:v>94.22863247863248</c:v>
                </c:pt>
                <c:pt idx="170">
                  <c:v>94.5940170940171</c:v>
                </c:pt>
                <c:pt idx="171">
                  <c:v>94.95940170940172</c:v>
                </c:pt>
                <c:pt idx="172">
                  <c:v>95.32478632478633</c:v>
                </c:pt>
                <c:pt idx="173">
                  <c:v>95.69017094017094</c:v>
                </c:pt>
                <c:pt idx="174">
                  <c:v>96.05555555555556</c:v>
                </c:pt>
                <c:pt idx="175">
                  <c:v>96.42094017094017</c:v>
                </c:pt>
                <c:pt idx="176">
                  <c:v>96.78632478632478</c:v>
                </c:pt>
                <c:pt idx="177">
                  <c:v>97.1517094017094</c:v>
                </c:pt>
                <c:pt idx="178">
                  <c:v>97.51709401709401</c:v>
                </c:pt>
                <c:pt idx="179">
                  <c:v>97.88247863247862</c:v>
                </c:pt>
                <c:pt idx="180">
                  <c:v>98.24786324786324</c:v>
                </c:pt>
                <c:pt idx="181">
                  <c:v>98.61324786324786</c:v>
                </c:pt>
                <c:pt idx="182">
                  <c:v>98.97863247863246</c:v>
                </c:pt>
                <c:pt idx="183">
                  <c:v>99.3440170940171</c:v>
                </c:pt>
                <c:pt idx="184">
                  <c:v>99.70940170940172</c:v>
                </c:pt>
                <c:pt idx="185">
                  <c:v>100.07478632478633</c:v>
                </c:pt>
                <c:pt idx="186">
                  <c:v>100.44017094017094</c:v>
                </c:pt>
                <c:pt idx="187">
                  <c:v>100.80555555555554</c:v>
                </c:pt>
                <c:pt idx="188">
                  <c:v>101.17094017094017</c:v>
                </c:pt>
                <c:pt idx="189">
                  <c:v>101.53632478632477</c:v>
                </c:pt>
                <c:pt idx="190">
                  <c:v>101.9017094017094</c:v>
                </c:pt>
                <c:pt idx="191">
                  <c:v>102.26709401709401</c:v>
                </c:pt>
                <c:pt idx="192">
                  <c:v>102.63247863247864</c:v>
                </c:pt>
                <c:pt idx="193">
                  <c:v>102.99786324786324</c:v>
                </c:pt>
                <c:pt idx="194">
                  <c:v>103.36324786324785</c:v>
                </c:pt>
                <c:pt idx="195">
                  <c:v>103.72863247863249</c:v>
                </c:pt>
                <c:pt idx="196">
                  <c:v>104.0940170940171</c:v>
                </c:pt>
                <c:pt idx="197">
                  <c:v>104.45940170940172</c:v>
                </c:pt>
                <c:pt idx="198">
                  <c:v>104.82478632478633</c:v>
                </c:pt>
                <c:pt idx="199">
                  <c:v>105.19017094017094</c:v>
                </c:pt>
                <c:pt idx="200">
                  <c:v>105.55555555555554</c:v>
                </c:pt>
              </c:numCache>
            </c:numRef>
          </c:xVal>
          <c:yVal>
            <c:numRef>
              <c:f>Luc_keo!$F$806:$F$1006</c:f>
              <c:numCache>
                <c:formatCode>General</c:formatCode>
                <c:ptCount val="201"/>
                <c:pt idx="0">
                  <c:v>31.210277899168606</c:v>
                </c:pt>
                <c:pt idx="1">
                  <c:v>31.67244546633681</c:v>
                </c:pt>
                <c:pt idx="2">
                  <c:v>32.13620168192096</c:v>
                </c:pt>
                <c:pt idx="3">
                  <c:v>32.60151742609266</c:v>
                </c:pt>
                <c:pt idx="4">
                  <c:v>33.068363579023526</c:v>
                </c:pt>
                <c:pt idx="5">
                  <c:v>33.53671102088513</c:v>
                </c:pt>
                <c:pt idx="6">
                  <c:v>34.006530631849095</c:v>
                </c:pt>
                <c:pt idx="7">
                  <c:v>34.47779329208702</c:v>
                </c:pt>
                <c:pt idx="8">
                  <c:v>34.9504698817705</c:v>
                </c:pt>
                <c:pt idx="9">
                  <c:v>35.42453128107114</c:v>
                </c:pt>
                <c:pt idx="10">
                  <c:v>35.89994837016054</c:v>
                </c:pt>
                <c:pt idx="11">
                  <c:v>36.37669202921032</c:v>
                </c:pt>
                <c:pt idx="12">
                  <c:v>36.854733138392056</c:v>
                </c:pt>
                <c:pt idx="13">
                  <c:v>37.33404257787736</c:v>
                </c:pt>
                <c:pt idx="14">
                  <c:v>37.81459122783783</c:v>
                </c:pt>
                <c:pt idx="15">
                  <c:v>38.29634996844507</c:v>
                </c:pt>
                <c:pt idx="16">
                  <c:v>38.7792896798707</c:v>
                </c:pt>
                <c:pt idx="17">
                  <c:v>39.26338124228629</c:v>
                </c:pt>
                <c:pt idx="18">
                  <c:v>39.74859553586345</c:v>
                </c:pt>
                <c:pt idx="19">
                  <c:v>40.234903440773806</c:v>
                </c:pt>
                <c:pt idx="20">
                  <c:v>40.72227583718894</c:v>
                </c:pt>
                <c:pt idx="21">
                  <c:v>41.210683605280444</c:v>
                </c:pt>
                <c:pt idx="22">
                  <c:v>41.70009762521995</c:v>
                </c:pt>
                <c:pt idx="23">
                  <c:v>42.19048877717902</c:v>
                </c:pt>
                <c:pt idx="24">
                  <c:v>42.681827941329296</c:v>
                </c:pt>
                <c:pt idx="25">
                  <c:v>43.17408599784235</c:v>
                </c:pt>
                <c:pt idx="26">
                  <c:v>43.667233826889785</c:v>
                </c:pt>
                <c:pt idx="27">
                  <c:v>44.161242308643224</c:v>
                </c:pt>
                <c:pt idx="28">
                  <c:v>44.65608232327426</c:v>
                </c:pt>
                <c:pt idx="29">
                  <c:v>45.151724750954486</c:v>
                </c:pt>
                <c:pt idx="30">
                  <c:v>45.64814047185552</c:v>
                </c:pt>
                <c:pt idx="31">
                  <c:v>46.14530036614894</c:v>
                </c:pt>
                <c:pt idx="32">
                  <c:v>46.64317531400637</c:v>
                </c:pt>
                <c:pt idx="33">
                  <c:v>47.1417361955994</c:v>
                </c:pt>
                <c:pt idx="34">
                  <c:v>47.64095389109963</c:v>
                </c:pt>
                <c:pt idx="35">
                  <c:v>48.14079928067868</c:v>
                </c:pt>
                <c:pt idx="36">
                  <c:v>48.64124324450813</c:v>
                </c:pt>
                <c:pt idx="37">
                  <c:v>49.1422566627596</c:v>
                </c:pt>
                <c:pt idx="38">
                  <c:v>49.643810415604676</c:v>
                </c:pt>
                <c:pt idx="39">
                  <c:v>50.14587538321496</c:v>
                </c:pt>
                <c:pt idx="40">
                  <c:v>50.648422445762066</c:v>
                </c:pt>
                <c:pt idx="41">
                  <c:v>51.151422483417576</c:v>
                </c:pt>
                <c:pt idx="42">
                  <c:v>51.65484637635312</c:v>
                </c:pt>
                <c:pt idx="43">
                  <c:v>52.15866500474027</c:v>
                </c:pt>
                <c:pt idx="44">
                  <c:v>52.66284924875066</c:v>
                </c:pt>
                <c:pt idx="45">
                  <c:v>53.16736998855586</c:v>
                </c:pt>
                <c:pt idx="46">
                  <c:v>53.67219810432749</c:v>
                </c:pt>
                <c:pt idx="47">
                  <c:v>54.177304476237154</c:v>
                </c:pt>
                <c:pt idx="48">
                  <c:v>54.682659984456436</c:v>
                </c:pt>
                <c:pt idx="49">
                  <c:v>55.188235509156954</c:v>
                </c:pt>
                <c:pt idx="50">
                  <c:v>55.69400193051032</c:v>
                </c:pt>
                <c:pt idx="51">
                  <c:v>56.199930128688095</c:v>
                </c:pt>
                <c:pt idx="52">
                  <c:v>56.70599098386193</c:v>
                </c:pt>
                <c:pt idx="53">
                  <c:v>57.212155376203384</c:v>
                </c:pt>
                <c:pt idx="54">
                  <c:v>57.71839418588409</c:v>
                </c:pt>
                <c:pt idx="55">
                  <c:v>58.22467829307563</c:v>
                </c:pt>
                <c:pt idx="56">
                  <c:v>58.73097857794961</c:v>
                </c:pt>
                <c:pt idx="57">
                  <c:v>59.23726592067765</c:v>
                </c:pt>
                <c:pt idx="58">
                  <c:v>59.74351120143131</c:v>
                </c:pt>
                <c:pt idx="59">
                  <c:v>60.24968530038224</c:v>
                </c:pt>
                <c:pt idx="60">
                  <c:v>60.75575909770202</c:v>
                </c:pt>
                <c:pt idx="61">
                  <c:v>61.26170347356226</c:v>
                </c:pt>
                <c:pt idx="62">
                  <c:v>61.76748930813455</c:v>
                </c:pt>
                <c:pt idx="63">
                  <c:v>62.27308748159049</c:v>
                </c:pt>
                <c:pt idx="64">
                  <c:v>62.778468874101684</c:v>
                </c:pt>
                <c:pt idx="65">
                  <c:v>63.28360436583975</c:v>
                </c:pt>
                <c:pt idx="66">
                  <c:v>63.78846483697627</c:v>
                </c:pt>
                <c:pt idx="67">
                  <c:v>64.29302116768284</c:v>
                </c:pt>
                <c:pt idx="68">
                  <c:v>64.79724423813109</c:v>
                </c:pt>
                <c:pt idx="69">
                  <c:v>65.30110492849258</c:v>
                </c:pt>
                <c:pt idx="70">
                  <c:v>65.80457411893899</c:v>
                </c:pt>
                <c:pt idx="71">
                  <c:v>66.30762268964183</c:v>
                </c:pt>
                <c:pt idx="72">
                  <c:v>66.81022152077274</c:v>
                </c:pt>
                <c:pt idx="73">
                  <c:v>67.31234149250334</c:v>
                </c:pt>
                <c:pt idx="74">
                  <c:v>67.81395348500523</c:v>
                </c:pt>
                <c:pt idx="75">
                  <c:v>68.31502837844995</c:v>
                </c:pt>
                <c:pt idx="76">
                  <c:v>68.8155370530092</c:v>
                </c:pt>
                <c:pt idx="77">
                  <c:v>69.31545038885447</c:v>
                </c:pt>
                <c:pt idx="78">
                  <c:v>69.81473926615747</c:v>
                </c:pt>
                <c:pt idx="79">
                  <c:v>70.31337456508975</c:v>
                </c:pt>
                <c:pt idx="80">
                  <c:v>70.81132716582292</c:v>
                </c:pt>
                <c:pt idx="81">
                  <c:v>71.30856794852853</c:v>
                </c:pt>
                <c:pt idx="82">
                  <c:v>71.80506779337827</c:v>
                </c:pt>
                <c:pt idx="83">
                  <c:v>72.3007975805437</c:v>
                </c:pt>
                <c:pt idx="84">
                  <c:v>72.79572819019643</c:v>
                </c:pt>
                <c:pt idx="85">
                  <c:v>73.28983050250802</c:v>
                </c:pt>
                <c:pt idx="86">
                  <c:v>73.78307539765014</c:v>
                </c:pt>
                <c:pt idx="87">
                  <c:v>74.27543375579434</c:v>
                </c:pt>
                <c:pt idx="88">
                  <c:v>74.76687645711225</c:v>
                </c:pt>
                <c:pt idx="89">
                  <c:v>75.25737438177545</c:v>
                </c:pt>
                <c:pt idx="90">
                  <c:v>75.74689840995556</c:v>
                </c:pt>
                <c:pt idx="91">
                  <c:v>76.23541942182418</c:v>
                </c:pt>
                <c:pt idx="92">
                  <c:v>76.7229082975529</c:v>
                </c:pt>
                <c:pt idx="93">
                  <c:v>77.20933591731331</c:v>
                </c:pt>
                <c:pt idx="94">
                  <c:v>77.69467316127707</c:v>
                </c:pt>
                <c:pt idx="95">
                  <c:v>78.17889090961572</c:v>
                </c:pt>
                <c:pt idx="96">
                  <c:v>78.66196004250087</c:v>
                </c:pt>
                <c:pt idx="97">
                  <c:v>79.14385144010419</c:v>
                </c:pt>
                <c:pt idx="98">
                  <c:v>79.62453598259717</c:v>
                </c:pt>
                <c:pt idx="99">
                  <c:v>80.1039845501515</c:v>
                </c:pt>
                <c:pt idx="100">
                  <c:v>80.58216802293873</c:v>
                </c:pt>
                <c:pt idx="101">
                  <c:v>81.05905728113048</c:v>
                </c:pt>
                <c:pt idx="102">
                  <c:v>81.53462320489838</c:v>
                </c:pt>
                <c:pt idx="103">
                  <c:v>82.00883667441398</c:v>
                </c:pt>
                <c:pt idx="104">
                  <c:v>82.4816685698489</c:v>
                </c:pt>
                <c:pt idx="105">
                  <c:v>82.95308977137479</c:v>
                </c:pt>
                <c:pt idx="106">
                  <c:v>83.42307115916319</c:v>
                </c:pt>
                <c:pt idx="107">
                  <c:v>83.8915836133857</c:v>
                </c:pt>
                <c:pt idx="108">
                  <c:v>84.35859801421401</c:v>
                </c:pt>
                <c:pt idx="109">
                  <c:v>84.82408524181962</c:v>
                </c:pt>
                <c:pt idx="110">
                  <c:v>85.28801617637414</c:v>
                </c:pt>
                <c:pt idx="111">
                  <c:v>85.75036169804922</c:v>
                </c:pt>
                <c:pt idx="112">
                  <c:v>86.21109268701645</c:v>
                </c:pt>
                <c:pt idx="113">
                  <c:v>86.67018002344741</c:v>
                </c:pt>
                <c:pt idx="114">
                  <c:v>87.12759458751373</c:v>
                </c:pt>
                <c:pt idx="115">
                  <c:v>87.58330725938698</c:v>
                </c:pt>
                <c:pt idx="116">
                  <c:v>88.03728891923879</c:v>
                </c:pt>
                <c:pt idx="117">
                  <c:v>88.48951044724076</c:v>
                </c:pt>
                <c:pt idx="118">
                  <c:v>88.93994272356449</c:v>
                </c:pt>
                <c:pt idx="119">
                  <c:v>89.38855662838155</c:v>
                </c:pt>
                <c:pt idx="120">
                  <c:v>89.83532304186356</c:v>
                </c:pt>
                <c:pt idx="121">
                  <c:v>90.28021284418215</c:v>
                </c:pt>
                <c:pt idx="122">
                  <c:v>90.7231969155089</c:v>
                </c:pt>
                <c:pt idx="123">
                  <c:v>91.16424613601536</c:v>
                </c:pt>
                <c:pt idx="124">
                  <c:v>91.60333138587326</c:v>
                </c:pt>
                <c:pt idx="125">
                  <c:v>92.04042354525409</c:v>
                </c:pt>
                <c:pt idx="126">
                  <c:v>92.47549349432948</c:v>
                </c:pt>
                <c:pt idx="127">
                  <c:v>92.90851211327106</c:v>
                </c:pt>
                <c:pt idx="128">
                  <c:v>93.33945028225037</c:v>
                </c:pt>
                <c:pt idx="129">
                  <c:v>93.76827888143906</c:v>
                </c:pt>
                <c:pt idx="130">
                  <c:v>94.19496879100878</c:v>
                </c:pt>
                <c:pt idx="131">
                  <c:v>94.61949089113101</c:v>
                </c:pt>
                <c:pt idx="132">
                  <c:v>95.04181606197744</c:v>
                </c:pt>
                <c:pt idx="133">
                  <c:v>95.46191518371967</c:v>
                </c:pt>
                <c:pt idx="134">
                  <c:v>95.87975913652924</c:v>
                </c:pt>
                <c:pt idx="135">
                  <c:v>96.29531880057782</c:v>
                </c:pt>
                <c:pt idx="136">
                  <c:v>96.70856505603696</c:v>
                </c:pt>
                <c:pt idx="137">
                  <c:v>97.11946878307835</c:v>
                </c:pt>
                <c:pt idx="138">
                  <c:v>97.52800086187342</c:v>
                </c:pt>
                <c:pt idx="139">
                  <c:v>97.93413217259396</c:v>
                </c:pt>
                <c:pt idx="140">
                  <c:v>98.33783359541148</c:v>
                </c:pt>
                <c:pt idx="141">
                  <c:v>98.7390760104976</c:v>
                </c:pt>
                <c:pt idx="142">
                  <c:v>99.13783029802386</c:v>
                </c:pt>
                <c:pt idx="143">
                  <c:v>99.53406733816198</c:v>
                </c:pt>
                <c:pt idx="144">
                  <c:v>99.92775801108345</c:v>
                </c:pt>
                <c:pt idx="145">
                  <c:v>100.31887319695994</c:v>
                </c:pt>
                <c:pt idx="146">
                  <c:v>100.70738377596304</c:v>
                </c:pt>
                <c:pt idx="147">
                  <c:v>101.09326062826435</c:v>
                </c:pt>
                <c:pt idx="148">
                  <c:v>101.47647463403544</c:v>
                </c:pt>
                <c:pt idx="149">
                  <c:v>101.85699667344795</c:v>
                </c:pt>
                <c:pt idx="150">
                  <c:v>102.23479762667348</c:v>
                </c:pt>
                <c:pt idx="151">
                  <c:v>102.60984837388361</c:v>
                </c:pt>
                <c:pt idx="152">
                  <c:v>102.98211979524993</c:v>
                </c:pt>
                <c:pt idx="153">
                  <c:v>103.35158277094412</c:v>
                </c:pt>
                <c:pt idx="154">
                  <c:v>103.71820818113765</c:v>
                </c:pt>
                <c:pt idx="155">
                  <c:v>104.08196690600225</c:v>
                </c:pt>
                <c:pt idx="156">
                  <c:v>104.44282982570947</c:v>
                </c:pt>
                <c:pt idx="157">
                  <c:v>104.80076782043088</c:v>
                </c:pt>
                <c:pt idx="158">
                  <c:v>105.15575177033813</c:v>
                </c:pt>
                <c:pt idx="159">
                  <c:v>105.5077525556028</c:v>
                </c:pt>
                <c:pt idx="160">
                  <c:v>105.85674105639652</c:v>
                </c:pt>
                <c:pt idx="161">
                  <c:v>106.20268815289084</c:v>
                </c:pt>
                <c:pt idx="162">
                  <c:v>106.54556472525739</c:v>
                </c:pt>
                <c:pt idx="163">
                  <c:v>106.88534165366778</c:v>
                </c:pt>
                <c:pt idx="164">
                  <c:v>107.22198981829357</c:v>
                </c:pt>
                <c:pt idx="165">
                  <c:v>107.55548009930645</c:v>
                </c:pt>
                <c:pt idx="166">
                  <c:v>107.88578337687797</c:v>
                </c:pt>
                <c:pt idx="167">
                  <c:v>108.21287053117969</c:v>
                </c:pt>
                <c:pt idx="168">
                  <c:v>108.53671244238325</c:v>
                </c:pt>
                <c:pt idx="169">
                  <c:v>108.8572799906603</c:v>
                </c:pt>
                <c:pt idx="170">
                  <c:v>109.17454405618234</c:v>
                </c:pt>
                <c:pt idx="171">
                  <c:v>109.48847551912104</c:v>
                </c:pt>
                <c:pt idx="172">
                  <c:v>109.799045259648</c:v>
                </c:pt>
                <c:pt idx="173">
                  <c:v>110.1062241579348</c:v>
                </c:pt>
                <c:pt idx="174">
                  <c:v>110.40998309415305</c:v>
                </c:pt>
                <c:pt idx="175">
                  <c:v>110.71029294847435</c:v>
                </c:pt>
                <c:pt idx="176">
                  <c:v>111.0071246010703</c:v>
                </c:pt>
                <c:pt idx="177">
                  <c:v>111.30044893211249</c:v>
                </c:pt>
                <c:pt idx="178">
                  <c:v>111.59023682177258</c:v>
                </c:pt>
                <c:pt idx="179">
                  <c:v>111.87645915022212</c:v>
                </c:pt>
                <c:pt idx="180">
                  <c:v>112.1590867976327</c:v>
                </c:pt>
                <c:pt idx="181">
                  <c:v>112.43809064417597</c:v>
                </c:pt>
                <c:pt idx="182">
                  <c:v>112.71344157002348</c:v>
                </c:pt>
                <c:pt idx="183">
                  <c:v>112.98511045534687</c:v>
                </c:pt>
                <c:pt idx="184">
                  <c:v>113.25306818031773</c:v>
                </c:pt>
                <c:pt idx="185">
                  <c:v>113.51728562510766</c:v>
                </c:pt>
                <c:pt idx="186">
                  <c:v>113.77773366988825</c:v>
                </c:pt>
                <c:pt idx="187">
                  <c:v>114.03438319483111</c:v>
                </c:pt>
                <c:pt idx="188">
                  <c:v>114.28720508010785</c:v>
                </c:pt>
                <c:pt idx="189">
                  <c:v>114.5361702058901</c:v>
                </c:pt>
                <c:pt idx="190">
                  <c:v>114.78124945234941</c:v>
                </c:pt>
                <c:pt idx="191">
                  <c:v>115.02241369965739</c:v>
                </c:pt>
                <c:pt idx="192">
                  <c:v>115.25963382798565</c:v>
                </c:pt>
                <c:pt idx="193">
                  <c:v>115.49288071750577</c:v>
                </c:pt>
                <c:pt idx="194">
                  <c:v>115.72212524838945</c:v>
                </c:pt>
                <c:pt idx="195">
                  <c:v>115.94733830080816</c:v>
                </c:pt>
                <c:pt idx="196">
                  <c:v>116.16849075493356</c:v>
                </c:pt>
                <c:pt idx="197">
                  <c:v>116.38555349093728</c:v>
                </c:pt>
                <c:pt idx="198">
                  <c:v>116.59849738899089</c:v>
                </c:pt>
                <c:pt idx="199">
                  <c:v>116.80729332926596</c:v>
                </c:pt>
                <c:pt idx="200">
                  <c:v>117.01191219193416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Lực kéo Pk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Số 1</c:v>
          </c:tx>
          <c:marker>
            <c:symbol val="none"/>
          </c:marker>
          <c:xVal>
            <c:numRef>
              <c:f>Luc_keo!$E$2:$E$202</c:f>
              <c:numCache>
                <c:formatCode>General</c:formatCode>
                <c:ptCount val="201"/>
                <c:pt idx="0">
                  <c:v>4.639804639804639</c:v>
                </c:pt>
                <c:pt idx="1">
                  <c:v>4.692002442002441</c:v>
                </c:pt>
                <c:pt idx="2">
                  <c:v>4.744200244200244</c:v>
                </c:pt>
                <c:pt idx="3">
                  <c:v>4.796398046398046</c:v>
                </c:pt>
                <c:pt idx="4">
                  <c:v>4.848595848595849</c:v>
                </c:pt>
                <c:pt idx="5">
                  <c:v>4.900793650793651</c:v>
                </c:pt>
                <c:pt idx="6">
                  <c:v>4.952991452991452</c:v>
                </c:pt>
                <c:pt idx="7">
                  <c:v>5.005189255189254</c:v>
                </c:pt>
                <c:pt idx="8">
                  <c:v>5.057387057387056</c:v>
                </c:pt>
                <c:pt idx="9">
                  <c:v>5.109584859584859</c:v>
                </c:pt>
                <c:pt idx="10">
                  <c:v>5.161782661782661</c:v>
                </c:pt>
                <c:pt idx="11">
                  <c:v>5.213980463980464</c:v>
                </c:pt>
                <c:pt idx="12">
                  <c:v>5.266178266178266</c:v>
                </c:pt>
                <c:pt idx="13">
                  <c:v>5.318376068376068</c:v>
                </c:pt>
                <c:pt idx="14">
                  <c:v>5.37057387057387</c:v>
                </c:pt>
                <c:pt idx="15">
                  <c:v>5.422771672771673</c:v>
                </c:pt>
                <c:pt idx="16">
                  <c:v>5.474969474969475</c:v>
                </c:pt>
                <c:pt idx="17">
                  <c:v>5.527167277167278</c:v>
                </c:pt>
                <c:pt idx="18">
                  <c:v>5.57936507936508</c:v>
                </c:pt>
                <c:pt idx="19">
                  <c:v>5.631562881562882</c:v>
                </c:pt>
                <c:pt idx="20">
                  <c:v>5.683760683760684</c:v>
                </c:pt>
                <c:pt idx="21">
                  <c:v>5.735958485958485</c:v>
                </c:pt>
                <c:pt idx="22">
                  <c:v>5.788156288156289</c:v>
                </c:pt>
                <c:pt idx="23">
                  <c:v>5.84035409035409</c:v>
                </c:pt>
                <c:pt idx="24">
                  <c:v>5.892551892551892</c:v>
                </c:pt>
                <c:pt idx="25">
                  <c:v>5.944749694749694</c:v>
                </c:pt>
                <c:pt idx="26">
                  <c:v>5.996947496947497</c:v>
                </c:pt>
                <c:pt idx="27">
                  <c:v>6.049145299145299</c:v>
                </c:pt>
                <c:pt idx="28">
                  <c:v>6.101343101343102</c:v>
                </c:pt>
                <c:pt idx="29">
                  <c:v>6.153540903540904</c:v>
                </c:pt>
                <c:pt idx="30">
                  <c:v>6.205738705738706</c:v>
                </c:pt>
                <c:pt idx="31">
                  <c:v>6.257936507936508</c:v>
                </c:pt>
                <c:pt idx="32">
                  <c:v>6.310134310134311</c:v>
                </c:pt>
                <c:pt idx="33">
                  <c:v>6.362332112332113</c:v>
                </c:pt>
                <c:pt idx="34">
                  <c:v>6.414529914529915</c:v>
                </c:pt>
                <c:pt idx="35">
                  <c:v>6.466727716727717</c:v>
                </c:pt>
                <c:pt idx="36">
                  <c:v>6.518925518925519</c:v>
                </c:pt>
                <c:pt idx="37">
                  <c:v>6.571123321123321</c:v>
                </c:pt>
                <c:pt idx="38">
                  <c:v>6.623321123321123</c:v>
                </c:pt>
                <c:pt idx="39">
                  <c:v>6.675518925518925</c:v>
                </c:pt>
                <c:pt idx="40">
                  <c:v>6.727716727716727</c:v>
                </c:pt>
                <c:pt idx="41">
                  <c:v>6.779914529914531</c:v>
                </c:pt>
                <c:pt idx="42">
                  <c:v>6.832112332112331</c:v>
                </c:pt>
                <c:pt idx="43">
                  <c:v>6.884310134310134</c:v>
                </c:pt>
                <c:pt idx="44">
                  <c:v>6.936507936507936</c:v>
                </c:pt>
                <c:pt idx="45">
                  <c:v>6.988705738705738</c:v>
                </c:pt>
                <c:pt idx="46">
                  <c:v>7.040903540903541</c:v>
                </c:pt>
                <c:pt idx="47">
                  <c:v>7.093101343101343</c:v>
                </c:pt>
                <c:pt idx="48">
                  <c:v>7.145299145299145</c:v>
                </c:pt>
                <c:pt idx="49">
                  <c:v>7.197496947496947</c:v>
                </c:pt>
                <c:pt idx="50">
                  <c:v>7.24969474969475</c:v>
                </c:pt>
                <c:pt idx="51">
                  <c:v>7.301892551892552</c:v>
                </c:pt>
                <c:pt idx="52">
                  <c:v>7.354090354090354</c:v>
                </c:pt>
                <c:pt idx="53">
                  <c:v>7.406288156288156</c:v>
                </c:pt>
                <c:pt idx="54">
                  <c:v>7.458485958485958</c:v>
                </c:pt>
                <c:pt idx="55">
                  <c:v>7.51068376068376</c:v>
                </c:pt>
                <c:pt idx="56">
                  <c:v>7.562881562881562</c:v>
                </c:pt>
                <c:pt idx="57">
                  <c:v>7.615079365079366</c:v>
                </c:pt>
                <c:pt idx="58">
                  <c:v>7.667277167277168</c:v>
                </c:pt>
                <c:pt idx="59">
                  <c:v>7.719474969474968</c:v>
                </c:pt>
                <c:pt idx="60">
                  <c:v>7.771672771672772</c:v>
                </c:pt>
                <c:pt idx="61">
                  <c:v>7.823870573870574</c:v>
                </c:pt>
                <c:pt idx="62">
                  <c:v>7.876068376068377</c:v>
                </c:pt>
                <c:pt idx="63">
                  <c:v>7.928266178266178</c:v>
                </c:pt>
                <c:pt idx="64">
                  <c:v>7.98046398046398</c:v>
                </c:pt>
                <c:pt idx="65">
                  <c:v>8.032661782661782</c:v>
                </c:pt>
                <c:pt idx="66">
                  <c:v>8.084859584859585</c:v>
                </c:pt>
                <c:pt idx="67">
                  <c:v>8.137057387057386</c:v>
                </c:pt>
                <c:pt idx="68">
                  <c:v>8.189255189255189</c:v>
                </c:pt>
                <c:pt idx="69">
                  <c:v>8.241452991452991</c:v>
                </c:pt>
                <c:pt idx="70">
                  <c:v>8.293650793650793</c:v>
                </c:pt>
                <c:pt idx="71">
                  <c:v>8.345848595848596</c:v>
                </c:pt>
                <c:pt idx="72">
                  <c:v>8.398046398046397</c:v>
                </c:pt>
                <c:pt idx="73">
                  <c:v>8.450244200244201</c:v>
                </c:pt>
                <c:pt idx="74">
                  <c:v>8.502442002442</c:v>
                </c:pt>
                <c:pt idx="75">
                  <c:v>8.554639804639805</c:v>
                </c:pt>
                <c:pt idx="76">
                  <c:v>8.606837606837606</c:v>
                </c:pt>
                <c:pt idx="77">
                  <c:v>8.65903540903541</c:v>
                </c:pt>
                <c:pt idx="78">
                  <c:v>8.71123321123321</c:v>
                </c:pt>
                <c:pt idx="79">
                  <c:v>8.763431013431013</c:v>
                </c:pt>
                <c:pt idx="80">
                  <c:v>8.815628815628815</c:v>
                </c:pt>
                <c:pt idx="81">
                  <c:v>8.86782661782662</c:v>
                </c:pt>
                <c:pt idx="82">
                  <c:v>8.920024420024419</c:v>
                </c:pt>
                <c:pt idx="83">
                  <c:v>8.972222222222223</c:v>
                </c:pt>
                <c:pt idx="84">
                  <c:v>9.024420024420024</c:v>
                </c:pt>
                <c:pt idx="85">
                  <c:v>9.076617826617825</c:v>
                </c:pt>
                <c:pt idx="86">
                  <c:v>9.128815628815628</c:v>
                </c:pt>
                <c:pt idx="87">
                  <c:v>9.181013431013431</c:v>
                </c:pt>
                <c:pt idx="88">
                  <c:v>9.233211233211234</c:v>
                </c:pt>
                <c:pt idx="89">
                  <c:v>9.285409035409035</c:v>
                </c:pt>
                <c:pt idx="90">
                  <c:v>9.337606837606836</c:v>
                </c:pt>
                <c:pt idx="91">
                  <c:v>9.389804639804641</c:v>
                </c:pt>
                <c:pt idx="92">
                  <c:v>9.442002442002442</c:v>
                </c:pt>
                <c:pt idx="93">
                  <c:v>9.494200244200243</c:v>
                </c:pt>
                <c:pt idx="94">
                  <c:v>9.546398046398046</c:v>
                </c:pt>
                <c:pt idx="95">
                  <c:v>9.59859584859585</c:v>
                </c:pt>
                <c:pt idx="96">
                  <c:v>9.650793650793652</c:v>
                </c:pt>
                <c:pt idx="97">
                  <c:v>9.702991452991453</c:v>
                </c:pt>
                <c:pt idx="98">
                  <c:v>9.755189255189254</c:v>
                </c:pt>
                <c:pt idx="99">
                  <c:v>9.807387057387059</c:v>
                </c:pt>
                <c:pt idx="100">
                  <c:v>9.859584859584858</c:v>
                </c:pt>
                <c:pt idx="101">
                  <c:v>9.911782661782663</c:v>
                </c:pt>
                <c:pt idx="102">
                  <c:v>9.963980463980464</c:v>
                </c:pt>
                <c:pt idx="103">
                  <c:v>10.016178266178267</c:v>
                </c:pt>
                <c:pt idx="104">
                  <c:v>10.068376068376068</c:v>
                </c:pt>
                <c:pt idx="105">
                  <c:v>10.12057387057387</c:v>
                </c:pt>
                <c:pt idx="106">
                  <c:v>10.172771672771672</c:v>
                </c:pt>
                <c:pt idx="107">
                  <c:v>10.224969474969475</c:v>
                </c:pt>
                <c:pt idx="108">
                  <c:v>10.277167277167276</c:v>
                </c:pt>
                <c:pt idx="109">
                  <c:v>10.329365079365079</c:v>
                </c:pt>
                <c:pt idx="110">
                  <c:v>10.381562881562882</c:v>
                </c:pt>
                <c:pt idx="111">
                  <c:v>10.433760683760683</c:v>
                </c:pt>
                <c:pt idx="112">
                  <c:v>10.485958485958486</c:v>
                </c:pt>
                <c:pt idx="113">
                  <c:v>10.538156288156287</c:v>
                </c:pt>
                <c:pt idx="114">
                  <c:v>10.590354090354092</c:v>
                </c:pt>
                <c:pt idx="115">
                  <c:v>10.642551892551891</c:v>
                </c:pt>
                <c:pt idx="116">
                  <c:v>10.694749694749694</c:v>
                </c:pt>
                <c:pt idx="117">
                  <c:v>10.746947496947495</c:v>
                </c:pt>
                <c:pt idx="118">
                  <c:v>10.7991452991453</c:v>
                </c:pt>
                <c:pt idx="119">
                  <c:v>10.8513431013431</c:v>
                </c:pt>
                <c:pt idx="120">
                  <c:v>10.903540903540904</c:v>
                </c:pt>
                <c:pt idx="121">
                  <c:v>10.955738705738705</c:v>
                </c:pt>
                <c:pt idx="122">
                  <c:v>11.007936507936506</c:v>
                </c:pt>
                <c:pt idx="123">
                  <c:v>11.060134310134309</c:v>
                </c:pt>
                <c:pt idx="124">
                  <c:v>11.112332112332114</c:v>
                </c:pt>
                <c:pt idx="125">
                  <c:v>11.164529914529915</c:v>
                </c:pt>
                <c:pt idx="126">
                  <c:v>11.216727716727716</c:v>
                </c:pt>
                <c:pt idx="127">
                  <c:v>11.268925518925519</c:v>
                </c:pt>
                <c:pt idx="128">
                  <c:v>11.32112332112332</c:v>
                </c:pt>
                <c:pt idx="129">
                  <c:v>11.373321123321123</c:v>
                </c:pt>
                <c:pt idx="130">
                  <c:v>11.425518925518924</c:v>
                </c:pt>
                <c:pt idx="131">
                  <c:v>11.477716727716727</c:v>
                </c:pt>
                <c:pt idx="132">
                  <c:v>11.52991452991453</c:v>
                </c:pt>
                <c:pt idx="133">
                  <c:v>11.582112332112333</c:v>
                </c:pt>
                <c:pt idx="134">
                  <c:v>11.634310134310134</c:v>
                </c:pt>
                <c:pt idx="135">
                  <c:v>11.686507936507937</c:v>
                </c:pt>
                <c:pt idx="136">
                  <c:v>11.73870573870574</c:v>
                </c:pt>
                <c:pt idx="137">
                  <c:v>11.79090354090354</c:v>
                </c:pt>
                <c:pt idx="138">
                  <c:v>11.843101343101344</c:v>
                </c:pt>
                <c:pt idx="139">
                  <c:v>11.895299145299147</c:v>
                </c:pt>
                <c:pt idx="140">
                  <c:v>11.947496947496948</c:v>
                </c:pt>
                <c:pt idx="141">
                  <c:v>11.999694749694747</c:v>
                </c:pt>
                <c:pt idx="142">
                  <c:v>12.051892551892552</c:v>
                </c:pt>
                <c:pt idx="143">
                  <c:v>12.104090354090353</c:v>
                </c:pt>
                <c:pt idx="144">
                  <c:v>12.156288156288158</c:v>
                </c:pt>
                <c:pt idx="145">
                  <c:v>12.208485958485957</c:v>
                </c:pt>
                <c:pt idx="146">
                  <c:v>12.260683760683762</c:v>
                </c:pt>
                <c:pt idx="147">
                  <c:v>12.312881562881563</c:v>
                </c:pt>
                <c:pt idx="148">
                  <c:v>12.365079365079366</c:v>
                </c:pt>
                <c:pt idx="149">
                  <c:v>12.417277167277167</c:v>
                </c:pt>
                <c:pt idx="150">
                  <c:v>12.46947496947497</c:v>
                </c:pt>
                <c:pt idx="151">
                  <c:v>12.52167277167277</c:v>
                </c:pt>
                <c:pt idx="152">
                  <c:v>12.573870573870574</c:v>
                </c:pt>
                <c:pt idx="153">
                  <c:v>12.626068376068375</c:v>
                </c:pt>
                <c:pt idx="154">
                  <c:v>12.678266178266178</c:v>
                </c:pt>
                <c:pt idx="155">
                  <c:v>12.73046398046398</c:v>
                </c:pt>
                <c:pt idx="156">
                  <c:v>12.782661782661782</c:v>
                </c:pt>
                <c:pt idx="157">
                  <c:v>12.834859584859585</c:v>
                </c:pt>
                <c:pt idx="158">
                  <c:v>12.887057387057387</c:v>
                </c:pt>
                <c:pt idx="159">
                  <c:v>12.93925518925519</c:v>
                </c:pt>
                <c:pt idx="160">
                  <c:v>12.99145299145299</c:v>
                </c:pt>
                <c:pt idx="161">
                  <c:v>13.043650793650794</c:v>
                </c:pt>
                <c:pt idx="162">
                  <c:v>13.095848595848597</c:v>
                </c:pt>
                <c:pt idx="163">
                  <c:v>13.148046398046398</c:v>
                </c:pt>
                <c:pt idx="164">
                  <c:v>13.200244200244198</c:v>
                </c:pt>
                <c:pt idx="165">
                  <c:v>13.252442002442002</c:v>
                </c:pt>
                <c:pt idx="166">
                  <c:v>13.304639804639804</c:v>
                </c:pt>
                <c:pt idx="167">
                  <c:v>13.356837606837605</c:v>
                </c:pt>
                <c:pt idx="168">
                  <c:v>13.409035409035408</c:v>
                </c:pt>
                <c:pt idx="169">
                  <c:v>13.461233211233212</c:v>
                </c:pt>
                <c:pt idx="170">
                  <c:v>13.513431013431013</c:v>
                </c:pt>
                <c:pt idx="171">
                  <c:v>13.565628815628815</c:v>
                </c:pt>
                <c:pt idx="172">
                  <c:v>13.617826617826617</c:v>
                </c:pt>
                <c:pt idx="173">
                  <c:v>13.670024420024422</c:v>
                </c:pt>
                <c:pt idx="174">
                  <c:v>13.722222222222221</c:v>
                </c:pt>
                <c:pt idx="175">
                  <c:v>13.774420024420024</c:v>
                </c:pt>
                <c:pt idx="176">
                  <c:v>13.826617826617825</c:v>
                </c:pt>
                <c:pt idx="177">
                  <c:v>13.878815628815628</c:v>
                </c:pt>
                <c:pt idx="178">
                  <c:v>13.93101343101343</c:v>
                </c:pt>
                <c:pt idx="179">
                  <c:v>13.983211233211232</c:v>
                </c:pt>
                <c:pt idx="180">
                  <c:v>14.035409035409035</c:v>
                </c:pt>
                <c:pt idx="181">
                  <c:v>14.087606837606838</c:v>
                </c:pt>
                <c:pt idx="182">
                  <c:v>14.13980463980464</c:v>
                </c:pt>
                <c:pt idx="183">
                  <c:v>14.192002442002442</c:v>
                </c:pt>
                <c:pt idx="184">
                  <c:v>14.244200244200245</c:v>
                </c:pt>
                <c:pt idx="185">
                  <c:v>14.296398046398048</c:v>
                </c:pt>
                <c:pt idx="186">
                  <c:v>14.34859584859585</c:v>
                </c:pt>
                <c:pt idx="187">
                  <c:v>14.400793650793648</c:v>
                </c:pt>
                <c:pt idx="188">
                  <c:v>14.452991452991451</c:v>
                </c:pt>
                <c:pt idx="189">
                  <c:v>14.505189255189253</c:v>
                </c:pt>
                <c:pt idx="190">
                  <c:v>14.557387057387055</c:v>
                </c:pt>
                <c:pt idx="191">
                  <c:v>14.60958485958486</c:v>
                </c:pt>
                <c:pt idx="192">
                  <c:v>14.661782661782663</c:v>
                </c:pt>
                <c:pt idx="193">
                  <c:v>14.713980463980464</c:v>
                </c:pt>
                <c:pt idx="194">
                  <c:v>14.766178266178267</c:v>
                </c:pt>
                <c:pt idx="195">
                  <c:v>14.818376068376068</c:v>
                </c:pt>
                <c:pt idx="196">
                  <c:v>14.870573870573871</c:v>
                </c:pt>
                <c:pt idx="197">
                  <c:v>14.922771672771672</c:v>
                </c:pt>
                <c:pt idx="198">
                  <c:v>14.974969474969475</c:v>
                </c:pt>
                <c:pt idx="199">
                  <c:v>15.027167277167276</c:v>
                </c:pt>
                <c:pt idx="200">
                  <c:v>15.079365079365076</c:v>
                </c:pt>
              </c:numCache>
            </c:numRef>
          </c:xVal>
          <c:yVal>
            <c:numRef>
              <c:f>Luc_keo!$H$2:$H$202</c:f>
              <c:numCache>
                <c:formatCode>General</c:formatCode>
                <c:ptCount val="201"/>
                <c:pt idx="0">
                  <c:v>21552.142418036517</c:v>
                </c:pt>
                <c:pt idx="1">
                  <c:v>21627.97580105998</c:v>
                </c:pt>
                <c:pt idx="2">
                  <c:v>21703.213374002942</c:v>
                </c:pt>
                <c:pt idx="3">
                  <c:v>21777.855136865408</c:v>
                </c:pt>
                <c:pt idx="4">
                  <c:v>21851.90108964739</c:v>
                </c:pt>
                <c:pt idx="5">
                  <c:v>21925.351232348847</c:v>
                </c:pt>
                <c:pt idx="6">
                  <c:v>21998.20556496982</c:v>
                </c:pt>
                <c:pt idx="7">
                  <c:v>22070.464087510285</c:v>
                </c:pt>
                <c:pt idx="8">
                  <c:v>22142.12679997026</c:v>
                </c:pt>
                <c:pt idx="9">
                  <c:v>22213.19370234973</c:v>
                </c:pt>
                <c:pt idx="10">
                  <c:v>22283.66479464871</c:v>
                </c:pt>
                <c:pt idx="11">
                  <c:v>22353.54007686719</c:v>
                </c:pt>
                <c:pt idx="12">
                  <c:v>22422.819549005162</c:v>
                </c:pt>
                <c:pt idx="13">
                  <c:v>22491.503211062645</c:v>
                </c:pt>
                <c:pt idx="14">
                  <c:v>22559.591063039625</c:v>
                </c:pt>
                <c:pt idx="15">
                  <c:v>22627.0831049361</c:v>
                </c:pt>
                <c:pt idx="16">
                  <c:v>22693.979336752094</c:v>
                </c:pt>
                <c:pt idx="17">
                  <c:v>22760.279758487577</c:v>
                </c:pt>
                <c:pt idx="18">
                  <c:v>22825.984370142567</c:v>
                </c:pt>
                <c:pt idx="19">
                  <c:v>22891.09317171705</c:v>
                </c:pt>
                <c:pt idx="20">
                  <c:v>22955.60616321104</c:v>
                </c:pt>
                <c:pt idx="21">
                  <c:v>23019.523344624533</c:v>
                </c:pt>
                <c:pt idx="22">
                  <c:v>23082.844715957523</c:v>
                </c:pt>
                <c:pt idx="23">
                  <c:v>23145.57027721002</c:v>
                </c:pt>
                <c:pt idx="24">
                  <c:v>23207.700028382016</c:v>
                </c:pt>
                <c:pt idx="25">
                  <c:v>23269.233969473516</c:v>
                </c:pt>
                <c:pt idx="26">
                  <c:v>23330.172100484506</c:v>
                </c:pt>
                <c:pt idx="27">
                  <c:v>23390.514421415002</c:v>
                </c:pt>
                <c:pt idx="28">
                  <c:v>23450.260932265006</c:v>
                </c:pt>
                <c:pt idx="29">
                  <c:v>23509.41163303451</c:v>
                </c:pt>
                <c:pt idx="30">
                  <c:v>23567.96652372351</c:v>
                </c:pt>
                <c:pt idx="31">
                  <c:v>23625.925604332013</c:v>
                </c:pt>
                <c:pt idx="32">
                  <c:v>23683.28887486002</c:v>
                </c:pt>
                <c:pt idx="33">
                  <c:v>23740.05633530753</c:v>
                </c:pt>
                <c:pt idx="34">
                  <c:v>23796.22798567453</c:v>
                </c:pt>
                <c:pt idx="35">
                  <c:v>23851.803825961048</c:v>
                </c:pt>
                <c:pt idx="36">
                  <c:v>23906.78385616706</c:v>
                </c:pt>
                <c:pt idx="37">
                  <c:v>23961.168076292575</c:v>
                </c:pt>
                <c:pt idx="38">
                  <c:v>24014.95648633759</c:v>
                </c:pt>
                <c:pt idx="39">
                  <c:v>24068.1490863021</c:v>
                </c:pt>
                <c:pt idx="40">
                  <c:v>24120.745876186123</c:v>
                </c:pt>
                <c:pt idx="41">
                  <c:v>24172.746855989637</c:v>
                </c:pt>
                <c:pt idx="42">
                  <c:v>24224.152025712658</c:v>
                </c:pt>
                <c:pt idx="43">
                  <c:v>24274.961385355182</c:v>
                </c:pt>
                <c:pt idx="44">
                  <c:v>24325.17493491719</c:v>
                </c:pt>
                <c:pt idx="45">
                  <c:v>24374.792674398726</c:v>
                </c:pt>
                <c:pt idx="46">
                  <c:v>24423.814603799754</c:v>
                </c:pt>
                <c:pt idx="47">
                  <c:v>24472.240723120274</c:v>
                </c:pt>
                <c:pt idx="48">
                  <c:v>24520.071032360305</c:v>
                </c:pt>
                <c:pt idx="49">
                  <c:v>24567.305531519836</c:v>
                </c:pt>
                <c:pt idx="50">
                  <c:v>24613.944220598874</c:v>
                </c:pt>
                <c:pt idx="51">
                  <c:v>24659.9870995974</c:v>
                </c:pt>
                <c:pt idx="52">
                  <c:v>24705.434168515432</c:v>
                </c:pt>
                <c:pt idx="53">
                  <c:v>24750.28542735297</c:v>
                </c:pt>
                <c:pt idx="54">
                  <c:v>24794.540876110004</c:v>
                </c:pt>
                <c:pt idx="55">
                  <c:v>24838.200514786546</c:v>
                </c:pt>
                <c:pt idx="56">
                  <c:v>24881.26434338258</c:v>
                </c:pt>
                <c:pt idx="57">
                  <c:v>24923.732361898128</c:v>
                </c:pt>
                <c:pt idx="58">
                  <c:v>24965.604570333166</c:v>
                </c:pt>
                <c:pt idx="59">
                  <c:v>25006.880968687707</c:v>
                </c:pt>
                <c:pt idx="60">
                  <c:v>25047.56155696175</c:v>
                </c:pt>
                <c:pt idx="61">
                  <c:v>25087.646335155296</c:v>
                </c:pt>
                <c:pt idx="62">
                  <c:v>25127.135303268344</c:v>
                </c:pt>
                <c:pt idx="63">
                  <c:v>25166.0284613009</c:v>
                </c:pt>
                <c:pt idx="64">
                  <c:v>25204.325809252947</c:v>
                </c:pt>
                <c:pt idx="65">
                  <c:v>25242.027347124495</c:v>
                </c:pt>
                <c:pt idx="66">
                  <c:v>25279.133074915553</c:v>
                </c:pt>
                <c:pt idx="67">
                  <c:v>25315.642992626104</c:v>
                </c:pt>
                <c:pt idx="68">
                  <c:v>25351.557100256163</c:v>
                </c:pt>
                <c:pt idx="69">
                  <c:v>25386.875397805714</c:v>
                </c:pt>
                <c:pt idx="70">
                  <c:v>25421.59788527478</c:v>
                </c:pt>
                <c:pt idx="71">
                  <c:v>25455.724562663338</c:v>
                </c:pt>
                <c:pt idx="72">
                  <c:v>25489.255429971396</c:v>
                </c:pt>
                <c:pt idx="73">
                  <c:v>25522.19048719896</c:v>
                </c:pt>
                <c:pt idx="74">
                  <c:v>25554.52973434602</c:v>
                </c:pt>
                <c:pt idx="75">
                  <c:v>25586.273171412588</c:v>
                </c:pt>
                <c:pt idx="76">
                  <c:v>25617.420798398663</c:v>
                </c:pt>
                <c:pt idx="77">
                  <c:v>25647.97261530422</c:v>
                </c:pt>
                <c:pt idx="78">
                  <c:v>25677.92862212929</c:v>
                </c:pt>
                <c:pt idx="79">
                  <c:v>25707.28881887387</c:v>
                </c:pt>
                <c:pt idx="80">
                  <c:v>25736.053205537934</c:v>
                </c:pt>
                <c:pt idx="81">
                  <c:v>25764.221782121505</c:v>
                </c:pt>
                <c:pt idx="82">
                  <c:v>25791.79454862459</c:v>
                </c:pt>
                <c:pt idx="83">
                  <c:v>25818.771505047163</c:v>
                </c:pt>
                <c:pt idx="84">
                  <c:v>25845.152651389242</c:v>
                </c:pt>
                <c:pt idx="85">
                  <c:v>25870.93798765081</c:v>
                </c:pt>
                <c:pt idx="86">
                  <c:v>25896.127513831903</c:v>
                </c:pt>
                <c:pt idx="87">
                  <c:v>25920.72122993248</c:v>
                </c:pt>
                <c:pt idx="88">
                  <c:v>25944.719135952564</c:v>
                </c:pt>
                <c:pt idx="89">
                  <c:v>25968.12123189215</c:v>
                </c:pt>
                <c:pt idx="90">
                  <c:v>25990.927517751228</c:v>
                </c:pt>
                <c:pt idx="91">
                  <c:v>26013.137993529825</c:v>
                </c:pt>
                <c:pt idx="92">
                  <c:v>26034.752659227914</c:v>
                </c:pt>
                <c:pt idx="93">
                  <c:v>26055.771514845506</c:v>
                </c:pt>
                <c:pt idx="94">
                  <c:v>26076.19456038259</c:v>
                </c:pt>
                <c:pt idx="95">
                  <c:v>26096.021795839184</c:v>
                </c:pt>
                <c:pt idx="96">
                  <c:v>26115.253221215284</c:v>
                </c:pt>
                <c:pt idx="97">
                  <c:v>26133.888836510883</c:v>
                </c:pt>
                <c:pt idx="98">
                  <c:v>26151.92864172597</c:v>
                </c:pt>
                <c:pt idx="99">
                  <c:v>26169.372636860568</c:v>
                </c:pt>
                <c:pt idx="100">
                  <c:v>26186.220821914667</c:v>
                </c:pt>
                <c:pt idx="101">
                  <c:v>26202.47319688827</c:v>
                </c:pt>
                <c:pt idx="102">
                  <c:v>26218.12976178138</c:v>
                </c:pt>
                <c:pt idx="103">
                  <c:v>26233.190516593975</c:v>
                </c:pt>
                <c:pt idx="104">
                  <c:v>26247.65546132608</c:v>
                </c:pt>
                <c:pt idx="105">
                  <c:v>26261.524595977695</c:v>
                </c:pt>
                <c:pt idx="106">
                  <c:v>26274.797920548797</c:v>
                </c:pt>
                <c:pt idx="107">
                  <c:v>26287.475435039403</c:v>
                </c:pt>
                <c:pt idx="108">
                  <c:v>26299.55713944952</c:v>
                </c:pt>
                <c:pt idx="109">
                  <c:v>26311.043033779137</c:v>
                </c:pt>
                <c:pt idx="110">
                  <c:v>26321.933118028246</c:v>
                </c:pt>
                <c:pt idx="111">
                  <c:v>26332.227392196855</c:v>
                </c:pt>
                <c:pt idx="112">
                  <c:v>26341.92585628498</c:v>
                </c:pt>
                <c:pt idx="113">
                  <c:v>26351.028510292603</c:v>
                </c:pt>
                <c:pt idx="114">
                  <c:v>26359.53535421971</c:v>
                </c:pt>
                <c:pt idx="115">
                  <c:v>26367.44638806633</c:v>
                </c:pt>
                <c:pt idx="116">
                  <c:v>26374.76161183246</c:v>
                </c:pt>
                <c:pt idx="117">
                  <c:v>26381.48102551809</c:v>
                </c:pt>
                <c:pt idx="118">
                  <c:v>26387.604629123205</c:v>
                </c:pt>
                <c:pt idx="119">
                  <c:v>26393.132422647835</c:v>
                </c:pt>
                <c:pt idx="120">
                  <c:v>26398.064406091962</c:v>
                </c:pt>
                <c:pt idx="121">
                  <c:v>26402.40057945559</c:v>
                </c:pt>
                <c:pt idx="122">
                  <c:v>26406.140942738715</c:v>
                </c:pt>
                <c:pt idx="123">
                  <c:v>26409.28549594134</c:v>
                </c:pt>
                <c:pt idx="124">
                  <c:v>26411.834239063486</c:v>
                </c:pt>
                <c:pt idx="125">
                  <c:v>26413.787172105116</c:v>
                </c:pt>
                <c:pt idx="126">
                  <c:v>26415.14429506626</c:v>
                </c:pt>
                <c:pt idx="127">
                  <c:v>26415.905607946894</c:v>
                </c:pt>
                <c:pt idx="128">
                  <c:v>26416.07111074703</c:v>
                </c:pt>
                <c:pt idx="129">
                  <c:v>26415.64080346666</c:v>
                </c:pt>
                <c:pt idx="130">
                  <c:v>26414.61468610581</c:v>
                </c:pt>
                <c:pt idx="131">
                  <c:v>26412.992758664463</c:v>
                </c:pt>
                <c:pt idx="132">
                  <c:v>26410.7750211426</c:v>
                </c:pt>
                <c:pt idx="133">
                  <c:v>26407.961473540243</c:v>
                </c:pt>
                <c:pt idx="134">
                  <c:v>26404.55211585739</c:v>
                </c:pt>
                <c:pt idx="135">
                  <c:v>26400.546948094034</c:v>
                </c:pt>
                <c:pt idx="136">
                  <c:v>26395.945970250188</c:v>
                </c:pt>
                <c:pt idx="137">
                  <c:v>26390.749182325846</c:v>
                </c:pt>
                <c:pt idx="138">
                  <c:v>26384.956584320982</c:v>
                </c:pt>
                <c:pt idx="139">
                  <c:v>26378.568176235643</c:v>
                </c:pt>
                <c:pt idx="140">
                  <c:v>26371.5839580698</c:v>
                </c:pt>
                <c:pt idx="141">
                  <c:v>26364.003929823455</c:v>
                </c:pt>
                <c:pt idx="142">
                  <c:v>26355.828091496605</c:v>
                </c:pt>
                <c:pt idx="143">
                  <c:v>26347.05644308927</c:v>
                </c:pt>
                <c:pt idx="144">
                  <c:v>26337.688984601427</c:v>
                </c:pt>
                <c:pt idx="145">
                  <c:v>26327.725716033096</c:v>
                </c:pt>
                <c:pt idx="146">
                  <c:v>26317.166637384256</c:v>
                </c:pt>
                <c:pt idx="147">
                  <c:v>26306.011748654917</c:v>
                </c:pt>
                <c:pt idx="148">
                  <c:v>26294.26104984509</c:v>
                </c:pt>
                <c:pt idx="149">
                  <c:v>26281.914540954756</c:v>
                </c:pt>
                <c:pt idx="150">
                  <c:v>26268.972221983917</c:v>
                </c:pt>
                <c:pt idx="151">
                  <c:v>26255.434092932595</c:v>
                </c:pt>
                <c:pt idx="152">
                  <c:v>26241.300153800767</c:v>
                </c:pt>
                <c:pt idx="153">
                  <c:v>26226.57040458844</c:v>
                </c:pt>
                <c:pt idx="154">
                  <c:v>26211.244845295612</c:v>
                </c:pt>
                <c:pt idx="155">
                  <c:v>26195.32347592229</c:v>
                </c:pt>
                <c:pt idx="156">
                  <c:v>26178.806296468472</c:v>
                </c:pt>
                <c:pt idx="157">
                  <c:v>26161.69330693414</c:v>
                </c:pt>
                <c:pt idx="158">
                  <c:v>26143.984507319325</c:v>
                </c:pt>
                <c:pt idx="159">
                  <c:v>26125.679897624006</c:v>
                </c:pt>
                <c:pt idx="160">
                  <c:v>26106.77947784819</c:v>
                </c:pt>
                <c:pt idx="161">
                  <c:v>26087.283247991876</c:v>
                </c:pt>
                <c:pt idx="162">
                  <c:v>26067.191208055054</c:v>
                </c:pt>
                <c:pt idx="163">
                  <c:v>26046.503358037746</c:v>
                </c:pt>
                <c:pt idx="164">
                  <c:v>26025.21969793993</c:v>
                </c:pt>
                <c:pt idx="165">
                  <c:v>26003.340227761622</c:v>
                </c:pt>
                <c:pt idx="166">
                  <c:v>25980.864947502814</c:v>
                </c:pt>
                <c:pt idx="167">
                  <c:v>25957.793857163506</c:v>
                </c:pt>
                <c:pt idx="168">
                  <c:v>25934.126956743698</c:v>
                </c:pt>
                <c:pt idx="169">
                  <c:v>25909.8642462434</c:v>
                </c:pt>
                <c:pt idx="170">
                  <c:v>25885.005725662595</c:v>
                </c:pt>
                <c:pt idx="171">
                  <c:v>25859.55139500129</c:v>
                </c:pt>
                <c:pt idx="172">
                  <c:v>25833.501254259496</c:v>
                </c:pt>
                <c:pt idx="173">
                  <c:v>25806.85530343719</c:v>
                </c:pt>
                <c:pt idx="174">
                  <c:v>25779.61354253439</c:v>
                </c:pt>
                <c:pt idx="175">
                  <c:v>25751.7759715511</c:v>
                </c:pt>
                <c:pt idx="176">
                  <c:v>25723.342590487297</c:v>
                </c:pt>
                <c:pt idx="177">
                  <c:v>25694.313399343</c:v>
                </c:pt>
                <c:pt idx="178">
                  <c:v>25664.688398118215</c:v>
                </c:pt>
                <c:pt idx="179">
                  <c:v>25634.467586812927</c:v>
                </c:pt>
                <c:pt idx="180">
                  <c:v>25603.65096542713</c:v>
                </c:pt>
                <c:pt idx="181">
                  <c:v>25572.238533960845</c:v>
                </c:pt>
                <c:pt idx="182">
                  <c:v>25540.23029241405</c:v>
                </c:pt>
                <c:pt idx="183">
                  <c:v>25507.62624078677</c:v>
                </c:pt>
                <c:pt idx="184">
                  <c:v>25474.42637907898</c:v>
                </c:pt>
                <c:pt idx="185">
                  <c:v>25440.630707290708</c:v>
                </c:pt>
                <c:pt idx="186">
                  <c:v>25406.239225421916</c:v>
                </c:pt>
                <c:pt idx="187">
                  <c:v>25371.251933472646</c:v>
                </c:pt>
                <c:pt idx="188">
                  <c:v>25335.668831442857</c:v>
                </c:pt>
                <c:pt idx="189">
                  <c:v>25299.48991933259</c:v>
                </c:pt>
                <c:pt idx="190">
                  <c:v>25262.715197141806</c:v>
                </c:pt>
                <c:pt idx="191">
                  <c:v>25225.34466487054</c:v>
                </c:pt>
                <c:pt idx="192">
                  <c:v>25187.378322518758</c:v>
                </c:pt>
                <c:pt idx="193">
                  <c:v>25148.816170086484</c:v>
                </c:pt>
                <c:pt idx="194">
                  <c:v>25109.658207573717</c:v>
                </c:pt>
                <c:pt idx="195">
                  <c:v>25069.904434980454</c:v>
                </c:pt>
                <c:pt idx="196">
                  <c:v>25029.554852306683</c:v>
                </c:pt>
                <c:pt idx="197">
                  <c:v>24988.609459552423</c:v>
                </c:pt>
                <c:pt idx="198">
                  <c:v>24947.068256717652</c:v>
                </c:pt>
                <c:pt idx="199">
                  <c:v>24904.93124380239</c:v>
                </c:pt>
                <c:pt idx="200">
                  <c:v>24862.198420806628</c:v>
                </c:pt>
              </c:numCache>
            </c:numRef>
          </c:yVal>
        </c:ser>
        <c:ser>
          <c:idx val="1"/>
          <c:order val="1"/>
          <c:tx>
            <c:v>Số 2</c:v>
          </c:tx>
          <c:marker>
            <c:symbol val="none"/>
          </c:marker>
          <c:xVal>
            <c:numRef>
              <c:f>Luc_keo!$E$203:$E$403</c:f>
              <c:numCache>
                <c:formatCode>General</c:formatCode>
                <c:ptCount val="201"/>
                <c:pt idx="0">
                  <c:v>7.546997477962866</c:v>
                </c:pt>
                <c:pt idx="1">
                  <c:v>7.631901199589947</c:v>
                </c:pt>
                <c:pt idx="2">
                  <c:v>7.71680492121703</c:v>
                </c:pt>
                <c:pt idx="3">
                  <c:v>7.801708642844112</c:v>
                </c:pt>
                <c:pt idx="4">
                  <c:v>7.886612364471195</c:v>
                </c:pt>
                <c:pt idx="5">
                  <c:v>7.971516086098276</c:v>
                </c:pt>
                <c:pt idx="6">
                  <c:v>8.056419807725359</c:v>
                </c:pt>
                <c:pt idx="7">
                  <c:v>8.141323529352439</c:v>
                </c:pt>
                <c:pt idx="8">
                  <c:v>8.226227250979521</c:v>
                </c:pt>
                <c:pt idx="9">
                  <c:v>8.311130972606605</c:v>
                </c:pt>
                <c:pt idx="10">
                  <c:v>8.396034694233688</c:v>
                </c:pt>
                <c:pt idx="11">
                  <c:v>8.480938415860772</c:v>
                </c:pt>
                <c:pt idx="12">
                  <c:v>8.565842137487852</c:v>
                </c:pt>
                <c:pt idx="13">
                  <c:v>8.650745859114934</c:v>
                </c:pt>
                <c:pt idx="14">
                  <c:v>8.735649580742015</c:v>
                </c:pt>
                <c:pt idx="15">
                  <c:v>8.820553302369099</c:v>
                </c:pt>
                <c:pt idx="16">
                  <c:v>8.90545702399618</c:v>
                </c:pt>
                <c:pt idx="17">
                  <c:v>8.990360745623265</c:v>
                </c:pt>
                <c:pt idx="18">
                  <c:v>9.075264467250346</c:v>
                </c:pt>
                <c:pt idx="19">
                  <c:v>9.160168188877428</c:v>
                </c:pt>
                <c:pt idx="20">
                  <c:v>9.24507191050451</c:v>
                </c:pt>
                <c:pt idx="21">
                  <c:v>9.32997563213159</c:v>
                </c:pt>
                <c:pt idx="22">
                  <c:v>9.414879353758675</c:v>
                </c:pt>
                <c:pt idx="23">
                  <c:v>9.499783075385755</c:v>
                </c:pt>
                <c:pt idx="24">
                  <c:v>9.58468679701284</c:v>
                </c:pt>
                <c:pt idx="25">
                  <c:v>9.66959051863992</c:v>
                </c:pt>
                <c:pt idx="26">
                  <c:v>9.754494240267004</c:v>
                </c:pt>
                <c:pt idx="27">
                  <c:v>9.839397961894086</c:v>
                </c:pt>
                <c:pt idx="28">
                  <c:v>9.924301683521168</c:v>
                </c:pt>
                <c:pt idx="29">
                  <c:v>10.00920540514825</c:v>
                </c:pt>
                <c:pt idx="30">
                  <c:v>10.094109126775331</c:v>
                </c:pt>
                <c:pt idx="31">
                  <c:v>10.179012848402413</c:v>
                </c:pt>
                <c:pt idx="32">
                  <c:v>10.263916570029497</c:v>
                </c:pt>
                <c:pt idx="33">
                  <c:v>10.34882029165658</c:v>
                </c:pt>
                <c:pt idx="34">
                  <c:v>10.43372401328366</c:v>
                </c:pt>
                <c:pt idx="35">
                  <c:v>10.518627734910744</c:v>
                </c:pt>
                <c:pt idx="36">
                  <c:v>10.603531456537826</c:v>
                </c:pt>
                <c:pt idx="37">
                  <c:v>10.688435178164907</c:v>
                </c:pt>
                <c:pt idx="38">
                  <c:v>10.77333889979199</c:v>
                </c:pt>
                <c:pt idx="39">
                  <c:v>10.858242621419073</c:v>
                </c:pt>
                <c:pt idx="40">
                  <c:v>10.943146343046156</c:v>
                </c:pt>
                <c:pt idx="41">
                  <c:v>11.028050064673238</c:v>
                </c:pt>
                <c:pt idx="42">
                  <c:v>11.112953786300318</c:v>
                </c:pt>
                <c:pt idx="43">
                  <c:v>11.1978575079274</c:v>
                </c:pt>
                <c:pt idx="44">
                  <c:v>11.282761229554483</c:v>
                </c:pt>
                <c:pt idx="45">
                  <c:v>11.367664951181565</c:v>
                </c:pt>
                <c:pt idx="46">
                  <c:v>11.452568672808647</c:v>
                </c:pt>
                <c:pt idx="47">
                  <c:v>11.537472394435731</c:v>
                </c:pt>
                <c:pt idx="48">
                  <c:v>11.622376116062812</c:v>
                </c:pt>
                <c:pt idx="49">
                  <c:v>11.707279837689894</c:v>
                </c:pt>
                <c:pt idx="50">
                  <c:v>11.792183559316976</c:v>
                </c:pt>
                <c:pt idx="51">
                  <c:v>11.877087280944059</c:v>
                </c:pt>
                <c:pt idx="52">
                  <c:v>11.961991002571141</c:v>
                </c:pt>
                <c:pt idx="53">
                  <c:v>12.046894724198223</c:v>
                </c:pt>
                <c:pt idx="54">
                  <c:v>12.131798445825307</c:v>
                </c:pt>
                <c:pt idx="55">
                  <c:v>12.216702167452388</c:v>
                </c:pt>
                <c:pt idx="56">
                  <c:v>12.30160588907947</c:v>
                </c:pt>
                <c:pt idx="57">
                  <c:v>12.386509610706552</c:v>
                </c:pt>
                <c:pt idx="58">
                  <c:v>12.471413332333636</c:v>
                </c:pt>
                <c:pt idx="59">
                  <c:v>12.556317053960715</c:v>
                </c:pt>
                <c:pt idx="60">
                  <c:v>12.641220775587799</c:v>
                </c:pt>
                <c:pt idx="61">
                  <c:v>12.726124497214881</c:v>
                </c:pt>
                <c:pt idx="62">
                  <c:v>12.811028218841965</c:v>
                </c:pt>
                <c:pt idx="63">
                  <c:v>12.895931940469046</c:v>
                </c:pt>
                <c:pt idx="64">
                  <c:v>12.980835662096128</c:v>
                </c:pt>
                <c:pt idx="65">
                  <c:v>13.06573938372321</c:v>
                </c:pt>
                <c:pt idx="66">
                  <c:v>13.150643105350293</c:v>
                </c:pt>
                <c:pt idx="67">
                  <c:v>13.235546826977373</c:v>
                </c:pt>
                <c:pt idx="68">
                  <c:v>13.320450548604455</c:v>
                </c:pt>
                <c:pt idx="69">
                  <c:v>13.405354270231541</c:v>
                </c:pt>
                <c:pt idx="70">
                  <c:v>13.490257991858622</c:v>
                </c:pt>
                <c:pt idx="71">
                  <c:v>13.575161713485704</c:v>
                </c:pt>
                <c:pt idx="72">
                  <c:v>13.660065435112786</c:v>
                </c:pt>
                <c:pt idx="73">
                  <c:v>13.744969156739868</c:v>
                </c:pt>
                <c:pt idx="74">
                  <c:v>13.829872878366949</c:v>
                </c:pt>
                <c:pt idx="75">
                  <c:v>13.914776599994031</c:v>
                </c:pt>
                <c:pt idx="76">
                  <c:v>13.999680321621117</c:v>
                </c:pt>
                <c:pt idx="77">
                  <c:v>14.084584043248197</c:v>
                </c:pt>
                <c:pt idx="78">
                  <c:v>14.16948776487528</c:v>
                </c:pt>
                <c:pt idx="79">
                  <c:v>14.254391486502362</c:v>
                </c:pt>
                <c:pt idx="80">
                  <c:v>14.339295208129444</c:v>
                </c:pt>
                <c:pt idx="81">
                  <c:v>14.424198929756528</c:v>
                </c:pt>
                <c:pt idx="82">
                  <c:v>14.509102651383609</c:v>
                </c:pt>
                <c:pt idx="83">
                  <c:v>14.594006373010691</c:v>
                </c:pt>
                <c:pt idx="84">
                  <c:v>14.678910094637772</c:v>
                </c:pt>
                <c:pt idx="85">
                  <c:v>14.763813816264854</c:v>
                </c:pt>
                <c:pt idx="86">
                  <c:v>14.848717537891936</c:v>
                </c:pt>
                <c:pt idx="87">
                  <c:v>14.93362125951902</c:v>
                </c:pt>
                <c:pt idx="88">
                  <c:v>15.018524981146104</c:v>
                </c:pt>
                <c:pt idx="89">
                  <c:v>15.103428702773183</c:v>
                </c:pt>
                <c:pt idx="90">
                  <c:v>15.188332424400265</c:v>
                </c:pt>
                <c:pt idx="91">
                  <c:v>15.27323614602735</c:v>
                </c:pt>
                <c:pt idx="92">
                  <c:v>15.358139867654431</c:v>
                </c:pt>
                <c:pt idx="93">
                  <c:v>15.443043589281512</c:v>
                </c:pt>
                <c:pt idx="94">
                  <c:v>15.527947310908594</c:v>
                </c:pt>
                <c:pt idx="95">
                  <c:v>15.612851032535676</c:v>
                </c:pt>
                <c:pt idx="96">
                  <c:v>15.69775475416276</c:v>
                </c:pt>
                <c:pt idx="97">
                  <c:v>15.782658475789843</c:v>
                </c:pt>
                <c:pt idx="98">
                  <c:v>15.867562197416923</c:v>
                </c:pt>
                <c:pt idx="99">
                  <c:v>15.952465919044009</c:v>
                </c:pt>
                <c:pt idx="100">
                  <c:v>16.037369640671088</c:v>
                </c:pt>
                <c:pt idx="101">
                  <c:v>16.12227336229817</c:v>
                </c:pt>
                <c:pt idx="102">
                  <c:v>16.207177083925252</c:v>
                </c:pt>
                <c:pt idx="103">
                  <c:v>16.292080805552335</c:v>
                </c:pt>
                <c:pt idx="104">
                  <c:v>16.37698452717942</c:v>
                </c:pt>
                <c:pt idx="105">
                  <c:v>16.4618882488065</c:v>
                </c:pt>
                <c:pt idx="106">
                  <c:v>16.54679197043358</c:v>
                </c:pt>
                <c:pt idx="107">
                  <c:v>16.631695692060664</c:v>
                </c:pt>
                <c:pt idx="108">
                  <c:v>16.716599413687746</c:v>
                </c:pt>
                <c:pt idx="109">
                  <c:v>16.801503135314828</c:v>
                </c:pt>
                <c:pt idx="110">
                  <c:v>16.88640685694191</c:v>
                </c:pt>
                <c:pt idx="111">
                  <c:v>16.971310578568993</c:v>
                </c:pt>
                <c:pt idx="112">
                  <c:v>17.056214300196075</c:v>
                </c:pt>
                <c:pt idx="113">
                  <c:v>17.14111802182316</c:v>
                </c:pt>
                <c:pt idx="114">
                  <c:v>17.226021743450243</c:v>
                </c:pt>
                <c:pt idx="115">
                  <c:v>17.31092546507732</c:v>
                </c:pt>
                <c:pt idx="116">
                  <c:v>17.3958291867044</c:v>
                </c:pt>
                <c:pt idx="117">
                  <c:v>17.480732908331486</c:v>
                </c:pt>
                <c:pt idx="118">
                  <c:v>17.565636629958572</c:v>
                </c:pt>
                <c:pt idx="119">
                  <c:v>17.65054035158565</c:v>
                </c:pt>
                <c:pt idx="120">
                  <c:v>17.735444073212733</c:v>
                </c:pt>
                <c:pt idx="121">
                  <c:v>17.820347794839815</c:v>
                </c:pt>
                <c:pt idx="122">
                  <c:v>17.905251516466897</c:v>
                </c:pt>
                <c:pt idx="123">
                  <c:v>17.99015523809398</c:v>
                </c:pt>
                <c:pt idx="124">
                  <c:v>18.075058959721062</c:v>
                </c:pt>
                <c:pt idx="125">
                  <c:v>18.159962681348148</c:v>
                </c:pt>
                <c:pt idx="126">
                  <c:v>18.244866402975227</c:v>
                </c:pt>
                <c:pt idx="127">
                  <c:v>18.329770124602312</c:v>
                </c:pt>
                <c:pt idx="128">
                  <c:v>18.41467384622939</c:v>
                </c:pt>
                <c:pt idx="129">
                  <c:v>18.499577567856473</c:v>
                </c:pt>
                <c:pt idx="130">
                  <c:v>18.584481289483552</c:v>
                </c:pt>
                <c:pt idx="131">
                  <c:v>18.669385011110638</c:v>
                </c:pt>
                <c:pt idx="132">
                  <c:v>18.75428873273772</c:v>
                </c:pt>
                <c:pt idx="133">
                  <c:v>18.839192454364802</c:v>
                </c:pt>
                <c:pt idx="134">
                  <c:v>18.924096175991885</c:v>
                </c:pt>
                <c:pt idx="135">
                  <c:v>19.008999897618967</c:v>
                </c:pt>
                <c:pt idx="136">
                  <c:v>19.093903619246053</c:v>
                </c:pt>
                <c:pt idx="137">
                  <c:v>19.17880734087313</c:v>
                </c:pt>
                <c:pt idx="138">
                  <c:v>19.263711062500214</c:v>
                </c:pt>
                <c:pt idx="139">
                  <c:v>19.348614784127296</c:v>
                </c:pt>
                <c:pt idx="140">
                  <c:v>19.43351850575438</c:v>
                </c:pt>
                <c:pt idx="141">
                  <c:v>19.518422227381457</c:v>
                </c:pt>
                <c:pt idx="142">
                  <c:v>19.60332594900854</c:v>
                </c:pt>
                <c:pt idx="143">
                  <c:v>19.688229670635625</c:v>
                </c:pt>
                <c:pt idx="144">
                  <c:v>19.773133392262707</c:v>
                </c:pt>
                <c:pt idx="145">
                  <c:v>19.85803711388979</c:v>
                </c:pt>
                <c:pt idx="146">
                  <c:v>19.942940835516872</c:v>
                </c:pt>
                <c:pt idx="147">
                  <c:v>20.027844557143954</c:v>
                </c:pt>
                <c:pt idx="148">
                  <c:v>20.112748278771033</c:v>
                </c:pt>
                <c:pt idx="149">
                  <c:v>20.19765200039812</c:v>
                </c:pt>
                <c:pt idx="150">
                  <c:v>20.282555722025204</c:v>
                </c:pt>
                <c:pt idx="151">
                  <c:v>20.36745944365228</c:v>
                </c:pt>
                <c:pt idx="152">
                  <c:v>20.452363165279365</c:v>
                </c:pt>
                <c:pt idx="153">
                  <c:v>20.537266886906444</c:v>
                </c:pt>
                <c:pt idx="154">
                  <c:v>20.62217060853353</c:v>
                </c:pt>
                <c:pt idx="155">
                  <c:v>20.707074330160612</c:v>
                </c:pt>
                <c:pt idx="156">
                  <c:v>20.79197805178769</c:v>
                </c:pt>
                <c:pt idx="157">
                  <c:v>20.876881773414777</c:v>
                </c:pt>
                <c:pt idx="158">
                  <c:v>20.96178549504186</c:v>
                </c:pt>
                <c:pt idx="159">
                  <c:v>21.046689216668945</c:v>
                </c:pt>
                <c:pt idx="160">
                  <c:v>21.13159293829602</c:v>
                </c:pt>
                <c:pt idx="161">
                  <c:v>21.216496659923106</c:v>
                </c:pt>
                <c:pt idx="162">
                  <c:v>21.30140038155019</c:v>
                </c:pt>
                <c:pt idx="163">
                  <c:v>21.38630410317727</c:v>
                </c:pt>
                <c:pt idx="164">
                  <c:v>21.471207824804353</c:v>
                </c:pt>
                <c:pt idx="165">
                  <c:v>21.55611154643143</c:v>
                </c:pt>
                <c:pt idx="166">
                  <c:v>21.641015268058517</c:v>
                </c:pt>
                <c:pt idx="167">
                  <c:v>21.725918989685596</c:v>
                </c:pt>
                <c:pt idx="168">
                  <c:v>21.81082271131268</c:v>
                </c:pt>
                <c:pt idx="169">
                  <c:v>21.89572643293976</c:v>
                </c:pt>
                <c:pt idx="170">
                  <c:v>21.980630154566846</c:v>
                </c:pt>
                <c:pt idx="171">
                  <c:v>22.06553387619393</c:v>
                </c:pt>
                <c:pt idx="172">
                  <c:v>22.15043759782101</c:v>
                </c:pt>
                <c:pt idx="173">
                  <c:v>22.235341319448093</c:v>
                </c:pt>
                <c:pt idx="174">
                  <c:v>22.32024504107517</c:v>
                </c:pt>
                <c:pt idx="175">
                  <c:v>22.405148762702257</c:v>
                </c:pt>
                <c:pt idx="176">
                  <c:v>22.490052484329336</c:v>
                </c:pt>
                <c:pt idx="177">
                  <c:v>22.574956205956422</c:v>
                </c:pt>
                <c:pt idx="178">
                  <c:v>22.6598599275835</c:v>
                </c:pt>
                <c:pt idx="179">
                  <c:v>22.744763649210583</c:v>
                </c:pt>
                <c:pt idx="180">
                  <c:v>22.82966737083767</c:v>
                </c:pt>
                <c:pt idx="181">
                  <c:v>22.91457109246475</c:v>
                </c:pt>
                <c:pt idx="182">
                  <c:v>22.999474814091833</c:v>
                </c:pt>
                <c:pt idx="183">
                  <c:v>23.084378535718912</c:v>
                </c:pt>
                <c:pt idx="184">
                  <c:v>23.169282257345998</c:v>
                </c:pt>
                <c:pt idx="185">
                  <c:v>23.254185978973084</c:v>
                </c:pt>
                <c:pt idx="186">
                  <c:v>23.339089700600162</c:v>
                </c:pt>
                <c:pt idx="187">
                  <c:v>23.42399342222724</c:v>
                </c:pt>
                <c:pt idx="188">
                  <c:v>23.508897143854323</c:v>
                </c:pt>
                <c:pt idx="189">
                  <c:v>23.593800865481406</c:v>
                </c:pt>
                <c:pt idx="190">
                  <c:v>23.678704587108488</c:v>
                </c:pt>
                <c:pt idx="191">
                  <c:v>23.763608308735574</c:v>
                </c:pt>
                <c:pt idx="192">
                  <c:v>23.848512030362652</c:v>
                </c:pt>
                <c:pt idx="193">
                  <c:v>23.933415751989735</c:v>
                </c:pt>
                <c:pt idx="194">
                  <c:v>24.01831947361682</c:v>
                </c:pt>
                <c:pt idx="195">
                  <c:v>24.103223195243903</c:v>
                </c:pt>
                <c:pt idx="196">
                  <c:v>24.188126916870985</c:v>
                </c:pt>
                <c:pt idx="197">
                  <c:v>24.273030638498064</c:v>
                </c:pt>
                <c:pt idx="198">
                  <c:v>24.35793436012515</c:v>
                </c:pt>
                <c:pt idx="199">
                  <c:v>24.442838081752228</c:v>
                </c:pt>
                <c:pt idx="200">
                  <c:v>24.52774180337931</c:v>
                </c:pt>
              </c:numCache>
            </c:numRef>
          </c:xVal>
          <c:yVal>
            <c:numRef>
              <c:f>Luc_keo!$H$203:$H$403</c:f>
              <c:numCache>
                <c:formatCode>General</c:formatCode>
                <c:ptCount val="201"/>
                <c:pt idx="0">
                  <c:v>13250.001829327262</c:v>
                </c:pt>
                <c:pt idx="1">
                  <c:v>13296.623294808303</c:v>
                </c:pt>
                <c:pt idx="2">
                  <c:v>13342.878463310446</c:v>
                </c:pt>
                <c:pt idx="3">
                  <c:v>13388.767334833688</c:v>
                </c:pt>
                <c:pt idx="4">
                  <c:v>13434.289909378032</c:v>
                </c:pt>
                <c:pt idx="5">
                  <c:v>13479.446186943469</c:v>
                </c:pt>
                <c:pt idx="6">
                  <c:v>13524.236167530014</c:v>
                </c:pt>
                <c:pt idx="7">
                  <c:v>13568.659851137654</c:v>
                </c:pt>
                <c:pt idx="8">
                  <c:v>13612.717237766401</c:v>
                </c:pt>
                <c:pt idx="9">
                  <c:v>13656.408327416246</c:v>
                </c:pt>
                <c:pt idx="10">
                  <c:v>13699.733120087192</c:v>
                </c:pt>
                <c:pt idx="11">
                  <c:v>13742.691615779238</c:v>
                </c:pt>
                <c:pt idx="12">
                  <c:v>13785.283814492386</c:v>
                </c:pt>
                <c:pt idx="13">
                  <c:v>13827.50971622663</c:v>
                </c:pt>
                <c:pt idx="14">
                  <c:v>13869.369320981978</c:v>
                </c:pt>
                <c:pt idx="15">
                  <c:v>13910.862628758425</c:v>
                </c:pt>
                <c:pt idx="16">
                  <c:v>13951.989639555972</c:v>
                </c:pt>
                <c:pt idx="17">
                  <c:v>13992.750353374624</c:v>
                </c:pt>
                <c:pt idx="18">
                  <c:v>14033.144770214374</c:v>
                </c:pt>
                <c:pt idx="19">
                  <c:v>14073.172890075222</c:v>
                </c:pt>
                <c:pt idx="20">
                  <c:v>14112.834712957174</c:v>
                </c:pt>
                <c:pt idx="21">
                  <c:v>14152.130238860225</c:v>
                </c:pt>
                <c:pt idx="22">
                  <c:v>14191.059467784378</c:v>
                </c:pt>
                <c:pt idx="23">
                  <c:v>14229.622399729631</c:v>
                </c:pt>
                <c:pt idx="24">
                  <c:v>14267.81903469598</c:v>
                </c:pt>
                <c:pt idx="25">
                  <c:v>14305.64937268344</c:v>
                </c:pt>
                <c:pt idx="26">
                  <c:v>14343.113413691988</c:v>
                </c:pt>
                <c:pt idx="27">
                  <c:v>14380.211157721644</c:v>
                </c:pt>
                <c:pt idx="28">
                  <c:v>14416.942604772394</c:v>
                </c:pt>
                <c:pt idx="29">
                  <c:v>14453.307754844249</c:v>
                </c:pt>
                <c:pt idx="30">
                  <c:v>14489.306607937206</c:v>
                </c:pt>
                <c:pt idx="31">
                  <c:v>14524.939164051264</c:v>
                </c:pt>
                <c:pt idx="32">
                  <c:v>14560.205423186417</c:v>
                </c:pt>
                <c:pt idx="33">
                  <c:v>14595.105385342675</c:v>
                </c:pt>
                <c:pt idx="34">
                  <c:v>14629.639050520027</c:v>
                </c:pt>
                <c:pt idx="35">
                  <c:v>14663.806418718488</c:v>
                </c:pt>
                <c:pt idx="36">
                  <c:v>14697.607489938053</c:v>
                </c:pt>
                <c:pt idx="37">
                  <c:v>14731.04226417871</c:v>
                </c:pt>
                <c:pt idx="38">
                  <c:v>14764.110741440469</c:v>
                </c:pt>
                <c:pt idx="39">
                  <c:v>14796.81292172333</c:v>
                </c:pt>
                <c:pt idx="40">
                  <c:v>14829.148805027293</c:v>
                </c:pt>
                <c:pt idx="41">
                  <c:v>14861.118391352347</c:v>
                </c:pt>
                <c:pt idx="42">
                  <c:v>14892.721680698509</c:v>
                </c:pt>
                <c:pt idx="43">
                  <c:v>14923.95867306577</c:v>
                </c:pt>
                <c:pt idx="44">
                  <c:v>14954.829368454131</c:v>
                </c:pt>
                <c:pt idx="45">
                  <c:v>14985.333766863596</c:v>
                </c:pt>
                <c:pt idx="46">
                  <c:v>15015.471868294164</c:v>
                </c:pt>
                <c:pt idx="47">
                  <c:v>15045.243672745828</c:v>
                </c:pt>
                <c:pt idx="48">
                  <c:v>15074.649180218594</c:v>
                </c:pt>
                <c:pt idx="49">
                  <c:v>15103.688390712457</c:v>
                </c:pt>
                <c:pt idx="50">
                  <c:v>15132.361304227423</c:v>
                </c:pt>
                <c:pt idx="51">
                  <c:v>15160.66792076349</c:v>
                </c:pt>
                <c:pt idx="52">
                  <c:v>15188.608240320656</c:v>
                </c:pt>
                <c:pt idx="53">
                  <c:v>15216.182262898925</c:v>
                </c:pt>
                <c:pt idx="54">
                  <c:v>15243.389988498291</c:v>
                </c:pt>
                <c:pt idx="55">
                  <c:v>15270.231417118757</c:v>
                </c:pt>
                <c:pt idx="56">
                  <c:v>15296.706548760327</c:v>
                </c:pt>
                <c:pt idx="57">
                  <c:v>15322.815383423003</c:v>
                </c:pt>
                <c:pt idx="58">
                  <c:v>15348.557921106769</c:v>
                </c:pt>
                <c:pt idx="59">
                  <c:v>15373.934161811636</c:v>
                </c:pt>
                <c:pt idx="60">
                  <c:v>15398.944105537606</c:v>
                </c:pt>
                <c:pt idx="61">
                  <c:v>15423.587752284679</c:v>
                </c:pt>
                <c:pt idx="62">
                  <c:v>15447.865102052856</c:v>
                </c:pt>
                <c:pt idx="63">
                  <c:v>15471.776154842124</c:v>
                </c:pt>
                <c:pt idx="64">
                  <c:v>15495.320910652497</c:v>
                </c:pt>
                <c:pt idx="65">
                  <c:v>15518.499369483969</c:v>
                </c:pt>
                <c:pt idx="66">
                  <c:v>15541.311531336542</c:v>
                </c:pt>
                <c:pt idx="67">
                  <c:v>15563.757396210218</c:v>
                </c:pt>
                <c:pt idx="68">
                  <c:v>15585.836964104996</c:v>
                </c:pt>
                <c:pt idx="69">
                  <c:v>15607.550235020866</c:v>
                </c:pt>
                <c:pt idx="70">
                  <c:v>15628.897208957846</c:v>
                </c:pt>
                <c:pt idx="71">
                  <c:v>15649.877885915923</c:v>
                </c:pt>
                <c:pt idx="72">
                  <c:v>15670.492265895098</c:v>
                </c:pt>
                <c:pt idx="73">
                  <c:v>15690.740348895377</c:v>
                </c:pt>
                <c:pt idx="74">
                  <c:v>15710.622134916752</c:v>
                </c:pt>
                <c:pt idx="75">
                  <c:v>15730.137623959225</c:v>
                </c:pt>
                <c:pt idx="76">
                  <c:v>15749.286816022817</c:v>
                </c:pt>
                <c:pt idx="77">
                  <c:v>15768.069711107488</c:v>
                </c:pt>
                <c:pt idx="78">
                  <c:v>15786.486309213275</c:v>
                </c:pt>
                <c:pt idx="79">
                  <c:v>15804.536610340147</c:v>
                </c:pt>
                <c:pt idx="80">
                  <c:v>15822.220614488131</c:v>
                </c:pt>
                <c:pt idx="81">
                  <c:v>15839.538321657212</c:v>
                </c:pt>
                <c:pt idx="82">
                  <c:v>15856.489731847394</c:v>
                </c:pt>
                <c:pt idx="83">
                  <c:v>15873.074845058678</c:v>
                </c:pt>
                <c:pt idx="84">
                  <c:v>15889.293661291058</c:v>
                </c:pt>
                <c:pt idx="85">
                  <c:v>15905.146180544541</c:v>
                </c:pt>
                <c:pt idx="86">
                  <c:v>15920.632402819132</c:v>
                </c:pt>
                <c:pt idx="87">
                  <c:v>15935.752328114808</c:v>
                </c:pt>
                <c:pt idx="88">
                  <c:v>15950.505956431598</c:v>
                </c:pt>
                <c:pt idx="89">
                  <c:v>15964.893287769486</c:v>
                </c:pt>
                <c:pt idx="90">
                  <c:v>15978.914322128465</c:v>
                </c:pt>
                <c:pt idx="91">
                  <c:v>15992.569059508556</c:v>
                </c:pt>
                <c:pt idx="92">
                  <c:v>16005.857499909742</c:v>
                </c:pt>
                <c:pt idx="93">
                  <c:v>16018.779643332029</c:v>
                </c:pt>
                <c:pt idx="94">
                  <c:v>16031.335489775416</c:v>
                </c:pt>
                <c:pt idx="95">
                  <c:v>16043.525039239907</c:v>
                </c:pt>
                <c:pt idx="96">
                  <c:v>16055.348291725491</c:v>
                </c:pt>
                <c:pt idx="97">
                  <c:v>16066.80524723219</c:v>
                </c:pt>
                <c:pt idx="98">
                  <c:v>16077.895905759973</c:v>
                </c:pt>
                <c:pt idx="99">
                  <c:v>16088.620267308865</c:v>
                </c:pt>
                <c:pt idx="100">
                  <c:v>16098.978331878861</c:v>
                </c:pt>
                <c:pt idx="101">
                  <c:v>16108.970099469947</c:v>
                </c:pt>
                <c:pt idx="102">
                  <c:v>16118.59557008214</c:v>
                </c:pt>
                <c:pt idx="103">
                  <c:v>16127.85474371543</c:v>
                </c:pt>
                <c:pt idx="104">
                  <c:v>16136.747620369822</c:v>
                </c:pt>
                <c:pt idx="105">
                  <c:v>16145.27420004532</c:v>
                </c:pt>
                <c:pt idx="106">
                  <c:v>16153.434482741914</c:v>
                </c:pt>
                <c:pt idx="107">
                  <c:v>16161.228468459609</c:v>
                </c:pt>
                <c:pt idx="108">
                  <c:v>16168.656157198406</c:v>
                </c:pt>
                <c:pt idx="109">
                  <c:v>16175.717548958304</c:v>
                </c:pt>
                <c:pt idx="110">
                  <c:v>16182.412643739299</c:v>
                </c:pt>
                <c:pt idx="111">
                  <c:v>16188.741441541395</c:v>
                </c:pt>
                <c:pt idx="112">
                  <c:v>16194.703942364591</c:v>
                </c:pt>
                <c:pt idx="113">
                  <c:v>16200.300146208892</c:v>
                </c:pt>
                <c:pt idx="114">
                  <c:v>16205.530053074288</c:v>
                </c:pt>
                <c:pt idx="115">
                  <c:v>16210.393662960782</c:v>
                </c:pt>
                <c:pt idx="116">
                  <c:v>16214.890975868382</c:v>
                </c:pt>
                <c:pt idx="117">
                  <c:v>16219.021991797083</c:v>
                </c:pt>
                <c:pt idx="118">
                  <c:v>16222.786710746886</c:v>
                </c:pt>
                <c:pt idx="119">
                  <c:v>16226.185132717781</c:v>
                </c:pt>
                <c:pt idx="120">
                  <c:v>16229.21725770979</c:v>
                </c:pt>
                <c:pt idx="121">
                  <c:v>16231.883085722891</c:v>
                </c:pt>
                <c:pt idx="122">
                  <c:v>16234.18261675709</c:v>
                </c:pt>
                <c:pt idx="123">
                  <c:v>16236.11585081239</c:v>
                </c:pt>
                <c:pt idx="124">
                  <c:v>16237.682787888794</c:v>
                </c:pt>
                <c:pt idx="125">
                  <c:v>16238.883427986299</c:v>
                </c:pt>
                <c:pt idx="126">
                  <c:v>16239.71777110491</c:v>
                </c:pt>
                <c:pt idx="127">
                  <c:v>16240.185817244614</c:v>
                </c:pt>
                <c:pt idx="128">
                  <c:v>16240.287566405423</c:v>
                </c:pt>
                <c:pt idx="129">
                  <c:v>16240.02301858732</c:v>
                </c:pt>
                <c:pt idx="130">
                  <c:v>16239.392173790327</c:v>
                </c:pt>
                <c:pt idx="131">
                  <c:v>16238.395032014438</c:v>
                </c:pt>
                <c:pt idx="132">
                  <c:v>16237.03159325965</c:v>
                </c:pt>
                <c:pt idx="133">
                  <c:v>16235.30185752595</c:v>
                </c:pt>
                <c:pt idx="134">
                  <c:v>16233.205824813364</c:v>
                </c:pt>
                <c:pt idx="135">
                  <c:v>16230.743495121867</c:v>
                </c:pt>
                <c:pt idx="136">
                  <c:v>16227.914868451482</c:v>
                </c:pt>
                <c:pt idx="137">
                  <c:v>16224.719944802186</c:v>
                </c:pt>
                <c:pt idx="138">
                  <c:v>16221.158724173994</c:v>
                </c:pt>
                <c:pt idx="139">
                  <c:v>16217.231206566907</c:v>
                </c:pt>
                <c:pt idx="140">
                  <c:v>16212.937391980922</c:v>
                </c:pt>
                <c:pt idx="141">
                  <c:v>16208.277280416034</c:v>
                </c:pt>
                <c:pt idx="142">
                  <c:v>16203.250871872247</c:v>
                </c:pt>
                <c:pt idx="143">
                  <c:v>16197.85816634956</c:v>
                </c:pt>
                <c:pt idx="144">
                  <c:v>16192.099163847979</c:v>
                </c:pt>
                <c:pt idx="145">
                  <c:v>16185.973864367483</c:v>
                </c:pt>
                <c:pt idx="146">
                  <c:v>16179.4822679081</c:v>
                </c:pt>
                <c:pt idx="147">
                  <c:v>16172.624374469815</c:v>
                </c:pt>
                <c:pt idx="148">
                  <c:v>16165.400184052629</c:v>
                </c:pt>
                <c:pt idx="149">
                  <c:v>16157.809696656543</c:v>
                </c:pt>
                <c:pt idx="150">
                  <c:v>16149.852912281567</c:v>
                </c:pt>
                <c:pt idx="151">
                  <c:v>16141.52983092768</c:v>
                </c:pt>
                <c:pt idx="152">
                  <c:v>16132.840452594897</c:v>
                </c:pt>
                <c:pt idx="153">
                  <c:v>16123.78477728322</c:v>
                </c:pt>
                <c:pt idx="154">
                  <c:v>16114.362804992637</c:v>
                </c:pt>
                <c:pt idx="155">
                  <c:v>16104.574535723155</c:v>
                </c:pt>
                <c:pt idx="156">
                  <c:v>16094.419969474775</c:v>
                </c:pt>
                <c:pt idx="157">
                  <c:v>16083.899106247492</c:v>
                </c:pt>
                <c:pt idx="158">
                  <c:v>16073.011946041315</c:v>
                </c:pt>
                <c:pt idx="159">
                  <c:v>16061.758488856236</c:v>
                </c:pt>
                <c:pt idx="160">
                  <c:v>16050.138734692264</c:v>
                </c:pt>
                <c:pt idx="161">
                  <c:v>16038.15268354938</c:v>
                </c:pt>
                <c:pt idx="162">
                  <c:v>16025.8003354276</c:v>
                </c:pt>
                <c:pt idx="163">
                  <c:v>16013.081690326928</c:v>
                </c:pt>
                <c:pt idx="164">
                  <c:v>15999.996748247351</c:v>
                </c:pt>
                <c:pt idx="165">
                  <c:v>15986.545509188874</c:v>
                </c:pt>
                <c:pt idx="166">
                  <c:v>15972.727973151501</c:v>
                </c:pt>
                <c:pt idx="167">
                  <c:v>15958.544140135225</c:v>
                </c:pt>
                <c:pt idx="168">
                  <c:v>15943.994010140052</c:v>
                </c:pt>
                <c:pt idx="169">
                  <c:v>15929.07758316598</c:v>
                </c:pt>
                <c:pt idx="170">
                  <c:v>15913.794859213005</c:v>
                </c:pt>
                <c:pt idx="171">
                  <c:v>15898.14583828113</c:v>
                </c:pt>
                <c:pt idx="172">
                  <c:v>15882.130520370367</c:v>
                </c:pt>
                <c:pt idx="173">
                  <c:v>15865.748905480688</c:v>
                </c:pt>
                <c:pt idx="174">
                  <c:v>15849.000993612117</c:v>
                </c:pt>
                <c:pt idx="175">
                  <c:v>15831.88678476465</c:v>
                </c:pt>
                <c:pt idx="176">
                  <c:v>15814.406278938279</c:v>
                </c:pt>
                <c:pt idx="177">
                  <c:v>15796.559476133007</c:v>
                </c:pt>
                <c:pt idx="178">
                  <c:v>15778.346376348836</c:v>
                </c:pt>
                <c:pt idx="179">
                  <c:v>15759.766979585771</c:v>
                </c:pt>
                <c:pt idx="180">
                  <c:v>15740.821285843798</c:v>
                </c:pt>
                <c:pt idx="181">
                  <c:v>15721.509295122933</c:v>
                </c:pt>
                <c:pt idx="182">
                  <c:v>15701.831007423165</c:v>
                </c:pt>
                <c:pt idx="183">
                  <c:v>15681.786422744499</c:v>
                </c:pt>
                <c:pt idx="184">
                  <c:v>15661.375541086929</c:v>
                </c:pt>
                <c:pt idx="185">
                  <c:v>15640.598362450468</c:v>
                </c:pt>
                <c:pt idx="186">
                  <c:v>15619.454886835103</c:v>
                </c:pt>
                <c:pt idx="187">
                  <c:v>15597.94511424084</c:v>
                </c:pt>
                <c:pt idx="188">
                  <c:v>15576.06904466767</c:v>
                </c:pt>
                <c:pt idx="189">
                  <c:v>15553.826678115609</c:v>
                </c:pt>
                <c:pt idx="190">
                  <c:v>15531.218014584641</c:v>
                </c:pt>
                <c:pt idx="191">
                  <c:v>15508.243054074786</c:v>
                </c:pt>
                <c:pt idx="192">
                  <c:v>15484.901796586026</c:v>
                </c:pt>
                <c:pt idx="193">
                  <c:v>15461.194242118361</c:v>
                </c:pt>
                <c:pt idx="194">
                  <c:v>15437.1203906718</c:v>
                </c:pt>
                <c:pt idx="195">
                  <c:v>15412.680242246339</c:v>
                </c:pt>
                <c:pt idx="196">
                  <c:v>15387.87379684198</c:v>
                </c:pt>
                <c:pt idx="197">
                  <c:v>15362.701054458723</c:v>
                </c:pt>
                <c:pt idx="198">
                  <c:v>15337.162015096561</c:v>
                </c:pt>
                <c:pt idx="199">
                  <c:v>15311.2566787555</c:v>
                </c:pt>
                <c:pt idx="200">
                  <c:v>15284.985045435546</c:v>
                </c:pt>
              </c:numCache>
            </c:numRef>
          </c:yVal>
        </c:ser>
        <c:ser>
          <c:idx val="2"/>
          <c:order val="2"/>
          <c:tx>
            <c:v>Số 3</c:v>
          </c:tx>
          <c:marker>
            <c:symbol val="none"/>
          </c:marker>
          <c:xVal>
            <c:numRef>
              <c:f>Luc_keo!$E$404:$E$604</c:f>
              <c:numCache>
                <c:formatCode>General</c:formatCode>
                <c:ptCount val="201"/>
                <c:pt idx="0">
                  <c:v>12.275769208846697</c:v>
                </c:pt>
                <c:pt idx="1">
                  <c:v>12.413871612446222</c:v>
                </c:pt>
                <c:pt idx="2">
                  <c:v>12.551974016045747</c:v>
                </c:pt>
                <c:pt idx="3">
                  <c:v>12.690076419645271</c:v>
                </c:pt>
                <c:pt idx="4">
                  <c:v>12.8281788232448</c:v>
                </c:pt>
                <c:pt idx="5">
                  <c:v>12.966281226844323</c:v>
                </c:pt>
                <c:pt idx="6">
                  <c:v>13.104383630443849</c:v>
                </c:pt>
                <c:pt idx="7">
                  <c:v>13.242486034043372</c:v>
                </c:pt>
                <c:pt idx="8">
                  <c:v>13.380588437642897</c:v>
                </c:pt>
                <c:pt idx="9">
                  <c:v>13.518690841242424</c:v>
                </c:pt>
                <c:pt idx="10">
                  <c:v>13.65679324484195</c:v>
                </c:pt>
                <c:pt idx="11">
                  <c:v>13.794895648441477</c:v>
                </c:pt>
                <c:pt idx="12">
                  <c:v>13.932998052041</c:v>
                </c:pt>
                <c:pt idx="13">
                  <c:v>14.071100455640526</c:v>
                </c:pt>
                <c:pt idx="14">
                  <c:v>14.20920285924005</c:v>
                </c:pt>
                <c:pt idx="15">
                  <c:v>14.347305262839578</c:v>
                </c:pt>
                <c:pt idx="16">
                  <c:v>14.485407666439103</c:v>
                </c:pt>
                <c:pt idx="17">
                  <c:v>14.623510070038629</c:v>
                </c:pt>
                <c:pt idx="18">
                  <c:v>14.761612473638154</c:v>
                </c:pt>
                <c:pt idx="19">
                  <c:v>14.899714877237678</c:v>
                </c:pt>
                <c:pt idx="20">
                  <c:v>15.037817280837203</c:v>
                </c:pt>
                <c:pt idx="21">
                  <c:v>15.175919684436728</c:v>
                </c:pt>
                <c:pt idx="22">
                  <c:v>15.314022088036253</c:v>
                </c:pt>
                <c:pt idx="23">
                  <c:v>15.452124491635779</c:v>
                </c:pt>
                <c:pt idx="24">
                  <c:v>15.590226895235302</c:v>
                </c:pt>
                <c:pt idx="25">
                  <c:v>15.728329298834828</c:v>
                </c:pt>
                <c:pt idx="26">
                  <c:v>15.866431702434356</c:v>
                </c:pt>
                <c:pt idx="27">
                  <c:v>16.00453410603388</c:v>
                </c:pt>
                <c:pt idx="28">
                  <c:v>16.14263650963341</c:v>
                </c:pt>
                <c:pt idx="29">
                  <c:v>16.28073891323293</c:v>
                </c:pt>
                <c:pt idx="30">
                  <c:v>16.418841316832456</c:v>
                </c:pt>
                <c:pt idx="31">
                  <c:v>16.55694372043198</c:v>
                </c:pt>
                <c:pt idx="32">
                  <c:v>16.695046124031506</c:v>
                </c:pt>
                <c:pt idx="33">
                  <c:v>16.83314852763103</c:v>
                </c:pt>
                <c:pt idx="34">
                  <c:v>16.971250931230557</c:v>
                </c:pt>
                <c:pt idx="35">
                  <c:v>17.109353334830086</c:v>
                </c:pt>
                <c:pt idx="36">
                  <c:v>17.24745573842961</c:v>
                </c:pt>
                <c:pt idx="37">
                  <c:v>17.385558142029133</c:v>
                </c:pt>
                <c:pt idx="38">
                  <c:v>17.52366054562866</c:v>
                </c:pt>
                <c:pt idx="39">
                  <c:v>17.661762949228184</c:v>
                </c:pt>
                <c:pt idx="40">
                  <c:v>17.79986535282771</c:v>
                </c:pt>
                <c:pt idx="41">
                  <c:v>17.937967756427238</c:v>
                </c:pt>
                <c:pt idx="42">
                  <c:v>18.076070160026756</c:v>
                </c:pt>
                <c:pt idx="43">
                  <c:v>18.214172563626285</c:v>
                </c:pt>
                <c:pt idx="44">
                  <c:v>18.352274967225814</c:v>
                </c:pt>
                <c:pt idx="45">
                  <c:v>18.490377370825335</c:v>
                </c:pt>
                <c:pt idx="46">
                  <c:v>18.628479774424864</c:v>
                </c:pt>
                <c:pt idx="47">
                  <c:v>18.766582178024386</c:v>
                </c:pt>
                <c:pt idx="48">
                  <c:v>18.90468458162391</c:v>
                </c:pt>
                <c:pt idx="49">
                  <c:v>19.042786985223437</c:v>
                </c:pt>
                <c:pt idx="50">
                  <c:v>19.180889388822962</c:v>
                </c:pt>
                <c:pt idx="51">
                  <c:v>19.318991792422487</c:v>
                </c:pt>
                <c:pt idx="52">
                  <c:v>19.457094196022013</c:v>
                </c:pt>
                <c:pt idx="53">
                  <c:v>19.59519659962154</c:v>
                </c:pt>
                <c:pt idx="54">
                  <c:v>19.733299003221067</c:v>
                </c:pt>
                <c:pt idx="55">
                  <c:v>19.87140140682059</c:v>
                </c:pt>
                <c:pt idx="56">
                  <c:v>20.009503810420114</c:v>
                </c:pt>
                <c:pt idx="57">
                  <c:v>20.14760621401964</c:v>
                </c:pt>
                <c:pt idx="58">
                  <c:v>20.285708617619168</c:v>
                </c:pt>
                <c:pt idx="59">
                  <c:v>20.42381102121869</c:v>
                </c:pt>
                <c:pt idx="60">
                  <c:v>20.561913424818215</c:v>
                </c:pt>
                <c:pt idx="61">
                  <c:v>20.70001582841774</c:v>
                </c:pt>
                <c:pt idx="62">
                  <c:v>20.83811823201727</c:v>
                </c:pt>
                <c:pt idx="63">
                  <c:v>20.97622063561679</c:v>
                </c:pt>
                <c:pt idx="64">
                  <c:v>21.11432303921632</c:v>
                </c:pt>
                <c:pt idx="65">
                  <c:v>21.25242544281584</c:v>
                </c:pt>
                <c:pt idx="66">
                  <c:v>21.39052784641537</c:v>
                </c:pt>
                <c:pt idx="67">
                  <c:v>21.528630250014892</c:v>
                </c:pt>
                <c:pt idx="68">
                  <c:v>21.666732653614417</c:v>
                </c:pt>
                <c:pt idx="69">
                  <c:v>21.804835057213946</c:v>
                </c:pt>
                <c:pt idx="70">
                  <c:v>21.942937460813468</c:v>
                </c:pt>
                <c:pt idx="71">
                  <c:v>22.081039864412997</c:v>
                </c:pt>
                <c:pt idx="72">
                  <c:v>22.21914226801252</c:v>
                </c:pt>
                <c:pt idx="73">
                  <c:v>22.357244671612047</c:v>
                </c:pt>
                <c:pt idx="74">
                  <c:v>22.49534707521157</c:v>
                </c:pt>
                <c:pt idx="75">
                  <c:v>22.633449478811094</c:v>
                </c:pt>
                <c:pt idx="76">
                  <c:v>22.771551882410623</c:v>
                </c:pt>
                <c:pt idx="77">
                  <c:v>22.909654286010145</c:v>
                </c:pt>
                <c:pt idx="78">
                  <c:v>23.04775668960967</c:v>
                </c:pt>
                <c:pt idx="79">
                  <c:v>23.185859093209196</c:v>
                </c:pt>
                <c:pt idx="80">
                  <c:v>23.323961496808725</c:v>
                </c:pt>
                <c:pt idx="81">
                  <c:v>23.462063900408253</c:v>
                </c:pt>
                <c:pt idx="82">
                  <c:v>23.600166304007775</c:v>
                </c:pt>
                <c:pt idx="83">
                  <c:v>23.7382687076073</c:v>
                </c:pt>
                <c:pt idx="84">
                  <c:v>23.876371111206826</c:v>
                </c:pt>
                <c:pt idx="85">
                  <c:v>24.014473514806344</c:v>
                </c:pt>
                <c:pt idx="86">
                  <c:v>24.152575918405873</c:v>
                </c:pt>
                <c:pt idx="87">
                  <c:v>24.2906783220054</c:v>
                </c:pt>
                <c:pt idx="88">
                  <c:v>24.428780725604927</c:v>
                </c:pt>
                <c:pt idx="89">
                  <c:v>24.566883129204452</c:v>
                </c:pt>
                <c:pt idx="90">
                  <c:v>24.704985532803974</c:v>
                </c:pt>
                <c:pt idx="91">
                  <c:v>24.843087936403503</c:v>
                </c:pt>
                <c:pt idx="92">
                  <c:v>24.981190340003028</c:v>
                </c:pt>
                <c:pt idx="93">
                  <c:v>25.11929274360255</c:v>
                </c:pt>
                <c:pt idx="94">
                  <c:v>25.25739514720208</c:v>
                </c:pt>
                <c:pt idx="95">
                  <c:v>25.3954975508016</c:v>
                </c:pt>
                <c:pt idx="96">
                  <c:v>25.53359995440113</c:v>
                </c:pt>
                <c:pt idx="97">
                  <c:v>25.67170235800065</c:v>
                </c:pt>
                <c:pt idx="98">
                  <c:v>25.80980476160018</c:v>
                </c:pt>
                <c:pt idx="99">
                  <c:v>25.94790716519971</c:v>
                </c:pt>
                <c:pt idx="100">
                  <c:v>26.086009568799227</c:v>
                </c:pt>
                <c:pt idx="101">
                  <c:v>26.224111972398756</c:v>
                </c:pt>
                <c:pt idx="102">
                  <c:v>26.362214375998285</c:v>
                </c:pt>
                <c:pt idx="103">
                  <c:v>26.500316779597803</c:v>
                </c:pt>
                <c:pt idx="104">
                  <c:v>26.638419183197332</c:v>
                </c:pt>
                <c:pt idx="105">
                  <c:v>26.776521586796854</c:v>
                </c:pt>
                <c:pt idx="106">
                  <c:v>26.91462399039638</c:v>
                </c:pt>
                <c:pt idx="107">
                  <c:v>27.052726393995908</c:v>
                </c:pt>
                <c:pt idx="108">
                  <c:v>27.19082879759543</c:v>
                </c:pt>
                <c:pt idx="109">
                  <c:v>27.32893120119496</c:v>
                </c:pt>
                <c:pt idx="110">
                  <c:v>27.467033604794484</c:v>
                </c:pt>
                <c:pt idx="111">
                  <c:v>27.605136008394005</c:v>
                </c:pt>
                <c:pt idx="112">
                  <c:v>27.743238411993534</c:v>
                </c:pt>
                <c:pt idx="113">
                  <c:v>27.88134081559306</c:v>
                </c:pt>
                <c:pt idx="114">
                  <c:v>28.01944321919259</c:v>
                </c:pt>
                <c:pt idx="115">
                  <c:v>28.157545622792107</c:v>
                </c:pt>
                <c:pt idx="116">
                  <c:v>28.295648026391632</c:v>
                </c:pt>
                <c:pt idx="117">
                  <c:v>28.43375042999116</c:v>
                </c:pt>
                <c:pt idx="118">
                  <c:v>28.571852833590686</c:v>
                </c:pt>
                <c:pt idx="119">
                  <c:v>28.709955237190208</c:v>
                </c:pt>
                <c:pt idx="120">
                  <c:v>28.848057640789737</c:v>
                </c:pt>
                <c:pt idx="121">
                  <c:v>28.986160044389266</c:v>
                </c:pt>
                <c:pt idx="122">
                  <c:v>29.12426244798878</c:v>
                </c:pt>
                <c:pt idx="123">
                  <c:v>29.26236485158831</c:v>
                </c:pt>
                <c:pt idx="124">
                  <c:v>29.400467255187838</c:v>
                </c:pt>
                <c:pt idx="125">
                  <c:v>29.538569658787367</c:v>
                </c:pt>
                <c:pt idx="126">
                  <c:v>29.676672062386892</c:v>
                </c:pt>
                <c:pt idx="127">
                  <c:v>29.814774465986414</c:v>
                </c:pt>
                <c:pt idx="128">
                  <c:v>29.952876869585936</c:v>
                </c:pt>
                <c:pt idx="129">
                  <c:v>30.090979273185464</c:v>
                </c:pt>
                <c:pt idx="130">
                  <c:v>30.229081676784986</c:v>
                </c:pt>
                <c:pt idx="131">
                  <c:v>30.367184080384515</c:v>
                </c:pt>
                <c:pt idx="132">
                  <c:v>30.505286483984037</c:v>
                </c:pt>
                <c:pt idx="133">
                  <c:v>30.643388887583566</c:v>
                </c:pt>
                <c:pt idx="134">
                  <c:v>30.78149129118309</c:v>
                </c:pt>
                <c:pt idx="135">
                  <c:v>30.91959369478262</c:v>
                </c:pt>
                <c:pt idx="136">
                  <c:v>31.05769609838215</c:v>
                </c:pt>
                <c:pt idx="137">
                  <c:v>31.195798501981663</c:v>
                </c:pt>
                <c:pt idx="138">
                  <c:v>31.333900905581192</c:v>
                </c:pt>
                <c:pt idx="139">
                  <c:v>31.47200330918072</c:v>
                </c:pt>
                <c:pt idx="140">
                  <c:v>31.610105712780243</c:v>
                </c:pt>
                <c:pt idx="141">
                  <c:v>31.748208116379764</c:v>
                </c:pt>
                <c:pt idx="142">
                  <c:v>31.88631051997929</c:v>
                </c:pt>
                <c:pt idx="143">
                  <c:v>32.024412923578815</c:v>
                </c:pt>
                <c:pt idx="144">
                  <c:v>32.16251532717835</c:v>
                </c:pt>
                <c:pt idx="145">
                  <c:v>32.300617730777866</c:v>
                </c:pt>
                <c:pt idx="146">
                  <c:v>32.4387201343774</c:v>
                </c:pt>
                <c:pt idx="147">
                  <c:v>32.57682253797692</c:v>
                </c:pt>
                <c:pt idx="148">
                  <c:v>32.71492494157644</c:v>
                </c:pt>
                <c:pt idx="149">
                  <c:v>32.853027345175974</c:v>
                </c:pt>
                <c:pt idx="150">
                  <c:v>32.9911297487755</c:v>
                </c:pt>
                <c:pt idx="151">
                  <c:v>33.129232152375025</c:v>
                </c:pt>
                <c:pt idx="152">
                  <c:v>33.26733455597454</c:v>
                </c:pt>
                <c:pt idx="153">
                  <c:v>33.40543695957407</c:v>
                </c:pt>
                <c:pt idx="154">
                  <c:v>33.54353936317359</c:v>
                </c:pt>
                <c:pt idx="155">
                  <c:v>33.681641766773126</c:v>
                </c:pt>
                <c:pt idx="156">
                  <c:v>33.81974417037265</c:v>
                </c:pt>
                <c:pt idx="157">
                  <c:v>33.95784657397217</c:v>
                </c:pt>
                <c:pt idx="158">
                  <c:v>34.0959489775717</c:v>
                </c:pt>
                <c:pt idx="159">
                  <c:v>34.23405138117123</c:v>
                </c:pt>
                <c:pt idx="160">
                  <c:v>34.37215378477075</c:v>
                </c:pt>
                <c:pt idx="161">
                  <c:v>34.51025618837028</c:v>
                </c:pt>
                <c:pt idx="162">
                  <c:v>34.6483585919698</c:v>
                </c:pt>
                <c:pt idx="163">
                  <c:v>34.78646099556932</c:v>
                </c:pt>
                <c:pt idx="164">
                  <c:v>34.924563399168846</c:v>
                </c:pt>
                <c:pt idx="165">
                  <c:v>35.06266580276838</c:v>
                </c:pt>
                <c:pt idx="166">
                  <c:v>35.200768206367904</c:v>
                </c:pt>
                <c:pt idx="167">
                  <c:v>35.33887060996743</c:v>
                </c:pt>
                <c:pt idx="168">
                  <c:v>35.47697301356695</c:v>
                </c:pt>
                <c:pt idx="169">
                  <c:v>35.61507541716648</c:v>
                </c:pt>
                <c:pt idx="170">
                  <c:v>35.753177820766005</c:v>
                </c:pt>
                <c:pt idx="171">
                  <c:v>35.89128022436553</c:v>
                </c:pt>
                <c:pt idx="172">
                  <c:v>36.02938262796505</c:v>
                </c:pt>
                <c:pt idx="173">
                  <c:v>36.16748503156458</c:v>
                </c:pt>
                <c:pt idx="174">
                  <c:v>36.30558743516411</c:v>
                </c:pt>
                <c:pt idx="175">
                  <c:v>36.44368983876363</c:v>
                </c:pt>
                <c:pt idx="176">
                  <c:v>36.58179224236316</c:v>
                </c:pt>
                <c:pt idx="177">
                  <c:v>36.719894645962675</c:v>
                </c:pt>
                <c:pt idx="178">
                  <c:v>36.8579970495622</c:v>
                </c:pt>
                <c:pt idx="179">
                  <c:v>36.996099453161726</c:v>
                </c:pt>
                <c:pt idx="180">
                  <c:v>37.13420185676126</c:v>
                </c:pt>
                <c:pt idx="181">
                  <c:v>37.272304260360784</c:v>
                </c:pt>
                <c:pt idx="182">
                  <c:v>37.41040666396031</c:v>
                </c:pt>
                <c:pt idx="183">
                  <c:v>37.548509067559834</c:v>
                </c:pt>
                <c:pt idx="184">
                  <c:v>37.68661147115936</c:v>
                </c:pt>
                <c:pt idx="185">
                  <c:v>37.82471387475889</c:v>
                </c:pt>
                <c:pt idx="186">
                  <c:v>37.96281627835841</c:v>
                </c:pt>
                <c:pt idx="187">
                  <c:v>38.100918681957936</c:v>
                </c:pt>
                <c:pt idx="188">
                  <c:v>38.239021085557454</c:v>
                </c:pt>
                <c:pt idx="189">
                  <c:v>38.37712348915698</c:v>
                </c:pt>
                <c:pt idx="190">
                  <c:v>38.515225892756504</c:v>
                </c:pt>
                <c:pt idx="191">
                  <c:v>38.65332829635604</c:v>
                </c:pt>
                <c:pt idx="192">
                  <c:v>38.79143069995556</c:v>
                </c:pt>
                <c:pt idx="193">
                  <c:v>38.92953310355508</c:v>
                </c:pt>
                <c:pt idx="194">
                  <c:v>39.06763550715461</c:v>
                </c:pt>
                <c:pt idx="195">
                  <c:v>39.20573791075414</c:v>
                </c:pt>
                <c:pt idx="196">
                  <c:v>39.34384031435367</c:v>
                </c:pt>
                <c:pt idx="197">
                  <c:v>39.48194271795319</c:v>
                </c:pt>
                <c:pt idx="198">
                  <c:v>39.620045121552714</c:v>
                </c:pt>
                <c:pt idx="199">
                  <c:v>39.75814752515223</c:v>
                </c:pt>
                <c:pt idx="200">
                  <c:v>39.89624992875176</c:v>
                </c:pt>
              </c:numCache>
            </c:numRef>
          </c:xVal>
          <c:yVal>
            <c:numRef>
              <c:f>Luc_keo!$H$404:$H$604</c:f>
              <c:numCache>
                <c:formatCode>General</c:formatCode>
                <c:ptCount val="201"/>
                <c:pt idx="0">
                  <c:v>8145.944151252985</c:v>
                </c:pt>
                <c:pt idx="1">
                  <c:v>8174.606475903954</c:v>
                </c:pt>
                <c:pt idx="2">
                  <c:v>8203.043605511835</c:v>
                </c:pt>
                <c:pt idx="3">
                  <c:v>8231.255540076627</c:v>
                </c:pt>
                <c:pt idx="4">
                  <c:v>8259.242279598331</c:v>
                </c:pt>
                <c:pt idx="5">
                  <c:v>8287.003824076943</c:v>
                </c:pt>
                <c:pt idx="6">
                  <c:v>8314.540173512467</c:v>
                </c:pt>
                <c:pt idx="7">
                  <c:v>8341.8513279049</c:v>
                </c:pt>
                <c:pt idx="8">
                  <c:v>8368.937287254248</c:v>
                </c:pt>
                <c:pt idx="9">
                  <c:v>8395.798051560503</c:v>
                </c:pt>
                <c:pt idx="10">
                  <c:v>8422.43362082367</c:v>
                </c:pt>
                <c:pt idx="11">
                  <c:v>8448.843995043751</c:v>
                </c:pt>
                <c:pt idx="12">
                  <c:v>8475.029174220736</c:v>
                </c:pt>
                <c:pt idx="13">
                  <c:v>8500.989158354634</c:v>
                </c:pt>
                <c:pt idx="14">
                  <c:v>8526.723947445444</c:v>
                </c:pt>
                <c:pt idx="15">
                  <c:v>8552.233541493164</c:v>
                </c:pt>
                <c:pt idx="16">
                  <c:v>8577.517940497797</c:v>
                </c:pt>
                <c:pt idx="17">
                  <c:v>8602.57714445934</c:v>
                </c:pt>
                <c:pt idx="18">
                  <c:v>8627.411153377792</c:v>
                </c:pt>
                <c:pt idx="19">
                  <c:v>8652.019967253154</c:v>
                </c:pt>
                <c:pt idx="20">
                  <c:v>8676.403586085431</c:v>
                </c:pt>
                <c:pt idx="21">
                  <c:v>8700.562009874617</c:v>
                </c:pt>
                <c:pt idx="22">
                  <c:v>8724.495238620713</c:v>
                </c:pt>
                <c:pt idx="23">
                  <c:v>8748.203272323719</c:v>
                </c:pt>
                <c:pt idx="24">
                  <c:v>8771.686110983635</c:v>
                </c:pt>
                <c:pt idx="25">
                  <c:v>8794.943754600465</c:v>
                </c:pt>
                <c:pt idx="26">
                  <c:v>8817.976203174201</c:v>
                </c:pt>
                <c:pt idx="27">
                  <c:v>8840.783456704852</c:v>
                </c:pt>
                <c:pt idx="28">
                  <c:v>8863.365515192416</c:v>
                </c:pt>
                <c:pt idx="29">
                  <c:v>8885.722378636883</c:v>
                </c:pt>
                <c:pt idx="30">
                  <c:v>8907.854047038267</c:v>
                </c:pt>
                <c:pt idx="31">
                  <c:v>8929.76052039656</c:v>
                </c:pt>
                <c:pt idx="32">
                  <c:v>8951.441798711761</c:v>
                </c:pt>
                <c:pt idx="33">
                  <c:v>8972.897881983876</c:v>
                </c:pt>
                <c:pt idx="34">
                  <c:v>8994.1287702129</c:v>
                </c:pt>
                <c:pt idx="35">
                  <c:v>9015.134463398837</c:v>
                </c:pt>
                <c:pt idx="36">
                  <c:v>9035.914961541683</c:v>
                </c:pt>
                <c:pt idx="37">
                  <c:v>9056.47026464144</c:v>
                </c:pt>
                <c:pt idx="38">
                  <c:v>9076.800372698111</c:v>
                </c:pt>
                <c:pt idx="39">
                  <c:v>9096.90528571169</c:v>
                </c:pt>
                <c:pt idx="40">
                  <c:v>9116.78500368218</c:v>
                </c:pt>
                <c:pt idx="41">
                  <c:v>9136.439526609578</c:v>
                </c:pt>
                <c:pt idx="42">
                  <c:v>9155.868854493889</c:v>
                </c:pt>
                <c:pt idx="43">
                  <c:v>9175.072987335112</c:v>
                </c:pt>
                <c:pt idx="44">
                  <c:v>9194.051925133244</c:v>
                </c:pt>
                <c:pt idx="45">
                  <c:v>9212.805667888288</c:v>
                </c:pt>
                <c:pt idx="46">
                  <c:v>9231.334215600242</c:v>
                </c:pt>
                <c:pt idx="47">
                  <c:v>9249.637568269107</c:v>
                </c:pt>
                <c:pt idx="48">
                  <c:v>9267.715725894883</c:v>
                </c:pt>
                <c:pt idx="49">
                  <c:v>9285.568688477568</c:v>
                </c:pt>
                <c:pt idx="50">
                  <c:v>9303.196456017167</c:v>
                </c:pt>
                <c:pt idx="51">
                  <c:v>9320.599028513672</c:v>
                </c:pt>
                <c:pt idx="52">
                  <c:v>9337.776405967092</c:v>
                </c:pt>
                <c:pt idx="53">
                  <c:v>9354.72858837742</c:v>
                </c:pt>
                <c:pt idx="54">
                  <c:v>9371.455575744661</c:v>
                </c:pt>
                <c:pt idx="55">
                  <c:v>9387.957368068812</c:v>
                </c:pt>
                <c:pt idx="56">
                  <c:v>9404.233965349875</c:v>
                </c:pt>
                <c:pt idx="57">
                  <c:v>9420.28536758785</c:v>
                </c:pt>
                <c:pt idx="58">
                  <c:v>9436.111574782732</c:v>
                </c:pt>
                <c:pt idx="59">
                  <c:v>9451.712586934522</c:v>
                </c:pt>
                <c:pt idx="60">
                  <c:v>9467.08840404323</c:v>
                </c:pt>
                <c:pt idx="61">
                  <c:v>9482.239026108842</c:v>
                </c:pt>
                <c:pt idx="62">
                  <c:v>9497.164453131372</c:v>
                </c:pt>
                <c:pt idx="63">
                  <c:v>9511.864685110808</c:v>
                </c:pt>
                <c:pt idx="64">
                  <c:v>9526.339722047152</c:v>
                </c:pt>
                <c:pt idx="65">
                  <c:v>9540.589563940412</c:v>
                </c:pt>
                <c:pt idx="66">
                  <c:v>9554.614210790583</c:v>
                </c:pt>
                <c:pt idx="67">
                  <c:v>9568.413662597664</c:v>
                </c:pt>
                <c:pt idx="68">
                  <c:v>9581.987919361653</c:v>
                </c:pt>
                <c:pt idx="69">
                  <c:v>9595.336981082553</c:v>
                </c:pt>
                <c:pt idx="70">
                  <c:v>9608.460847760369</c:v>
                </c:pt>
                <c:pt idx="71">
                  <c:v>9621.359519395091</c:v>
                </c:pt>
                <c:pt idx="72">
                  <c:v>9634.032995986723</c:v>
                </c:pt>
                <c:pt idx="73">
                  <c:v>9646.48127753527</c:v>
                </c:pt>
                <c:pt idx="74">
                  <c:v>9658.704364040726</c:v>
                </c:pt>
                <c:pt idx="75">
                  <c:v>9670.702255503089</c:v>
                </c:pt>
                <c:pt idx="76">
                  <c:v>9682.474951922366</c:v>
                </c:pt>
                <c:pt idx="77">
                  <c:v>9694.02245329855</c:v>
                </c:pt>
                <c:pt idx="78">
                  <c:v>9705.344759631653</c:v>
                </c:pt>
                <c:pt idx="79">
                  <c:v>9716.44187092166</c:v>
                </c:pt>
                <c:pt idx="80">
                  <c:v>9727.31378716858</c:v>
                </c:pt>
                <c:pt idx="81">
                  <c:v>9737.96050837241</c:v>
                </c:pt>
                <c:pt idx="82">
                  <c:v>9748.382034533151</c:v>
                </c:pt>
                <c:pt idx="83">
                  <c:v>9758.578365650805</c:v>
                </c:pt>
                <c:pt idx="84">
                  <c:v>9768.549501725363</c:v>
                </c:pt>
                <c:pt idx="85">
                  <c:v>9778.295442756838</c:v>
                </c:pt>
                <c:pt idx="86">
                  <c:v>9787.816188745226</c:v>
                </c:pt>
                <c:pt idx="87">
                  <c:v>9797.11173969052</c:v>
                </c:pt>
                <c:pt idx="88">
                  <c:v>9806.182095592727</c:v>
                </c:pt>
                <c:pt idx="89">
                  <c:v>9815.02725645184</c:v>
                </c:pt>
                <c:pt idx="90">
                  <c:v>9823.647222267866</c:v>
                </c:pt>
                <c:pt idx="91">
                  <c:v>9832.041993040806</c:v>
                </c:pt>
                <c:pt idx="92">
                  <c:v>9840.211568770656</c:v>
                </c:pt>
                <c:pt idx="93">
                  <c:v>9848.155949457412</c:v>
                </c:pt>
                <c:pt idx="94">
                  <c:v>9855.875135101083</c:v>
                </c:pt>
                <c:pt idx="95">
                  <c:v>9863.369125701667</c:v>
                </c:pt>
                <c:pt idx="96">
                  <c:v>9870.63792125916</c:v>
                </c:pt>
                <c:pt idx="97">
                  <c:v>9877.68152177356</c:v>
                </c:pt>
                <c:pt idx="98">
                  <c:v>9884.499927244873</c:v>
                </c:pt>
                <c:pt idx="99">
                  <c:v>9891.093137673097</c:v>
                </c:pt>
                <c:pt idx="100">
                  <c:v>9897.461153058233</c:v>
                </c:pt>
                <c:pt idx="101">
                  <c:v>9903.603973400279</c:v>
                </c:pt>
                <c:pt idx="102">
                  <c:v>9909.521598699235</c:v>
                </c:pt>
                <c:pt idx="103">
                  <c:v>9915.2140289551</c:v>
                </c:pt>
                <c:pt idx="104">
                  <c:v>9920.681264167877</c:v>
                </c:pt>
                <c:pt idx="105">
                  <c:v>9925.923304337568</c:v>
                </c:pt>
                <c:pt idx="106">
                  <c:v>9930.940149464166</c:v>
                </c:pt>
                <c:pt idx="107">
                  <c:v>9935.731799547675</c:v>
                </c:pt>
                <c:pt idx="108">
                  <c:v>9940.298254588099</c:v>
                </c:pt>
                <c:pt idx="109">
                  <c:v>9944.639514585431</c:v>
                </c:pt>
                <c:pt idx="110">
                  <c:v>9948.755579539671</c:v>
                </c:pt>
                <c:pt idx="111">
                  <c:v>9952.646449450824</c:v>
                </c:pt>
                <c:pt idx="112">
                  <c:v>9956.312124318889</c:v>
                </c:pt>
                <c:pt idx="113">
                  <c:v>9959.752604143863</c:v>
                </c:pt>
                <c:pt idx="114">
                  <c:v>9962.967888925748</c:v>
                </c:pt>
                <c:pt idx="115">
                  <c:v>9965.957978664543</c:v>
                </c:pt>
                <c:pt idx="116">
                  <c:v>9968.72287336025</c:v>
                </c:pt>
                <c:pt idx="117">
                  <c:v>9971.262573012871</c:v>
                </c:pt>
                <c:pt idx="118">
                  <c:v>9973.577077622398</c:v>
                </c:pt>
                <c:pt idx="119">
                  <c:v>9975.66638718884</c:v>
                </c:pt>
                <c:pt idx="120">
                  <c:v>9977.530501712186</c:v>
                </c:pt>
                <c:pt idx="121">
                  <c:v>9979.169421192444</c:v>
                </c:pt>
                <c:pt idx="122">
                  <c:v>9980.583145629618</c:v>
                </c:pt>
                <c:pt idx="123">
                  <c:v>9981.771675023698</c:v>
                </c:pt>
                <c:pt idx="124">
                  <c:v>9982.735009374694</c:v>
                </c:pt>
                <c:pt idx="125">
                  <c:v>9983.473148682599</c:v>
                </c:pt>
                <c:pt idx="126">
                  <c:v>9983.98609294741</c:v>
                </c:pt>
                <c:pt idx="127">
                  <c:v>9984.273842169137</c:v>
                </c:pt>
                <c:pt idx="128">
                  <c:v>9984.336396347773</c:v>
                </c:pt>
                <c:pt idx="129">
                  <c:v>9984.173755483318</c:v>
                </c:pt>
                <c:pt idx="130">
                  <c:v>9983.78591957578</c:v>
                </c:pt>
                <c:pt idx="131">
                  <c:v>9983.17288862515</c:v>
                </c:pt>
                <c:pt idx="132">
                  <c:v>9982.334662631425</c:v>
                </c:pt>
                <c:pt idx="133">
                  <c:v>9981.271241594613</c:v>
                </c:pt>
                <c:pt idx="134">
                  <c:v>9979.982625514715</c:v>
                </c:pt>
                <c:pt idx="135">
                  <c:v>9978.468814391725</c:v>
                </c:pt>
                <c:pt idx="136">
                  <c:v>9976.729808225648</c:v>
                </c:pt>
                <c:pt idx="137">
                  <c:v>9974.765607016485</c:v>
                </c:pt>
                <c:pt idx="138">
                  <c:v>9972.576210764222</c:v>
                </c:pt>
                <c:pt idx="139">
                  <c:v>9970.161619468878</c:v>
                </c:pt>
                <c:pt idx="140">
                  <c:v>9967.521833130442</c:v>
                </c:pt>
                <c:pt idx="141">
                  <c:v>9964.656851748918</c:v>
                </c:pt>
                <c:pt idx="142">
                  <c:v>9961.566675324302</c:v>
                </c:pt>
                <c:pt idx="143">
                  <c:v>9958.251303856601</c:v>
                </c:pt>
                <c:pt idx="144">
                  <c:v>9954.710737345811</c:v>
                </c:pt>
                <c:pt idx="145">
                  <c:v>9950.944975791926</c:v>
                </c:pt>
                <c:pt idx="146">
                  <c:v>9946.954019194958</c:v>
                </c:pt>
                <c:pt idx="147">
                  <c:v>9942.737867554897</c:v>
                </c:pt>
                <c:pt idx="148">
                  <c:v>9938.296520871749</c:v>
                </c:pt>
                <c:pt idx="149">
                  <c:v>9933.629979145511</c:v>
                </c:pt>
                <c:pt idx="150">
                  <c:v>9928.738242376181</c:v>
                </c:pt>
                <c:pt idx="151">
                  <c:v>9923.621310563767</c:v>
                </c:pt>
                <c:pt idx="152">
                  <c:v>9918.27918370826</c:v>
                </c:pt>
                <c:pt idx="153">
                  <c:v>9912.711861809665</c:v>
                </c:pt>
                <c:pt idx="154">
                  <c:v>9906.919344867982</c:v>
                </c:pt>
                <c:pt idx="155">
                  <c:v>9900.901632883206</c:v>
                </c:pt>
                <c:pt idx="156">
                  <c:v>9894.658725855345</c:v>
                </c:pt>
                <c:pt idx="157">
                  <c:v>9888.19062378439</c:v>
                </c:pt>
                <c:pt idx="158">
                  <c:v>9881.49732667035</c:v>
                </c:pt>
                <c:pt idx="159">
                  <c:v>9874.578834513219</c:v>
                </c:pt>
                <c:pt idx="160">
                  <c:v>9867.435147313</c:v>
                </c:pt>
                <c:pt idx="161">
                  <c:v>9860.06626506969</c:v>
                </c:pt>
                <c:pt idx="162">
                  <c:v>9852.47218778329</c:v>
                </c:pt>
                <c:pt idx="163">
                  <c:v>9844.652915453806</c:v>
                </c:pt>
                <c:pt idx="164">
                  <c:v>9836.608448081228</c:v>
                </c:pt>
                <c:pt idx="165">
                  <c:v>9828.33878566556</c:v>
                </c:pt>
                <c:pt idx="166">
                  <c:v>9819.843928206805</c:v>
                </c:pt>
                <c:pt idx="167">
                  <c:v>9811.123875704961</c:v>
                </c:pt>
                <c:pt idx="168">
                  <c:v>9802.178628160025</c:v>
                </c:pt>
                <c:pt idx="169">
                  <c:v>9793.008185572004</c:v>
                </c:pt>
                <c:pt idx="170">
                  <c:v>9783.612547940891</c:v>
                </c:pt>
                <c:pt idx="171">
                  <c:v>9773.99171526669</c:v>
                </c:pt>
                <c:pt idx="172">
                  <c:v>9764.1456875494</c:v>
                </c:pt>
                <c:pt idx="173">
                  <c:v>9754.074464789019</c:v>
                </c:pt>
                <c:pt idx="174">
                  <c:v>9743.778046985548</c:v>
                </c:pt>
                <c:pt idx="175">
                  <c:v>9733.25643413899</c:v>
                </c:pt>
                <c:pt idx="176">
                  <c:v>9722.50962624934</c:v>
                </c:pt>
                <c:pt idx="177">
                  <c:v>9711.537623316606</c:v>
                </c:pt>
                <c:pt idx="178">
                  <c:v>9700.340425340779</c:v>
                </c:pt>
                <c:pt idx="179">
                  <c:v>9688.918032321864</c:v>
                </c:pt>
                <c:pt idx="180">
                  <c:v>9677.270444259857</c:v>
                </c:pt>
                <c:pt idx="181">
                  <c:v>9665.397661154766</c:v>
                </c:pt>
                <c:pt idx="182">
                  <c:v>9653.299683006579</c:v>
                </c:pt>
                <c:pt idx="183">
                  <c:v>9640.976509815308</c:v>
                </c:pt>
                <c:pt idx="184">
                  <c:v>9628.428141580944</c:v>
                </c:pt>
                <c:pt idx="185">
                  <c:v>9615.654578303496</c:v>
                </c:pt>
                <c:pt idx="186">
                  <c:v>9602.655819982954</c:v>
                </c:pt>
                <c:pt idx="187">
                  <c:v>9589.431866619323</c:v>
                </c:pt>
                <c:pt idx="188">
                  <c:v>9575.982718212605</c:v>
                </c:pt>
                <c:pt idx="189">
                  <c:v>9562.308374762797</c:v>
                </c:pt>
                <c:pt idx="190">
                  <c:v>9548.4088362699</c:v>
                </c:pt>
                <c:pt idx="191">
                  <c:v>9534.284102733916</c:v>
                </c:pt>
                <c:pt idx="192">
                  <c:v>9519.934174154836</c:v>
                </c:pt>
                <c:pt idx="193">
                  <c:v>9505.35905053267</c:v>
                </c:pt>
                <c:pt idx="194">
                  <c:v>9490.558731867417</c:v>
                </c:pt>
                <c:pt idx="195">
                  <c:v>9475.533218159075</c:v>
                </c:pt>
                <c:pt idx="196">
                  <c:v>9460.282509407642</c:v>
                </c:pt>
                <c:pt idx="197">
                  <c:v>9444.80660561312</c:v>
                </c:pt>
                <c:pt idx="198">
                  <c:v>9429.10550677551</c:v>
                </c:pt>
                <c:pt idx="199">
                  <c:v>9413.179212894807</c:v>
                </c:pt>
                <c:pt idx="200">
                  <c:v>9397.027723971016</c:v>
                </c:pt>
              </c:numCache>
            </c:numRef>
          </c:yVal>
        </c:ser>
        <c:ser>
          <c:idx val="3"/>
          <c:order val="3"/>
          <c:tx>
            <c:v>Số 4</c:v>
          </c:tx>
          <c:marker>
            <c:symbol val="none"/>
          </c:marker>
          <c:xVal>
            <c:numRef>
              <c:f>Luc_keo!$E$605:$E$805</c:f>
              <c:numCache>
                <c:formatCode>General</c:formatCode>
                <c:ptCount val="201"/>
                <c:pt idx="0">
                  <c:v>19.967478471921407</c:v>
                </c:pt>
                <c:pt idx="1">
                  <c:v>20.19211260473052</c:v>
                </c:pt>
                <c:pt idx="2">
                  <c:v>20.416746737539636</c:v>
                </c:pt>
                <c:pt idx="3">
                  <c:v>20.64138087034875</c:v>
                </c:pt>
                <c:pt idx="4">
                  <c:v>20.86601500315787</c:v>
                </c:pt>
                <c:pt idx="5">
                  <c:v>21.090649135966988</c:v>
                </c:pt>
                <c:pt idx="6">
                  <c:v>21.3152832687761</c:v>
                </c:pt>
                <c:pt idx="7">
                  <c:v>21.539917401585214</c:v>
                </c:pt>
                <c:pt idx="8">
                  <c:v>21.76455153439433</c:v>
                </c:pt>
                <c:pt idx="9">
                  <c:v>21.989185667203447</c:v>
                </c:pt>
                <c:pt idx="10">
                  <c:v>22.213819800012562</c:v>
                </c:pt>
                <c:pt idx="11">
                  <c:v>22.43845393282168</c:v>
                </c:pt>
                <c:pt idx="12">
                  <c:v>22.663088065630795</c:v>
                </c:pt>
                <c:pt idx="13">
                  <c:v>22.88772219843991</c:v>
                </c:pt>
                <c:pt idx="14">
                  <c:v>23.11235633124902</c:v>
                </c:pt>
                <c:pt idx="15">
                  <c:v>23.336990464058143</c:v>
                </c:pt>
                <c:pt idx="16">
                  <c:v>23.561624596867258</c:v>
                </c:pt>
                <c:pt idx="17">
                  <c:v>23.786258729676376</c:v>
                </c:pt>
                <c:pt idx="18">
                  <c:v>24.01089286248549</c:v>
                </c:pt>
                <c:pt idx="19">
                  <c:v>24.235526995294606</c:v>
                </c:pt>
                <c:pt idx="20">
                  <c:v>24.46016112810372</c:v>
                </c:pt>
                <c:pt idx="21">
                  <c:v>24.684795260912836</c:v>
                </c:pt>
                <c:pt idx="22">
                  <c:v>24.909429393721954</c:v>
                </c:pt>
                <c:pt idx="23">
                  <c:v>25.13406352653107</c:v>
                </c:pt>
                <c:pt idx="24">
                  <c:v>25.358697659340184</c:v>
                </c:pt>
                <c:pt idx="25">
                  <c:v>25.5833317921493</c:v>
                </c:pt>
                <c:pt idx="26">
                  <c:v>25.807965924958413</c:v>
                </c:pt>
                <c:pt idx="27">
                  <c:v>26.03260005776753</c:v>
                </c:pt>
                <c:pt idx="28">
                  <c:v>26.25723419057665</c:v>
                </c:pt>
                <c:pt idx="29">
                  <c:v>26.481868323385765</c:v>
                </c:pt>
                <c:pt idx="30">
                  <c:v>26.706502456194876</c:v>
                </c:pt>
                <c:pt idx="31">
                  <c:v>26.93113658900399</c:v>
                </c:pt>
                <c:pt idx="32">
                  <c:v>27.155770721813113</c:v>
                </c:pt>
                <c:pt idx="33">
                  <c:v>27.380404854622228</c:v>
                </c:pt>
                <c:pt idx="34">
                  <c:v>27.60503898743134</c:v>
                </c:pt>
                <c:pt idx="35">
                  <c:v>27.82967312024046</c:v>
                </c:pt>
                <c:pt idx="36">
                  <c:v>28.054307253049576</c:v>
                </c:pt>
                <c:pt idx="37">
                  <c:v>28.27894138585869</c:v>
                </c:pt>
                <c:pt idx="38">
                  <c:v>28.5035755186678</c:v>
                </c:pt>
                <c:pt idx="39">
                  <c:v>28.728209651476924</c:v>
                </c:pt>
                <c:pt idx="40">
                  <c:v>28.95284378428604</c:v>
                </c:pt>
                <c:pt idx="41">
                  <c:v>29.177477917095157</c:v>
                </c:pt>
                <c:pt idx="42">
                  <c:v>29.402112049904265</c:v>
                </c:pt>
                <c:pt idx="43">
                  <c:v>29.626746182713386</c:v>
                </c:pt>
                <c:pt idx="44">
                  <c:v>29.8513803155225</c:v>
                </c:pt>
                <c:pt idx="45">
                  <c:v>30.076014448331616</c:v>
                </c:pt>
                <c:pt idx="46">
                  <c:v>30.300648581140734</c:v>
                </c:pt>
                <c:pt idx="47">
                  <c:v>30.52528271394985</c:v>
                </c:pt>
                <c:pt idx="48">
                  <c:v>30.749916846758964</c:v>
                </c:pt>
                <c:pt idx="49">
                  <c:v>30.97455097956808</c:v>
                </c:pt>
                <c:pt idx="50">
                  <c:v>31.199185112377197</c:v>
                </c:pt>
                <c:pt idx="51">
                  <c:v>31.423819245186312</c:v>
                </c:pt>
                <c:pt idx="52">
                  <c:v>31.648453377995427</c:v>
                </c:pt>
                <c:pt idx="53">
                  <c:v>31.87308751080454</c:v>
                </c:pt>
                <c:pt idx="54">
                  <c:v>32.09772164361365</c:v>
                </c:pt>
                <c:pt idx="55">
                  <c:v>32.322355776422775</c:v>
                </c:pt>
                <c:pt idx="56">
                  <c:v>32.54698990923189</c:v>
                </c:pt>
                <c:pt idx="57">
                  <c:v>32.771624042041005</c:v>
                </c:pt>
                <c:pt idx="58">
                  <c:v>32.99625817485013</c:v>
                </c:pt>
                <c:pt idx="59">
                  <c:v>33.220892307659234</c:v>
                </c:pt>
                <c:pt idx="60">
                  <c:v>33.44552644046835</c:v>
                </c:pt>
                <c:pt idx="61">
                  <c:v>33.670160573277464</c:v>
                </c:pt>
                <c:pt idx="62">
                  <c:v>33.894794706086586</c:v>
                </c:pt>
                <c:pt idx="63">
                  <c:v>34.11942883889569</c:v>
                </c:pt>
                <c:pt idx="64">
                  <c:v>34.344062971704815</c:v>
                </c:pt>
                <c:pt idx="65">
                  <c:v>34.56869710451393</c:v>
                </c:pt>
                <c:pt idx="66">
                  <c:v>34.79333123732305</c:v>
                </c:pt>
                <c:pt idx="67">
                  <c:v>35.01796537013216</c:v>
                </c:pt>
                <c:pt idx="68">
                  <c:v>35.242599502941275</c:v>
                </c:pt>
                <c:pt idx="69">
                  <c:v>35.4672336357504</c:v>
                </c:pt>
                <c:pt idx="70">
                  <c:v>35.69186776855951</c:v>
                </c:pt>
                <c:pt idx="71">
                  <c:v>35.916501901368626</c:v>
                </c:pt>
                <c:pt idx="72">
                  <c:v>36.14113603417774</c:v>
                </c:pt>
                <c:pt idx="73">
                  <c:v>36.36577016698686</c:v>
                </c:pt>
                <c:pt idx="74">
                  <c:v>36.59040429979597</c:v>
                </c:pt>
                <c:pt idx="75">
                  <c:v>36.81503843260509</c:v>
                </c:pt>
                <c:pt idx="76">
                  <c:v>37.03967256541421</c:v>
                </c:pt>
                <c:pt idx="77">
                  <c:v>37.26430669822332</c:v>
                </c:pt>
                <c:pt idx="78">
                  <c:v>37.48894083103244</c:v>
                </c:pt>
                <c:pt idx="79">
                  <c:v>37.71357496384155</c:v>
                </c:pt>
                <c:pt idx="80">
                  <c:v>37.938209096650674</c:v>
                </c:pt>
                <c:pt idx="81">
                  <c:v>38.16284322945979</c:v>
                </c:pt>
                <c:pt idx="82">
                  <c:v>38.3874773622689</c:v>
                </c:pt>
                <c:pt idx="83">
                  <c:v>38.61211149507802</c:v>
                </c:pt>
                <c:pt idx="84">
                  <c:v>38.83674562788713</c:v>
                </c:pt>
                <c:pt idx="85">
                  <c:v>39.06137976069624</c:v>
                </c:pt>
                <c:pt idx="86">
                  <c:v>39.28601389350536</c:v>
                </c:pt>
                <c:pt idx="87">
                  <c:v>39.51064802631448</c:v>
                </c:pt>
                <c:pt idx="88">
                  <c:v>39.7352821591236</c:v>
                </c:pt>
                <c:pt idx="89">
                  <c:v>39.959916291932714</c:v>
                </c:pt>
                <c:pt idx="90">
                  <c:v>40.18455042474183</c:v>
                </c:pt>
                <c:pt idx="91">
                  <c:v>40.409184557550944</c:v>
                </c:pt>
                <c:pt idx="92">
                  <c:v>40.63381869036006</c:v>
                </c:pt>
                <c:pt idx="93">
                  <c:v>40.85845282316917</c:v>
                </c:pt>
                <c:pt idx="94">
                  <c:v>41.08308695597829</c:v>
                </c:pt>
                <c:pt idx="95">
                  <c:v>41.3077210887874</c:v>
                </c:pt>
                <c:pt idx="96">
                  <c:v>41.532355221596525</c:v>
                </c:pt>
                <c:pt idx="97">
                  <c:v>41.75698935440563</c:v>
                </c:pt>
                <c:pt idx="98">
                  <c:v>41.981623487214755</c:v>
                </c:pt>
                <c:pt idx="99">
                  <c:v>42.20625762002387</c:v>
                </c:pt>
                <c:pt idx="100">
                  <c:v>42.43089175283298</c:v>
                </c:pt>
                <c:pt idx="101">
                  <c:v>42.6555258856421</c:v>
                </c:pt>
                <c:pt idx="102">
                  <c:v>42.88016001845122</c:v>
                </c:pt>
                <c:pt idx="103">
                  <c:v>43.10479415126033</c:v>
                </c:pt>
                <c:pt idx="104">
                  <c:v>43.32942828406945</c:v>
                </c:pt>
                <c:pt idx="105">
                  <c:v>43.55406241687856</c:v>
                </c:pt>
                <c:pt idx="106">
                  <c:v>43.77869654968768</c:v>
                </c:pt>
                <c:pt idx="107">
                  <c:v>44.003330682496795</c:v>
                </c:pt>
                <c:pt idx="108">
                  <c:v>44.2279648153059</c:v>
                </c:pt>
                <c:pt idx="109">
                  <c:v>44.452598948115025</c:v>
                </c:pt>
                <c:pt idx="110">
                  <c:v>44.67723308092415</c:v>
                </c:pt>
                <c:pt idx="111">
                  <c:v>44.901867213733254</c:v>
                </c:pt>
                <c:pt idx="112">
                  <c:v>45.126501346542376</c:v>
                </c:pt>
                <c:pt idx="113">
                  <c:v>45.3511354793515</c:v>
                </c:pt>
                <c:pt idx="114">
                  <c:v>45.57576961216061</c:v>
                </c:pt>
                <c:pt idx="115">
                  <c:v>45.80040374496972</c:v>
                </c:pt>
                <c:pt idx="116">
                  <c:v>46.02503787777883</c:v>
                </c:pt>
                <c:pt idx="117">
                  <c:v>46.24967201058795</c:v>
                </c:pt>
                <c:pt idx="118">
                  <c:v>46.47430614339707</c:v>
                </c:pt>
                <c:pt idx="119">
                  <c:v>46.69894027620618</c:v>
                </c:pt>
                <c:pt idx="120">
                  <c:v>46.9235744090153</c:v>
                </c:pt>
                <c:pt idx="121">
                  <c:v>47.148208541824424</c:v>
                </c:pt>
                <c:pt idx="122">
                  <c:v>47.37284267463353</c:v>
                </c:pt>
                <c:pt idx="123">
                  <c:v>47.597476807442646</c:v>
                </c:pt>
                <c:pt idx="124">
                  <c:v>47.82211094025176</c:v>
                </c:pt>
                <c:pt idx="125">
                  <c:v>48.04674507306088</c:v>
                </c:pt>
                <c:pt idx="126">
                  <c:v>48.27137920587</c:v>
                </c:pt>
                <c:pt idx="127">
                  <c:v>48.49601333867911</c:v>
                </c:pt>
                <c:pt idx="128">
                  <c:v>48.72064747148823</c:v>
                </c:pt>
                <c:pt idx="129">
                  <c:v>48.94528160429734</c:v>
                </c:pt>
                <c:pt idx="130">
                  <c:v>49.16991573710646</c:v>
                </c:pt>
                <c:pt idx="131">
                  <c:v>49.39454986991557</c:v>
                </c:pt>
                <c:pt idx="132">
                  <c:v>49.61918400272469</c:v>
                </c:pt>
                <c:pt idx="133">
                  <c:v>49.84381813553381</c:v>
                </c:pt>
                <c:pt idx="134">
                  <c:v>50.06845226834292</c:v>
                </c:pt>
                <c:pt idx="135">
                  <c:v>50.29308640115204</c:v>
                </c:pt>
                <c:pt idx="136">
                  <c:v>50.51772053396116</c:v>
                </c:pt>
                <c:pt idx="137">
                  <c:v>50.74235466677027</c:v>
                </c:pt>
                <c:pt idx="138">
                  <c:v>50.96698879957939</c:v>
                </c:pt>
                <c:pt idx="139">
                  <c:v>51.191622932388505</c:v>
                </c:pt>
                <c:pt idx="140">
                  <c:v>51.41625706519761</c:v>
                </c:pt>
                <c:pt idx="141">
                  <c:v>51.64089119800672</c:v>
                </c:pt>
                <c:pt idx="142">
                  <c:v>51.86552533081584</c:v>
                </c:pt>
                <c:pt idx="143">
                  <c:v>52.090159463624964</c:v>
                </c:pt>
                <c:pt idx="144">
                  <c:v>52.314793596434086</c:v>
                </c:pt>
                <c:pt idx="145">
                  <c:v>52.539427729243194</c:v>
                </c:pt>
                <c:pt idx="146">
                  <c:v>52.764061862052316</c:v>
                </c:pt>
                <c:pt idx="147">
                  <c:v>52.98869599486143</c:v>
                </c:pt>
                <c:pt idx="148">
                  <c:v>53.21333012767054</c:v>
                </c:pt>
                <c:pt idx="149">
                  <c:v>53.43796426047966</c:v>
                </c:pt>
                <c:pt idx="150">
                  <c:v>53.66259839328878</c:v>
                </c:pt>
                <c:pt idx="151">
                  <c:v>53.88723252609789</c:v>
                </c:pt>
                <c:pt idx="152">
                  <c:v>54.11186665890701</c:v>
                </c:pt>
                <c:pt idx="153">
                  <c:v>54.33650079171612</c:v>
                </c:pt>
                <c:pt idx="154">
                  <c:v>54.56113492452524</c:v>
                </c:pt>
                <c:pt idx="155">
                  <c:v>54.785769057334356</c:v>
                </c:pt>
                <c:pt idx="156">
                  <c:v>55.010403190143464</c:v>
                </c:pt>
                <c:pt idx="157">
                  <c:v>55.235037322952586</c:v>
                </c:pt>
                <c:pt idx="158">
                  <c:v>55.4596714557617</c:v>
                </c:pt>
                <c:pt idx="159">
                  <c:v>55.68430558857082</c:v>
                </c:pt>
                <c:pt idx="160">
                  <c:v>55.90893972137994</c:v>
                </c:pt>
                <c:pt idx="161">
                  <c:v>56.13357385418905</c:v>
                </c:pt>
                <c:pt idx="162">
                  <c:v>56.35820798699817</c:v>
                </c:pt>
                <c:pt idx="163">
                  <c:v>56.582842119807275</c:v>
                </c:pt>
                <c:pt idx="164">
                  <c:v>56.80747625261639</c:v>
                </c:pt>
                <c:pt idx="165">
                  <c:v>57.03211038542551</c:v>
                </c:pt>
                <c:pt idx="166">
                  <c:v>57.256744518234626</c:v>
                </c:pt>
                <c:pt idx="167">
                  <c:v>57.48137865104374</c:v>
                </c:pt>
                <c:pt idx="168">
                  <c:v>57.70601278385286</c:v>
                </c:pt>
                <c:pt idx="169">
                  <c:v>57.930646916661985</c:v>
                </c:pt>
                <c:pt idx="170">
                  <c:v>58.15528104947109</c:v>
                </c:pt>
                <c:pt idx="171">
                  <c:v>58.37991518228021</c:v>
                </c:pt>
                <c:pt idx="172">
                  <c:v>58.60454931508933</c:v>
                </c:pt>
                <c:pt idx="173">
                  <c:v>58.82918344789844</c:v>
                </c:pt>
                <c:pt idx="174">
                  <c:v>59.05381758070756</c:v>
                </c:pt>
                <c:pt idx="175">
                  <c:v>59.27845171351667</c:v>
                </c:pt>
                <c:pt idx="176">
                  <c:v>59.50308584632579</c:v>
                </c:pt>
                <c:pt idx="177">
                  <c:v>59.72771997913491</c:v>
                </c:pt>
                <c:pt idx="178">
                  <c:v>59.95235411194402</c:v>
                </c:pt>
                <c:pt idx="179">
                  <c:v>60.17698824475313</c:v>
                </c:pt>
                <c:pt idx="180">
                  <c:v>60.40162237756224</c:v>
                </c:pt>
                <c:pt idx="181">
                  <c:v>60.62625651037136</c:v>
                </c:pt>
                <c:pt idx="182">
                  <c:v>60.850890643180485</c:v>
                </c:pt>
                <c:pt idx="183">
                  <c:v>61.07552477598959</c:v>
                </c:pt>
                <c:pt idx="184">
                  <c:v>61.300158908798714</c:v>
                </c:pt>
                <c:pt idx="185">
                  <c:v>61.524793041607836</c:v>
                </c:pt>
                <c:pt idx="186">
                  <c:v>61.749427174416944</c:v>
                </c:pt>
                <c:pt idx="187">
                  <c:v>61.97406130722606</c:v>
                </c:pt>
                <c:pt idx="188">
                  <c:v>62.198695440035166</c:v>
                </c:pt>
                <c:pt idx="189">
                  <c:v>62.42332957284429</c:v>
                </c:pt>
                <c:pt idx="190">
                  <c:v>62.647963705653396</c:v>
                </c:pt>
                <c:pt idx="191">
                  <c:v>62.87259783846252</c:v>
                </c:pt>
                <c:pt idx="192">
                  <c:v>63.09723197127164</c:v>
                </c:pt>
                <c:pt idx="193">
                  <c:v>63.32186610408075</c:v>
                </c:pt>
                <c:pt idx="194">
                  <c:v>63.54650023688987</c:v>
                </c:pt>
                <c:pt idx="195">
                  <c:v>63.771134369698984</c:v>
                </c:pt>
                <c:pt idx="196">
                  <c:v>63.995768502508106</c:v>
                </c:pt>
                <c:pt idx="197">
                  <c:v>64.22040263531721</c:v>
                </c:pt>
                <c:pt idx="198">
                  <c:v>64.44503676812634</c:v>
                </c:pt>
                <c:pt idx="199">
                  <c:v>64.66967090093544</c:v>
                </c:pt>
                <c:pt idx="200">
                  <c:v>64.89430503374456</c:v>
                </c:pt>
              </c:numCache>
            </c:numRef>
          </c:xVal>
          <c:yVal>
            <c:numRef>
              <c:f>Luc_keo!$H$605:$H$805</c:f>
              <c:numCache>
                <c:formatCode>General</c:formatCode>
                <c:ptCount val="201"/>
                <c:pt idx="0">
                  <c:v>5008.029958792977</c:v>
                </c:pt>
                <c:pt idx="1">
                  <c:v>5025.651216424437</c:v>
                </c:pt>
                <c:pt idx="2">
                  <c:v>5043.134026811302</c:v>
                </c:pt>
                <c:pt idx="3">
                  <c:v>5060.478389953571</c:v>
                </c:pt>
                <c:pt idx="4">
                  <c:v>5077.684305851248</c:v>
                </c:pt>
                <c:pt idx="5">
                  <c:v>5094.751774504329</c:v>
                </c:pt>
                <c:pt idx="6">
                  <c:v>5111.680795912814</c:v>
                </c:pt>
                <c:pt idx="7">
                  <c:v>5128.471370076706</c:v>
                </c:pt>
                <c:pt idx="8">
                  <c:v>5145.123496996003</c:v>
                </c:pt>
                <c:pt idx="9">
                  <c:v>5161.637176670705</c:v>
                </c:pt>
                <c:pt idx="10">
                  <c:v>5178.012409100814</c:v>
                </c:pt>
                <c:pt idx="11">
                  <c:v>5194.249194286328</c:v>
                </c:pt>
                <c:pt idx="12">
                  <c:v>5210.347532227246</c:v>
                </c:pt>
                <c:pt idx="13">
                  <c:v>5226.307422923569</c:v>
                </c:pt>
                <c:pt idx="14">
                  <c:v>5242.1288663752985</c:v>
                </c:pt>
                <c:pt idx="15">
                  <c:v>5257.811862582433</c:v>
                </c:pt>
                <c:pt idx="16">
                  <c:v>5273.356411544974</c:v>
                </c:pt>
                <c:pt idx="17">
                  <c:v>5288.762513262919</c:v>
                </c:pt>
                <c:pt idx="18">
                  <c:v>5304.03016773627</c:v>
                </c:pt>
                <c:pt idx="19">
                  <c:v>5319.159374965026</c:v>
                </c:pt>
                <c:pt idx="20">
                  <c:v>5334.150134949188</c:v>
                </c:pt>
                <c:pt idx="21">
                  <c:v>5349.002447688755</c:v>
                </c:pt>
                <c:pt idx="22">
                  <c:v>5363.716313183729</c:v>
                </c:pt>
                <c:pt idx="23">
                  <c:v>5378.291731434107</c:v>
                </c:pt>
                <c:pt idx="24">
                  <c:v>5392.728702439889</c:v>
                </c:pt>
                <c:pt idx="25">
                  <c:v>5407.0272262010785</c:v>
                </c:pt>
                <c:pt idx="26">
                  <c:v>5421.187302717672</c:v>
                </c:pt>
                <c:pt idx="27">
                  <c:v>5435.20893198967</c:v>
                </c:pt>
                <c:pt idx="28">
                  <c:v>5449.092114017075</c:v>
                </c:pt>
                <c:pt idx="29">
                  <c:v>5462.836848799886</c:v>
                </c:pt>
                <c:pt idx="30">
                  <c:v>5476.443136338101</c:v>
                </c:pt>
                <c:pt idx="31">
                  <c:v>5489.9109766317215</c:v>
                </c:pt>
                <c:pt idx="32">
                  <c:v>5503.240369680749</c:v>
                </c:pt>
                <c:pt idx="33">
                  <c:v>5516.43131548518</c:v>
                </c:pt>
                <c:pt idx="34">
                  <c:v>5529.483814045015</c:v>
                </c:pt>
                <c:pt idx="35">
                  <c:v>5542.397865360259</c:v>
                </c:pt>
                <c:pt idx="36">
                  <c:v>5555.173469430907</c:v>
                </c:pt>
                <c:pt idx="37">
                  <c:v>5567.810626256961</c:v>
                </c:pt>
                <c:pt idx="38">
                  <c:v>5580.309335838419</c:v>
                </c:pt>
                <c:pt idx="39">
                  <c:v>5592.669598175282</c:v>
                </c:pt>
                <c:pt idx="40">
                  <c:v>5604.891413267553</c:v>
                </c:pt>
                <c:pt idx="41">
                  <c:v>5616.974781115227</c:v>
                </c:pt>
                <c:pt idx="42">
                  <c:v>5628.919701718306</c:v>
                </c:pt>
                <c:pt idx="43">
                  <c:v>5640.726175076792</c:v>
                </c:pt>
                <c:pt idx="44">
                  <c:v>5652.394201190685</c:v>
                </c:pt>
                <c:pt idx="45">
                  <c:v>5663.92378005998</c:v>
                </c:pt>
                <c:pt idx="46">
                  <c:v>5675.314911684682</c:v>
                </c:pt>
                <c:pt idx="47">
                  <c:v>5686.5675960647895</c:v>
                </c:pt>
                <c:pt idx="48">
                  <c:v>5697.681833200302</c:v>
                </c:pt>
                <c:pt idx="49">
                  <c:v>5708.657623091218</c:v>
                </c:pt>
                <c:pt idx="50">
                  <c:v>5719.494965737543</c:v>
                </c:pt>
                <c:pt idx="51">
                  <c:v>5730.193861139272</c:v>
                </c:pt>
                <c:pt idx="52">
                  <c:v>5740.754309296405</c:v>
                </c:pt>
                <c:pt idx="53">
                  <c:v>5751.176310208944</c:v>
                </c:pt>
                <c:pt idx="54">
                  <c:v>5761.459863876888</c:v>
                </c:pt>
                <c:pt idx="55">
                  <c:v>5771.604970300237</c:v>
                </c:pt>
                <c:pt idx="56">
                  <c:v>5781.611629478994</c:v>
                </c:pt>
                <c:pt idx="57">
                  <c:v>5791.479841413156</c:v>
                </c:pt>
                <c:pt idx="58">
                  <c:v>5801.2096061027205</c:v>
                </c:pt>
                <c:pt idx="59">
                  <c:v>5810.800923547693</c:v>
                </c:pt>
                <c:pt idx="60">
                  <c:v>5820.253793748069</c:v>
                </c:pt>
                <c:pt idx="61">
                  <c:v>5829.568216703851</c:v>
                </c:pt>
                <c:pt idx="62">
                  <c:v>5838.744192415041</c:v>
                </c:pt>
                <c:pt idx="63">
                  <c:v>5847.781720881632</c:v>
                </c:pt>
                <c:pt idx="64">
                  <c:v>5856.68080210363</c:v>
                </c:pt>
                <c:pt idx="65">
                  <c:v>5865.441436081038</c:v>
                </c:pt>
                <c:pt idx="66">
                  <c:v>5874.063622813844</c:v>
                </c:pt>
                <c:pt idx="67">
                  <c:v>5882.547362302058</c:v>
                </c:pt>
                <c:pt idx="68">
                  <c:v>5890.892654545681</c:v>
                </c:pt>
                <c:pt idx="69">
                  <c:v>5899.0994995447045</c:v>
                </c:pt>
                <c:pt idx="70">
                  <c:v>5907.167897299137</c:v>
                </c:pt>
                <c:pt idx="71">
                  <c:v>5915.097847808971</c:v>
                </c:pt>
                <c:pt idx="72">
                  <c:v>5922.889351074214</c:v>
                </c:pt>
                <c:pt idx="73">
                  <c:v>5930.54240709486</c:v>
                </c:pt>
                <c:pt idx="74">
                  <c:v>5938.057015870914</c:v>
                </c:pt>
                <c:pt idx="75">
                  <c:v>5945.433177402368</c:v>
                </c:pt>
                <c:pt idx="76">
                  <c:v>5952.670891689236</c:v>
                </c:pt>
                <c:pt idx="77">
                  <c:v>5959.7701587315005</c:v>
                </c:pt>
                <c:pt idx="78">
                  <c:v>5966.730978529176</c:v>
                </c:pt>
                <c:pt idx="79">
                  <c:v>5973.553351082256</c:v>
                </c:pt>
                <c:pt idx="80">
                  <c:v>5980.237276390741</c:v>
                </c:pt>
                <c:pt idx="81">
                  <c:v>5986.78275445463</c:v>
                </c:pt>
                <c:pt idx="82">
                  <c:v>5993.189785273925</c:v>
                </c:pt>
                <c:pt idx="83">
                  <c:v>5999.458368848626</c:v>
                </c:pt>
                <c:pt idx="84">
                  <c:v>6005.588505178733</c:v>
                </c:pt>
                <c:pt idx="85">
                  <c:v>6011.580194264243</c:v>
                </c:pt>
                <c:pt idx="86">
                  <c:v>6017.4334361051615</c:v>
                </c:pt>
                <c:pt idx="87">
                  <c:v>6023.148230701481</c:v>
                </c:pt>
                <c:pt idx="88">
                  <c:v>6028.724578053209</c:v>
                </c:pt>
                <c:pt idx="89">
                  <c:v>6034.162478160343</c:v>
                </c:pt>
                <c:pt idx="90">
                  <c:v>6039.461931022882</c:v>
                </c:pt>
                <c:pt idx="91">
                  <c:v>6044.622936640825</c:v>
                </c:pt>
                <c:pt idx="92">
                  <c:v>6049.645495014176</c:v>
                </c:pt>
                <c:pt idx="93">
                  <c:v>6054.529606142929</c:v>
                </c:pt>
                <c:pt idx="94">
                  <c:v>6059.275270027088</c:v>
                </c:pt>
                <c:pt idx="95">
                  <c:v>6063.8824866666555</c:v>
                </c:pt>
                <c:pt idx="96">
                  <c:v>6068.351256061623</c:v>
                </c:pt>
                <c:pt idx="97">
                  <c:v>6072.681578212001</c:v>
                </c:pt>
                <c:pt idx="98">
                  <c:v>6076.8734531177815</c:v>
                </c:pt>
                <c:pt idx="99">
                  <c:v>6080.9268807789695</c:v>
                </c:pt>
                <c:pt idx="100">
                  <c:v>6084.841861195561</c:v>
                </c:pt>
                <c:pt idx="101">
                  <c:v>6088.618394367559</c:v>
                </c:pt>
                <c:pt idx="102">
                  <c:v>6092.256480294964</c:v>
                </c:pt>
                <c:pt idx="103">
                  <c:v>6095.75611897777</c:v>
                </c:pt>
                <c:pt idx="104">
                  <c:v>6099.117310415984</c:v>
                </c:pt>
                <c:pt idx="105">
                  <c:v>6102.340054609603</c:v>
                </c:pt>
                <c:pt idx="106">
                  <c:v>6105.424351558629</c:v>
                </c:pt>
                <c:pt idx="107">
                  <c:v>6108.3702012630565</c:v>
                </c:pt>
                <c:pt idx="108">
                  <c:v>6111.177603722894</c:v>
                </c:pt>
                <c:pt idx="109">
                  <c:v>6113.846558938137</c:v>
                </c:pt>
                <c:pt idx="110">
                  <c:v>6116.377066908781</c:v>
                </c:pt>
                <c:pt idx="111">
                  <c:v>6118.769127634831</c:v>
                </c:pt>
                <c:pt idx="112">
                  <c:v>6121.022741116289</c:v>
                </c:pt>
                <c:pt idx="113">
                  <c:v>6123.137907353152</c:v>
                </c:pt>
                <c:pt idx="114">
                  <c:v>6125.114626345418</c:v>
                </c:pt>
                <c:pt idx="115">
                  <c:v>6126.952898093091</c:v>
                </c:pt>
                <c:pt idx="116">
                  <c:v>6128.652722596169</c:v>
                </c:pt>
                <c:pt idx="117">
                  <c:v>6130.214099854655</c:v>
                </c:pt>
                <c:pt idx="118">
                  <c:v>6131.637029868543</c:v>
                </c:pt>
                <c:pt idx="119">
                  <c:v>6132.921512637837</c:v>
                </c:pt>
                <c:pt idx="120">
                  <c:v>6134.067548162538</c:v>
                </c:pt>
                <c:pt idx="121">
                  <c:v>6135.075136442643</c:v>
                </c:pt>
                <c:pt idx="122">
                  <c:v>6135.944277478154</c:v>
                </c:pt>
                <c:pt idx="123">
                  <c:v>6136.674971269069</c:v>
                </c:pt>
                <c:pt idx="124">
                  <c:v>6137.267217815389</c:v>
                </c:pt>
                <c:pt idx="125">
                  <c:v>6137.721017117117</c:v>
                </c:pt>
                <c:pt idx="126">
                  <c:v>6138.0363691742505</c:v>
                </c:pt>
                <c:pt idx="127">
                  <c:v>6138.213273986788</c:v>
                </c:pt>
                <c:pt idx="128">
                  <c:v>6138.251731554732</c:v>
                </c:pt>
                <c:pt idx="129">
                  <c:v>6138.151741878078</c:v>
                </c:pt>
                <c:pt idx="130">
                  <c:v>6137.913304956832</c:v>
                </c:pt>
                <c:pt idx="131">
                  <c:v>6137.536420790992</c:v>
                </c:pt>
                <c:pt idx="132">
                  <c:v>6137.021089380556</c:v>
                </c:pt>
                <c:pt idx="133">
                  <c:v>6136.367310725526</c:v>
                </c:pt>
                <c:pt idx="134">
                  <c:v>6135.575084825902</c:v>
                </c:pt>
                <c:pt idx="135">
                  <c:v>6134.644411681679</c:v>
                </c:pt>
                <c:pt idx="136">
                  <c:v>6133.575291292869</c:v>
                </c:pt>
                <c:pt idx="137">
                  <c:v>6132.367723659458</c:v>
                </c:pt>
                <c:pt idx="138">
                  <c:v>6131.0217087814535</c:v>
                </c:pt>
                <c:pt idx="139">
                  <c:v>6129.537246658858</c:v>
                </c:pt>
                <c:pt idx="140">
                  <c:v>6127.914337291665</c:v>
                </c:pt>
                <c:pt idx="141">
                  <c:v>6126.152980679879</c:v>
                </c:pt>
                <c:pt idx="142">
                  <c:v>6124.2531768234985</c:v>
                </c:pt>
                <c:pt idx="143">
                  <c:v>6122.214925722521</c:v>
                </c:pt>
                <c:pt idx="144">
                  <c:v>6120.03822737695</c:v>
                </c:pt>
                <c:pt idx="145">
                  <c:v>6117.723081786782</c:v>
                </c:pt>
                <c:pt idx="146">
                  <c:v>6115.2694889520235</c:v>
                </c:pt>
                <c:pt idx="147">
                  <c:v>6112.677448872669</c:v>
                </c:pt>
                <c:pt idx="148">
                  <c:v>6109.94696154872</c:v>
                </c:pt>
                <c:pt idx="149">
                  <c:v>6107.078026980175</c:v>
                </c:pt>
                <c:pt idx="150">
                  <c:v>6104.070645167036</c:v>
                </c:pt>
                <c:pt idx="151">
                  <c:v>6100.924816109304</c:v>
                </c:pt>
                <c:pt idx="152">
                  <c:v>6097.640539806974</c:v>
                </c:pt>
                <c:pt idx="153">
                  <c:v>6094.217816260054</c:v>
                </c:pt>
                <c:pt idx="154">
                  <c:v>6090.656645468536</c:v>
                </c:pt>
                <c:pt idx="155">
                  <c:v>6086.957027432424</c:v>
                </c:pt>
                <c:pt idx="156">
                  <c:v>6083.118962151718</c:v>
                </c:pt>
                <c:pt idx="157">
                  <c:v>6079.142449626416</c:v>
                </c:pt>
                <c:pt idx="158">
                  <c:v>6075.027489856522</c:v>
                </c:pt>
                <c:pt idx="159">
                  <c:v>6070.774082842031</c:v>
                </c:pt>
                <c:pt idx="160">
                  <c:v>6066.382228582947</c:v>
                </c:pt>
                <c:pt idx="161">
                  <c:v>6061.851927079268</c:v>
                </c:pt>
                <c:pt idx="162">
                  <c:v>6057.183178330992</c:v>
                </c:pt>
                <c:pt idx="163">
                  <c:v>6052.375982338123</c:v>
                </c:pt>
                <c:pt idx="164">
                  <c:v>6047.430339100661</c:v>
                </c:pt>
                <c:pt idx="165">
                  <c:v>6042.346248618603</c:v>
                </c:pt>
                <c:pt idx="166">
                  <c:v>6037.12371089195</c:v>
                </c:pt>
                <c:pt idx="167">
                  <c:v>6031.762725920703</c:v>
                </c:pt>
                <c:pt idx="168">
                  <c:v>6026.26329370486</c:v>
                </c:pt>
                <c:pt idx="169">
                  <c:v>6020.625414244426</c:v>
                </c:pt>
                <c:pt idx="170">
                  <c:v>6014.849087539394</c:v>
                </c:pt>
                <c:pt idx="171">
                  <c:v>6008.934313589769</c:v>
                </c:pt>
                <c:pt idx="172">
                  <c:v>6002.881092395548</c:v>
                </c:pt>
                <c:pt idx="173">
                  <c:v>5996.689423956734</c:v>
                </c:pt>
                <c:pt idx="174">
                  <c:v>5990.359308273323</c:v>
                </c:pt>
                <c:pt idx="175">
                  <c:v>5983.890745345321</c:v>
                </c:pt>
                <c:pt idx="176">
                  <c:v>5977.283735172719</c:v>
                </c:pt>
                <c:pt idx="177">
                  <c:v>5970.538277755526</c:v>
                </c:pt>
                <c:pt idx="178">
                  <c:v>5963.65437309374</c:v>
                </c:pt>
                <c:pt idx="179">
                  <c:v>5956.632021187358</c:v>
                </c:pt>
                <c:pt idx="180">
                  <c:v>5949.471222036379</c:v>
                </c:pt>
                <c:pt idx="181">
                  <c:v>5942.171975640809</c:v>
                </c:pt>
                <c:pt idx="182">
                  <c:v>5934.734282000641</c:v>
                </c:pt>
                <c:pt idx="183">
                  <c:v>5927.15814111588</c:v>
                </c:pt>
                <c:pt idx="184">
                  <c:v>5919.443552986524</c:v>
                </c:pt>
                <c:pt idx="185">
                  <c:v>5911.590517612575</c:v>
                </c:pt>
                <c:pt idx="186">
                  <c:v>5903.59903499403</c:v>
                </c:pt>
                <c:pt idx="187">
                  <c:v>5895.46910513089</c:v>
                </c:pt>
                <c:pt idx="188">
                  <c:v>5887.2007280231555</c:v>
                </c:pt>
                <c:pt idx="189">
                  <c:v>5878.793903670828</c:v>
                </c:pt>
                <c:pt idx="190">
                  <c:v>5870.248632073904</c:v>
                </c:pt>
                <c:pt idx="191">
                  <c:v>5861.564913232388</c:v>
                </c:pt>
                <c:pt idx="192">
                  <c:v>5852.742747146274</c:v>
                </c:pt>
                <c:pt idx="193">
                  <c:v>5843.782133815567</c:v>
                </c:pt>
                <c:pt idx="194">
                  <c:v>5834.683073240265</c:v>
                </c:pt>
                <c:pt idx="195">
                  <c:v>5825.445565420368</c:v>
                </c:pt>
                <c:pt idx="196">
                  <c:v>5816.069610355876</c:v>
                </c:pt>
                <c:pt idx="197">
                  <c:v>5806.5552080467905</c:v>
                </c:pt>
                <c:pt idx="198">
                  <c:v>5796.902358493111</c:v>
                </c:pt>
                <c:pt idx="199">
                  <c:v>5787.111061694835</c:v>
                </c:pt>
                <c:pt idx="200">
                  <c:v>5777.181317651967</c:v>
                </c:pt>
              </c:numCache>
            </c:numRef>
          </c:yVal>
        </c:ser>
        <c:ser>
          <c:idx val="4"/>
          <c:order val="4"/>
          <c:tx>
            <c:v>Số 5</c:v>
          </c:tx>
          <c:marker>
            <c:symbol val="none"/>
          </c:marker>
          <c:xVal>
            <c:numRef>
              <c:f>Luc_keo!$E$806:$E$1006</c:f>
              <c:numCache>
                <c:formatCode>General</c:formatCode>
                <c:ptCount val="201"/>
                <c:pt idx="0">
                  <c:v>32.478632478632484</c:v>
                </c:pt>
                <c:pt idx="1">
                  <c:v>32.8440170940171</c:v>
                </c:pt>
                <c:pt idx="2">
                  <c:v>33.20940170940171</c:v>
                </c:pt>
                <c:pt idx="3">
                  <c:v>33.574786324786324</c:v>
                </c:pt>
                <c:pt idx="4">
                  <c:v>33.940170940170944</c:v>
                </c:pt>
                <c:pt idx="5">
                  <c:v>34.30555555555556</c:v>
                </c:pt>
                <c:pt idx="6">
                  <c:v>34.67094017094017</c:v>
                </c:pt>
                <c:pt idx="7">
                  <c:v>35.03632478632478</c:v>
                </c:pt>
                <c:pt idx="8">
                  <c:v>35.4017094017094</c:v>
                </c:pt>
                <c:pt idx="9">
                  <c:v>35.76709401709402</c:v>
                </c:pt>
                <c:pt idx="10">
                  <c:v>36.13247863247863</c:v>
                </c:pt>
                <c:pt idx="11">
                  <c:v>36.49786324786325</c:v>
                </c:pt>
                <c:pt idx="12">
                  <c:v>36.863247863247864</c:v>
                </c:pt>
                <c:pt idx="13">
                  <c:v>37.22863247863248</c:v>
                </c:pt>
                <c:pt idx="14">
                  <c:v>37.59401709401709</c:v>
                </c:pt>
                <c:pt idx="15">
                  <c:v>37.95940170940171</c:v>
                </c:pt>
                <c:pt idx="16">
                  <c:v>38.324786324786324</c:v>
                </c:pt>
                <c:pt idx="17">
                  <c:v>38.690170940170944</c:v>
                </c:pt>
                <c:pt idx="18">
                  <c:v>39.05555555555556</c:v>
                </c:pt>
                <c:pt idx="19">
                  <c:v>39.42094017094017</c:v>
                </c:pt>
                <c:pt idx="20">
                  <c:v>39.78632478632478</c:v>
                </c:pt>
                <c:pt idx="21">
                  <c:v>40.1517094017094</c:v>
                </c:pt>
                <c:pt idx="22">
                  <c:v>40.517094017094024</c:v>
                </c:pt>
                <c:pt idx="23">
                  <c:v>40.88247863247863</c:v>
                </c:pt>
                <c:pt idx="24">
                  <c:v>41.24786324786324</c:v>
                </c:pt>
                <c:pt idx="25">
                  <c:v>41.61324786324786</c:v>
                </c:pt>
                <c:pt idx="26">
                  <c:v>41.97863247863248</c:v>
                </c:pt>
                <c:pt idx="27">
                  <c:v>42.34401709401709</c:v>
                </c:pt>
                <c:pt idx="28">
                  <c:v>42.70940170940172</c:v>
                </c:pt>
                <c:pt idx="29">
                  <c:v>43.07478632478633</c:v>
                </c:pt>
                <c:pt idx="30">
                  <c:v>43.44017094017094</c:v>
                </c:pt>
                <c:pt idx="31">
                  <c:v>43.80555555555555</c:v>
                </c:pt>
                <c:pt idx="32">
                  <c:v>44.17094017094017</c:v>
                </c:pt>
                <c:pt idx="33">
                  <c:v>44.53632478632478</c:v>
                </c:pt>
                <c:pt idx="34">
                  <c:v>44.9017094017094</c:v>
                </c:pt>
                <c:pt idx="35">
                  <c:v>45.267094017094024</c:v>
                </c:pt>
                <c:pt idx="36">
                  <c:v>45.63247863247864</c:v>
                </c:pt>
                <c:pt idx="37">
                  <c:v>45.99786324786324</c:v>
                </c:pt>
                <c:pt idx="38">
                  <c:v>46.36324786324786</c:v>
                </c:pt>
                <c:pt idx="39">
                  <c:v>46.72863247863248</c:v>
                </c:pt>
                <c:pt idx="40">
                  <c:v>47.09401709401709</c:v>
                </c:pt>
                <c:pt idx="41">
                  <c:v>47.45940170940172</c:v>
                </c:pt>
                <c:pt idx="42">
                  <c:v>47.824786324786324</c:v>
                </c:pt>
                <c:pt idx="43">
                  <c:v>48.190170940170944</c:v>
                </c:pt>
                <c:pt idx="44">
                  <c:v>48.55555555555555</c:v>
                </c:pt>
                <c:pt idx="45">
                  <c:v>48.92094017094016</c:v>
                </c:pt>
                <c:pt idx="46">
                  <c:v>49.28632478632478</c:v>
                </c:pt>
                <c:pt idx="47">
                  <c:v>49.6517094017094</c:v>
                </c:pt>
                <c:pt idx="48">
                  <c:v>50.01709401709402</c:v>
                </c:pt>
                <c:pt idx="49">
                  <c:v>50.38247863247863</c:v>
                </c:pt>
                <c:pt idx="50">
                  <c:v>50.74786324786325</c:v>
                </c:pt>
                <c:pt idx="51">
                  <c:v>51.11324786324786</c:v>
                </c:pt>
                <c:pt idx="52">
                  <c:v>51.47863247863248</c:v>
                </c:pt>
                <c:pt idx="53">
                  <c:v>51.84401709401709</c:v>
                </c:pt>
                <c:pt idx="54">
                  <c:v>52.20940170940171</c:v>
                </c:pt>
                <c:pt idx="55">
                  <c:v>52.574786324786324</c:v>
                </c:pt>
                <c:pt idx="56">
                  <c:v>52.94017094017094</c:v>
                </c:pt>
                <c:pt idx="57">
                  <c:v>53.30555555555556</c:v>
                </c:pt>
                <c:pt idx="58">
                  <c:v>53.67094017094017</c:v>
                </c:pt>
                <c:pt idx="59">
                  <c:v>54.036324786324776</c:v>
                </c:pt>
                <c:pt idx="60">
                  <c:v>54.401709401709404</c:v>
                </c:pt>
                <c:pt idx="61">
                  <c:v>54.76709401709402</c:v>
                </c:pt>
                <c:pt idx="62">
                  <c:v>55.13247863247864</c:v>
                </c:pt>
                <c:pt idx="63">
                  <c:v>55.49786324786324</c:v>
                </c:pt>
                <c:pt idx="64">
                  <c:v>55.863247863247864</c:v>
                </c:pt>
                <c:pt idx="65">
                  <c:v>56.22863247863247</c:v>
                </c:pt>
                <c:pt idx="66">
                  <c:v>56.5940170940171</c:v>
                </c:pt>
                <c:pt idx="67">
                  <c:v>56.9594017094017</c:v>
                </c:pt>
                <c:pt idx="68">
                  <c:v>57.324786324786324</c:v>
                </c:pt>
                <c:pt idx="69">
                  <c:v>57.690170940170944</c:v>
                </c:pt>
                <c:pt idx="70">
                  <c:v>58.055555555555564</c:v>
                </c:pt>
                <c:pt idx="71">
                  <c:v>58.42094017094017</c:v>
                </c:pt>
                <c:pt idx="72">
                  <c:v>58.78632478632478</c:v>
                </c:pt>
                <c:pt idx="73">
                  <c:v>59.151709401709404</c:v>
                </c:pt>
                <c:pt idx="74">
                  <c:v>59.51709401709401</c:v>
                </c:pt>
                <c:pt idx="75">
                  <c:v>59.88247863247863</c:v>
                </c:pt>
                <c:pt idx="76">
                  <c:v>60.24786324786325</c:v>
                </c:pt>
                <c:pt idx="77">
                  <c:v>60.61324786324787</c:v>
                </c:pt>
                <c:pt idx="78">
                  <c:v>60.97863247863248</c:v>
                </c:pt>
                <c:pt idx="79">
                  <c:v>61.34401709401709</c:v>
                </c:pt>
                <c:pt idx="80">
                  <c:v>61.70940170940171</c:v>
                </c:pt>
                <c:pt idx="81">
                  <c:v>62.07478632478633</c:v>
                </c:pt>
                <c:pt idx="82">
                  <c:v>62.44017094017094</c:v>
                </c:pt>
                <c:pt idx="83">
                  <c:v>62.80555555555556</c:v>
                </c:pt>
                <c:pt idx="84">
                  <c:v>63.17094017094018</c:v>
                </c:pt>
                <c:pt idx="85">
                  <c:v>63.53632478632478</c:v>
                </c:pt>
                <c:pt idx="86">
                  <c:v>63.9017094017094</c:v>
                </c:pt>
                <c:pt idx="87">
                  <c:v>64.26709401709402</c:v>
                </c:pt>
                <c:pt idx="88">
                  <c:v>64.63247863247864</c:v>
                </c:pt>
                <c:pt idx="89">
                  <c:v>64.99786324786325</c:v>
                </c:pt>
                <c:pt idx="90">
                  <c:v>65.36324786324786</c:v>
                </c:pt>
                <c:pt idx="91">
                  <c:v>65.72863247863248</c:v>
                </c:pt>
                <c:pt idx="92">
                  <c:v>66.0940170940171</c:v>
                </c:pt>
                <c:pt idx="93">
                  <c:v>66.4594017094017</c:v>
                </c:pt>
                <c:pt idx="94">
                  <c:v>66.82478632478633</c:v>
                </c:pt>
                <c:pt idx="95">
                  <c:v>67.19017094017094</c:v>
                </c:pt>
                <c:pt idx="96">
                  <c:v>67.55555555555556</c:v>
                </c:pt>
                <c:pt idx="97">
                  <c:v>67.92094017094017</c:v>
                </c:pt>
                <c:pt idx="98">
                  <c:v>68.28632478632478</c:v>
                </c:pt>
                <c:pt idx="99">
                  <c:v>68.65170940170941</c:v>
                </c:pt>
                <c:pt idx="100">
                  <c:v>69.01709401709401</c:v>
                </c:pt>
                <c:pt idx="101">
                  <c:v>69.38247863247864</c:v>
                </c:pt>
                <c:pt idx="102">
                  <c:v>69.74786324786325</c:v>
                </c:pt>
                <c:pt idx="103">
                  <c:v>70.11324786324786</c:v>
                </c:pt>
                <c:pt idx="104">
                  <c:v>70.47863247863248</c:v>
                </c:pt>
                <c:pt idx="105">
                  <c:v>70.84401709401708</c:v>
                </c:pt>
                <c:pt idx="106">
                  <c:v>71.2094017094017</c:v>
                </c:pt>
                <c:pt idx="107">
                  <c:v>71.57478632478633</c:v>
                </c:pt>
                <c:pt idx="108">
                  <c:v>71.94017094017093</c:v>
                </c:pt>
                <c:pt idx="109">
                  <c:v>72.30555555555556</c:v>
                </c:pt>
                <c:pt idx="110">
                  <c:v>72.67094017094017</c:v>
                </c:pt>
                <c:pt idx="111">
                  <c:v>73.03632478632478</c:v>
                </c:pt>
                <c:pt idx="112">
                  <c:v>73.4017094017094</c:v>
                </c:pt>
                <c:pt idx="113">
                  <c:v>73.76709401709402</c:v>
                </c:pt>
                <c:pt idx="114">
                  <c:v>74.13247863247864</c:v>
                </c:pt>
                <c:pt idx="115">
                  <c:v>74.49786324786325</c:v>
                </c:pt>
                <c:pt idx="116">
                  <c:v>74.86324786324785</c:v>
                </c:pt>
                <c:pt idx="117">
                  <c:v>75.22863247863248</c:v>
                </c:pt>
                <c:pt idx="118">
                  <c:v>75.59401709401709</c:v>
                </c:pt>
                <c:pt idx="119">
                  <c:v>75.95940170940169</c:v>
                </c:pt>
                <c:pt idx="120">
                  <c:v>76.32478632478632</c:v>
                </c:pt>
                <c:pt idx="121">
                  <c:v>76.69017094017094</c:v>
                </c:pt>
                <c:pt idx="122">
                  <c:v>77.05555555555556</c:v>
                </c:pt>
                <c:pt idx="123">
                  <c:v>77.42094017094017</c:v>
                </c:pt>
                <c:pt idx="124">
                  <c:v>77.78632478632478</c:v>
                </c:pt>
                <c:pt idx="125">
                  <c:v>78.15170940170941</c:v>
                </c:pt>
                <c:pt idx="126">
                  <c:v>78.51709401709401</c:v>
                </c:pt>
                <c:pt idx="127">
                  <c:v>78.88247863247864</c:v>
                </c:pt>
                <c:pt idx="128">
                  <c:v>79.24786324786324</c:v>
                </c:pt>
                <c:pt idx="129">
                  <c:v>79.61324786324786</c:v>
                </c:pt>
                <c:pt idx="130">
                  <c:v>79.97863247863246</c:v>
                </c:pt>
                <c:pt idx="131">
                  <c:v>80.34401709401709</c:v>
                </c:pt>
                <c:pt idx="132">
                  <c:v>80.7094017094017</c:v>
                </c:pt>
                <c:pt idx="133">
                  <c:v>81.07478632478633</c:v>
                </c:pt>
                <c:pt idx="134">
                  <c:v>81.44017094017094</c:v>
                </c:pt>
                <c:pt idx="135">
                  <c:v>81.80555555555556</c:v>
                </c:pt>
                <c:pt idx="136">
                  <c:v>82.17094017094018</c:v>
                </c:pt>
                <c:pt idx="137">
                  <c:v>82.53632478632478</c:v>
                </c:pt>
                <c:pt idx="138">
                  <c:v>82.9017094017094</c:v>
                </c:pt>
                <c:pt idx="139">
                  <c:v>83.26709401709402</c:v>
                </c:pt>
                <c:pt idx="140">
                  <c:v>83.63247863247862</c:v>
                </c:pt>
                <c:pt idx="141">
                  <c:v>83.99786324786324</c:v>
                </c:pt>
                <c:pt idx="142">
                  <c:v>84.36324786324785</c:v>
                </c:pt>
                <c:pt idx="143">
                  <c:v>84.72863247863248</c:v>
                </c:pt>
                <c:pt idx="144">
                  <c:v>85.09401709401709</c:v>
                </c:pt>
                <c:pt idx="145">
                  <c:v>85.4594017094017</c:v>
                </c:pt>
                <c:pt idx="146">
                  <c:v>85.82478632478633</c:v>
                </c:pt>
                <c:pt idx="147">
                  <c:v>86.19017094017094</c:v>
                </c:pt>
                <c:pt idx="148">
                  <c:v>86.55555555555556</c:v>
                </c:pt>
                <c:pt idx="149">
                  <c:v>86.92094017094017</c:v>
                </c:pt>
                <c:pt idx="150">
                  <c:v>87.2863247863248</c:v>
                </c:pt>
                <c:pt idx="151">
                  <c:v>87.6517094017094</c:v>
                </c:pt>
                <c:pt idx="152">
                  <c:v>88.01709401709401</c:v>
                </c:pt>
                <c:pt idx="153">
                  <c:v>88.38247863247862</c:v>
                </c:pt>
                <c:pt idx="154">
                  <c:v>88.74786324786324</c:v>
                </c:pt>
                <c:pt idx="155">
                  <c:v>89.11324786324786</c:v>
                </c:pt>
                <c:pt idx="156">
                  <c:v>89.47863247863246</c:v>
                </c:pt>
                <c:pt idx="157">
                  <c:v>89.84401709401709</c:v>
                </c:pt>
                <c:pt idx="158">
                  <c:v>90.20940170940172</c:v>
                </c:pt>
                <c:pt idx="159">
                  <c:v>90.57478632478633</c:v>
                </c:pt>
                <c:pt idx="160">
                  <c:v>90.94017094017094</c:v>
                </c:pt>
                <c:pt idx="161">
                  <c:v>91.30555555555556</c:v>
                </c:pt>
                <c:pt idx="162">
                  <c:v>91.67094017094018</c:v>
                </c:pt>
                <c:pt idx="163">
                  <c:v>92.03632478632478</c:v>
                </c:pt>
                <c:pt idx="164">
                  <c:v>92.4017094017094</c:v>
                </c:pt>
                <c:pt idx="165">
                  <c:v>92.76709401709401</c:v>
                </c:pt>
                <c:pt idx="166">
                  <c:v>93.13247863247862</c:v>
                </c:pt>
                <c:pt idx="167">
                  <c:v>93.49786324786324</c:v>
                </c:pt>
                <c:pt idx="168">
                  <c:v>93.86324786324785</c:v>
                </c:pt>
                <c:pt idx="169">
                  <c:v>94.22863247863248</c:v>
                </c:pt>
                <c:pt idx="170">
                  <c:v>94.5940170940171</c:v>
                </c:pt>
                <c:pt idx="171">
                  <c:v>94.95940170940172</c:v>
                </c:pt>
                <c:pt idx="172">
                  <c:v>95.32478632478633</c:v>
                </c:pt>
                <c:pt idx="173">
                  <c:v>95.69017094017094</c:v>
                </c:pt>
                <c:pt idx="174">
                  <c:v>96.05555555555556</c:v>
                </c:pt>
                <c:pt idx="175">
                  <c:v>96.42094017094017</c:v>
                </c:pt>
                <c:pt idx="176">
                  <c:v>96.78632478632478</c:v>
                </c:pt>
                <c:pt idx="177">
                  <c:v>97.1517094017094</c:v>
                </c:pt>
                <c:pt idx="178">
                  <c:v>97.51709401709401</c:v>
                </c:pt>
                <c:pt idx="179">
                  <c:v>97.88247863247862</c:v>
                </c:pt>
                <c:pt idx="180">
                  <c:v>98.24786324786324</c:v>
                </c:pt>
                <c:pt idx="181">
                  <c:v>98.61324786324786</c:v>
                </c:pt>
                <c:pt idx="182">
                  <c:v>98.97863247863246</c:v>
                </c:pt>
                <c:pt idx="183">
                  <c:v>99.3440170940171</c:v>
                </c:pt>
                <c:pt idx="184">
                  <c:v>99.70940170940172</c:v>
                </c:pt>
                <c:pt idx="185">
                  <c:v>100.07478632478633</c:v>
                </c:pt>
                <c:pt idx="186">
                  <c:v>100.44017094017094</c:v>
                </c:pt>
                <c:pt idx="187">
                  <c:v>100.80555555555554</c:v>
                </c:pt>
                <c:pt idx="188">
                  <c:v>101.17094017094017</c:v>
                </c:pt>
                <c:pt idx="189">
                  <c:v>101.53632478632477</c:v>
                </c:pt>
                <c:pt idx="190">
                  <c:v>101.9017094017094</c:v>
                </c:pt>
                <c:pt idx="191">
                  <c:v>102.26709401709401</c:v>
                </c:pt>
                <c:pt idx="192">
                  <c:v>102.63247863247864</c:v>
                </c:pt>
                <c:pt idx="193">
                  <c:v>102.99786324786324</c:v>
                </c:pt>
                <c:pt idx="194">
                  <c:v>103.36324786324785</c:v>
                </c:pt>
                <c:pt idx="195">
                  <c:v>103.72863247863249</c:v>
                </c:pt>
                <c:pt idx="196">
                  <c:v>104.0940170940171</c:v>
                </c:pt>
                <c:pt idx="197">
                  <c:v>104.45940170940172</c:v>
                </c:pt>
                <c:pt idx="198">
                  <c:v>104.82478632478633</c:v>
                </c:pt>
                <c:pt idx="199">
                  <c:v>105.19017094017094</c:v>
                </c:pt>
                <c:pt idx="200">
                  <c:v>105.55555555555554</c:v>
                </c:pt>
              </c:numCache>
            </c:numRef>
          </c:xVal>
          <c:yVal>
            <c:numRef>
              <c:f>Luc_keo!$H$806:$H$1006</c:f>
              <c:numCache>
                <c:formatCode>General</c:formatCode>
                <c:ptCount val="201"/>
                <c:pt idx="0">
                  <c:v>3078.8774882909306</c:v>
                </c:pt>
                <c:pt idx="1">
                  <c:v>3089.7108287228543</c:v>
                </c:pt>
                <c:pt idx="2">
                  <c:v>3100.4590534289923</c:v>
                </c:pt>
                <c:pt idx="3">
                  <c:v>3111.122162409344</c:v>
                </c:pt>
                <c:pt idx="4">
                  <c:v>3121.700155663912</c:v>
                </c:pt>
                <c:pt idx="5">
                  <c:v>3132.1930331926924</c:v>
                </c:pt>
                <c:pt idx="6">
                  <c:v>3142.6007949956884</c:v>
                </c:pt>
                <c:pt idx="7">
                  <c:v>3152.923441072897</c:v>
                </c:pt>
                <c:pt idx="8">
                  <c:v>3163.1609714243223</c:v>
                </c:pt>
                <c:pt idx="9">
                  <c:v>3173.3133860499615</c:v>
                </c:pt>
                <c:pt idx="10">
                  <c:v>3183.380684949816</c:v>
                </c:pt>
                <c:pt idx="11">
                  <c:v>3193.3628681238843</c:v>
                </c:pt>
                <c:pt idx="12">
                  <c:v>3203.2599355721663</c:v>
                </c:pt>
                <c:pt idx="13">
                  <c:v>3213.0718872946636</c:v>
                </c:pt>
                <c:pt idx="14">
                  <c:v>3222.798723291375</c:v>
                </c:pt>
                <c:pt idx="15">
                  <c:v>3232.440443562301</c:v>
                </c:pt>
                <c:pt idx="16">
                  <c:v>3241.997048107442</c:v>
                </c:pt>
                <c:pt idx="17">
                  <c:v>3251.4685369267963</c:v>
                </c:pt>
                <c:pt idx="18">
                  <c:v>3260.854910020366</c:v>
                </c:pt>
                <c:pt idx="19">
                  <c:v>3270.1561673881497</c:v>
                </c:pt>
                <c:pt idx="20">
                  <c:v>3279.372309030149</c:v>
                </c:pt>
                <c:pt idx="21">
                  <c:v>3288.503334946361</c:v>
                </c:pt>
                <c:pt idx="22">
                  <c:v>3297.5492451367895</c:v>
                </c:pt>
                <c:pt idx="23">
                  <c:v>3306.5100396014313</c:v>
                </c:pt>
                <c:pt idx="24">
                  <c:v>3315.3857183402874</c:v>
                </c:pt>
                <c:pt idx="25">
                  <c:v>3324.176281353359</c:v>
                </c:pt>
                <c:pt idx="26">
                  <c:v>3332.8817286406434</c:v>
                </c:pt>
                <c:pt idx="27">
                  <c:v>3341.5020602021436</c:v>
                </c:pt>
                <c:pt idx="28">
                  <c:v>3350.037276037858</c:v>
                </c:pt>
                <c:pt idx="29">
                  <c:v>3358.4873761477866</c:v>
                </c:pt>
                <c:pt idx="30">
                  <c:v>3366.85236053193</c:v>
                </c:pt>
                <c:pt idx="31">
                  <c:v>3375.132229190288</c:v>
                </c:pt>
                <c:pt idx="32">
                  <c:v>3383.3269821228605</c:v>
                </c:pt>
                <c:pt idx="33">
                  <c:v>3391.436619329647</c:v>
                </c:pt>
                <c:pt idx="34">
                  <c:v>3399.461140810649</c:v>
                </c:pt>
                <c:pt idx="35">
                  <c:v>3407.400546565864</c:v>
                </c:pt>
                <c:pt idx="36">
                  <c:v>3415.254836595294</c:v>
                </c:pt>
                <c:pt idx="37">
                  <c:v>3423.0240108989397</c:v>
                </c:pt>
                <c:pt idx="38">
                  <c:v>3430.7080694767988</c:v>
                </c:pt>
                <c:pt idx="39">
                  <c:v>3438.307012328872</c:v>
                </c:pt>
                <c:pt idx="40">
                  <c:v>3445.8208394551607</c:v>
                </c:pt>
                <c:pt idx="41">
                  <c:v>3453.2495508556626</c:v>
                </c:pt>
                <c:pt idx="42">
                  <c:v>3460.5931465303793</c:v>
                </c:pt>
                <c:pt idx="43">
                  <c:v>3467.8516264793116</c:v>
                </c:pt>
                <c:pt idx="44">
                  <c:v>3475.0249907024577</c:v>
                </c:pt>
                <c:pt idx="45">
                  <c:v>3482.113239199818</c:v>
                </c:pt>
                <c:pt idx="46">
                  <c:v>3489.1163719713936</c:v>
                </c:pt>
                <c:pt idx="47">
                  <c:v>3496.034389017182</c:v>
                </c:pt>
                <c:pt idx="48">
                  <c:v>3502.867290337187</c:v>
                </c:pt>
                <c:pt idx="49">
                  <c:v>3509.615075931405</c:v>
                </c:pt>
                <c:pt idx="50">
                  <c:v>3516.277745799839</c:v>
                </c:pt>
                <c:pt idx="51">
                  <c:v>3522.8552999424865</c:v>
                </c:pt>
                <c:pt idx="52">
                  <c:v>3529.3477383593477</c:v>
                </c:pt>
                <c:pt idx="53">
                  <c:v>3535.7550610504245</c:v>
                </c:pt>
                <c:pt idx="54">
                  <c:v>3542.077268015715</c:v>
                </c:pt>
                <c:pt idx="55">
                  <c:v>3548.31435925522</c:v>
                </c:pt>
                <c:pt idx="56">
                  <c:v>3554.46633476894</c:v>
                </c:pt>
                <c:pt idx="57">
                  <c:v>3560.533194556876</c:v>
                </c:pt>
                <c:pt idx="58">
                  <c:v>3566.5149386190233</c:v>
                </c:pt>
                <c:pt idx="59">
                  <c:v>3572.4115669553867</c:v>
                </c:pt>
                <c:pt idx="60">
                  <c:v>3578.2230795659643</c:v>
                </c:pt>
                <c:pt idx="61">
                  <c:v>3583.9494764507567</c:v>
                </c:pt>
                <c:pt idx="62">
                  <c:v>3589.5907576097643</c:v>
                </c:pt>
                <c:pt idx="63">
                  <c:v>3595.1469230429843</c:v>
                </c:pt>
                <c:pt idx="64">
                  <c:v>3600.6179727504214</c:v>
                </c:pt>
                <c:pt idx="65">
                  <c:v>3606.0039067320704</c:v>
                </c:pt>
                <c:pt idx="66">
                  <c:v>3611.304724987936</c:v>
                </c:pt>
                <c:pt idx="67">
                  <c:v>3616.5204275180145</c:v>
                </c:pt>
                <c:pt idx="68">
                  <c:v>3621.651014322309</c:v>
                </c:pt>
                <c:pt idx="69">
                  <c:v>3626.696485400816</c:v>
                </c:pt>
                <c:pt idx="70">
                  <c:v>3631.65684075354</c:v>
                </c:pt>
                <c:pt idx="71">
                  <c:v>3636.532080380477</c:v>
                </c:pt>
                <c:pt idx="72">
                  <c:v>3641.322204281628</c:v>
                </c:pt>
                <c:pt idx="73">
                  <c:v>3646.0272124569947</c:v>
                </c:pt>
                <c:pt idx="74">
                  <c:v>3650.6471049065754</c:v>
                </c:pt>
                <c:pt idx="75">
                  <c:v>3655.1818816303703</c:v>
                </c:pt>
                <c:pt idx="76">
                  <c:v>3659.631542628381</c:v>
                </c:pt>
                <c:pt idx="77">
                  <c:v>3663.996087900603</c:v>
                </c:pt>
                <c:pt idx="78">
                  <c:v>3668.275517447043</c:v>
                </c:pt>
                <c:pt idx="79">
                  <c:v>3672.469831267695</c:v>
                </c:pt>
                <c:pt idx="80">
                  <c:v>3676.5790293625623</c:v>
                </c:pt>
                <c:pt idx="81">
                  <c:v>3680.6031117316443</c:v>
                </c:pt>
                <c:pt idx="82">
                  <c:v>3684.542078374941</c:v>
                </c:pt>
                <c:pt idx="83">
                  <c:v>3688.395929292452</c:v>
                </c:pt>
                <c:pt idx="84">
                  <c:v>3692.1646644841776</c:v>
                </c:pt>
                <c:pt idx="85">
                  <c:v>3695.8482839501175</c:v>
                </c:pt>
                <c:pt idx="86">
                  <c:v>3699.446787690272</c:v>
                </c:pt>
                <c:pt idx="87">
                  <c:v>3702.9601757046403</c:v>
                </c:pt>
                <c:pt idx="88">
                  <c:v>3706.3884479932235</c:v>
                </c:pt>
                <c:pt idx="89">
                  <c:v>3709.7316045560215</c:v>
                </c:pt>
                <c:pt idx="90">
                  <c:v>3712.9896453930337</c:v>
                </c:pt>
                <c:pt idx="91">
                  <c:v>3716.162570504261</c:v>
                </c:pt>
                <c:pt idx="92">
                  <c:v>3719.250379889702</c:v>
                </c:pt>
                <c:pt idx="93">
                  <c:v>3722.2530735493574</c:v>
                </c:pt>
                <c:pt idx="94">
                  <c:v>3725.170651483227</c:v>
                </c:pt>
                <c:pt idx="95">
                  <c:v>3728.0031136913126</c:v>
                </c:pt>
                <c:pt idx="96">
                  <c:v>3730.750460173612</c:v>
                </c:pt>
                <c:pt idx="97">
                  <c:v>3733.4126909301262</c:v>
                </c:pt>
                <c:pt idx="98">
                  <c:v>3735.9898059608527</c:v>
                </c:pt>
                <c:pt idx="99">
                  <c:v>3738.481805265796</c:v>
                </c:pt>
                <c:pt idx="100">
                  <c:v>3740.8886888449533</c:v>
                </c:pt>
                <c:pt idx="101">
                  <c:v>3743.2104566983244</c:v>
                </c:pt>
                <c:pt idx="102">
                  <c:v>3745.447108825911</c:v>
                </c:pt>
                <c:pt idx="103">
                  <c:v>3747.5986452277107</c:v>
                </c:pt>
                <c:pt idx="104">
                  <c:v>3749.665065903726</c:v>
                </c:pt>
                <c:pt idx="105">
                  <c:v>3751.6463708539563</c:v>
                </c:pt>
                <c:pt idx="106">
                  <c:v>3753.5425600783997</c:v>
                </c:pt>
                <c:pt idx="107">
                  <c:v>3755.3536335770577</c:v>
                </c:pt>
                <c:pt idx="108">
                  <c:v>3757.0795913499314</c:v>
                </c:pt>
                <c:pt idx="109">
                  <c:v>3758.72043339702</c:v>
                </c:pt>
                <c:pt idx="110">
                  <c:v>3760.276159718321</c:v>
                </c:pt>
                <c:pt idx="111">
                  <c:v>3761.7467703138373</c:v>
                </c:pt>
                <c:pt idx="112">
                  <c:v>3763.132265183568</c:v>
                </c:pt>
                <c:pt idx="113">
                  <c:v>3764.4326443275136</c:v>
                </c:pt>
                <c:pt idx="114">
                  <c:v>3765.6479077456734</c:v>
                </c:pt>
                <c:pt idx="115">
                  <c:v>3766.778055438047</c:v>
                </c:pt>
                <c:pt idx="116">
                  <c:v>3767.8230874046358</c:v>
                </c:pt>
                <c:pt idx="117">
                  <c:v>3768.7830036454393</c:v>
                </c:pt>
                <c:pt idx="118">
                  <c:v>3769.6578041604575</c:v>
                </c:pt>
                <c:pt idx="119">
                  <c:v>3770.447488949689</c:v>
                </c:pt>
                <c:pt idx="120">
                  <c:v>3771.152058013137</c:v>
                </c:pt>
                <c:pt idx="121">
                  <c:v>3771.7715113507984</c:v>
                </c:pt>
                <c:pt idx="122">
                  <c:v>3772.3058489626737</c:v>
                </c:pt>
                <c:pt idx="123">
                  <c:v>3772.755070848763</c:v>
                </c:pt>
                <c:pt idx="124">
                  <c:v>3773.1191770090695</c:v>
                </c:pt>
                <c:pt idx="125">
                  <c:v>3773.398167443588</c:v>
                </c:pt>
                <c:pt idx="126">
                  <c:v>3773.5920421523224</c:v>
                </c:pt>
                <c:pt idx="127">
                  <c:v>3773.70080113527</c:v>
                </c:pt>
                <c:pt idx="128">
                  <c:v>3773.7244443924337</c:v>
                </c:pt>
                <c:pt idx="129">
                  <c:v>3773.6629719238094</c:v>
                </c:pt>
                <c:pt idx="130">
                  <c:v>3773.5163837294012</c:v>
                </c:pt>
                <c:pt idx="131">
                  <c:v>3773.2846798092087</c:v>
                </c:pt>
                <c:pt idx="132">
                  <c:v>3772.9678601632295</c:v>
                </c:pt>
                <c:pt idx="133">
                  <c:v>3772.565924791463</c:v>
                </c:pt>
                <c:pt idx="134">
                  <c:v>3772.078873693913</c:v>
                </c:pt>
                <c:pt idx="135">
                  <c:v>3771.5067068705766</c:v>
                </c:pt>
                <c:pt idx="136">
                  <c:v>3770.8494243214564</c:v>
                </c:pt>
                <c:pt idx="137">
                  <c:v>3770.1070260465494</c:v>
                </c:pt>
                <c:pt idx="138">
                  <c:v>3769.279512045855</c:v>
                </c:pt>
                <c:pt idx="139">
                  <c:v>3768.366882319377</c:v>
                </c:pt>
                <c:pt idx="140">
                  <c:v>3767.3691368671143</c:v>
                </c:pt>
                <c:pt idx="141">
                  <c:v>3766.2862756890645</c:v>
                </c:pt>
                <c:pt idx="142">
                  <c:v>3765.11829878523</c:v>
                </c:pt>
                <c:pt idx="143">
                  <c:v>3763.86520615561</c:v>
                </c:pt>
                <c:pt idx="144">
                  <c:v>3762.5269978002043</c:v>
                </c:pt>
                <c:pt idx="145">
                  <c:v>3761.1036737190125</c:v>
                </c:pt>
                <c:pt idx="146">
                  <c:v>3759.5952339120377</c:v>
                </c:pt>
                <c:pt idx="147">
                  <c:v>3758.001678379275</c:v>
                </c:pt>
                <c:pt idx="148">
                  <c:v>3756.3230071207267</c:v>
                </c:pt>
                <c:pt idx="149">
                  <c:v>3754.5592201363934</c:v>
                </c:pt>
                <c:pt idx="150">
                  <c:v>3752.710317426275</c:v>
                </c:pt>
                <c:pt idx="151">
                  <c:v>3750.776298990371</c:v>
                </c:pt>
                <c:pt idx="152">
                  <c:v>3748.757164828681</c:v>
                </c:pt>
                <c:pt idx="153">
                  <c:v>3746.6529149412063</c:v>
                </c:pt>
                <c:pt idx="154">
                  <c:v>3744.4635493279447</c:v>
                </c:pt>
                <c:pt idx="155">
                  <c:v>3742.1890679888984</c:v>
                </c:pt>
                <c:pt idx="156">
                  <c:v>3739.8294709240668</c:v>
                </c:pt>
                <c:pt idx="157">
                  <c:v>3737.3847581334485</c:v>
                </c:pt>
                <c:pt idx="158">
                  <c:v>3734.8549296170468</c:v>
                </c:pt>
                <c:pt idx="159">
                  <c:v>3732.239985374858</c:v>
                </c:pt>
                <c:pt idx="160">
                  <c:v>3729.5399254068843</c:v>
                </c:pt>
                <c:pt idx="161">
                  <c:v>3726.7547497131245</c:v>
                </c:pt>
                <c:pt idx="162">
                  <c:v>3723.8844582935794</c:v>
                </c:pt>
                <c:pt idx="163">
                  <c:v>3720.9290511482495</c:v>
                </c:pt>
                <c:pt idx="164">
                  <c:v>3717.8885282771334</c:v>
                </c:pt>
                <c:pt idx="165">
                  <c:v>3714.7628896802316</c:v>
                </c:pt>
                <c:pt idx="166">
                  <c:v>3711.552135357545</c:v>
                </c:pt>
                <c:pt idx="167">
                  <c:v>3708.2562653090727</c:v>
                </c:pt>
                <c:pt idx="168">
                  <c:v>3704.8752795348137</c:v>
                </c:pt>
                <c:pt idx="169">
                  <c:v>3701.4091780347712</c:v>
                </c:pt>
                <c:pt idx="170">
                  <c:v>3697.857960808942</c:v>
                </c:pt>
                <c:pt idx="171">
                  <c:v>3694.221627857327</c:v>
                </c:pt>
                <c:pt idx="172">
                  <c:v>3690.500179179927</c:v>
                </c:pt>
                <c:pt idx="173">
                  <c:v>3686.693614776742</c:v>
                </c:pt>
                <c:pt idx="174">
                  <c:v>3682.80193464777</c:v>
                </c:pt>
                <c:pt idx="175">
                  <c:v>3678.825138793014</c:v>
                </c:pt>
                <c:pt idx="176">
                  <c:v>3674.7632272124706</c:v>
                </c:pt>
                <c:pt idx="177">
                  <c:v>3670.6161999061424</c:v>
                </c:pt>
                <c:pt idx="178">
                  <c:v>3666.38405687403</c:v>
                </c:pt>
                <c:pt idx="179">
                  <c:v>3662.066798116132</c:v>
                </c:pt>
                <c:pt idx="180">
                  <c:v>3657.664423632447</c:v>
                </c:pt>
                <c:pt idx="181">
                  <c:v>3653.176933422978</c:v>
                </c:pt>
                <c:pt idx="182">
                  <c:v>3648.6043274877225</c:v>
                </c:pt>
                <c:pt idx="183">
                  <c:v>3643.946605826681</c:v>
                </c:pt>
                <c:pt idx="184">
                  <c:v>3639.2037684398547</c:v>
                </c:pt>
                <c:pt idx="185">
                  <c:v>3634.3758153272433</c:v>
                </c:pt>
                <c:pt idx="186">
                  <c:v>3629.462746488845</c:v>
                </c:pt>
                <c:pt idx="187">
                  <c:v>3624.4645619246626</c:v>
                </c:pt>
                <c:pt idx="188">
                  <c:v>3619.381261634694</c:v>
                </c:pt>
                <c:pt idx="189">
                  <c:v>3614.2128456189407</c:v>
                </c:pt>
                <c:pt idx="190">
                  <c:v>3608.9593138774003</c:v>
                </c:pt>
                <c:pt idx="191">
                  <c:v>3603.6206664100764</c:v>
                </c:pt>
                <c:pt idx="192">
                  <c:v>3598.1969032169673</c:v>
                </c:pt>
                <c:pt idx="193">
                  <c:v>3592.68802429807</c:v>
                </c:pt>
                <c:pt idx="194">
                  <c:v>3587.094029653389</c:v>
                </c:pt>
                <c:pt idx="195">
                  <c:v>3581.4149192829213</c:v>
                </c:pt>
                <c:pt idx="196">
                  <c:v>3575.650693186669</c:v>
                </c:pt>
                <c:pt idx="197">
                  <c:v>3569.801351364631</c:v>
                </c:pt>
                <c:pt idx="198">
                  <c:v>3563.8668938168075</c:v>
                </c:pt>
                <c:pt idx="199">
                  <c:v>3557.8473205431987</c:v>
                </c:pt>
                <c:pt idx="200">
                  <c:v>3551.742631543803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(km/h)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Nhân tố D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Số 1</c:v>
          </c:tx>
          <c:marker>
            <c:symbol val="none"/>
          </c:marker>
          <c:xVal>
            <c:numRef>
              <c:f>Luc_keo!$E$2:$E$202</c:f>
              <c:numCache>
                <c:formatCode>General</c:formatCode>
                <c:ptCount val="201"/>
                <c:pt idx="0">
                  <c:v>4.639804639804639</c:v>
                </c:pt>
                <c:pt idx="1">
                  <c:v>4.692002442002441</c:v>
                </c:pt>
                <c:pt idx="2">
                  <c:v>4.744200244200244</c:v>
                </c:pt>
                <c:pt idx="3">
                  <c:v>4.796398046398046</c:v>
                </c:pt>
                <c:pt idx="4">
                  <c:v>4.848595848595849</c:v>
                </c:pt>
                <c:pt idx="5">
                  <c:v>4.900793650793651</c:v>
                </c:pt>
                <c:pt idx="6">
                  <c:v>4.952991452991452</c:v>
                </c:pt>
                <c:pt idx="7">
                  <c:v>5.005189255189254</c:v>
                </c:pt>
                <c:pt idx="8">
                  <c:v>5.057387057387056</c:v>
                </c:pt>
                <c:pt idx="9">
                  <c:v>5.109584859584859</c:v>
                </c:pt>
                <c:pt idx="10">
                  <c:v>5.161782661782661</c:v>
                </c:pt>
                <c:pt idx="11">
                  <c:v>5.213980463980464</c:v>
                </c:pt>
                <c:pt idx="12">
                  <c:v>5.266178266178266</c:v>
                </c:pt>
                <c:pt idx="13">
                  <c:v>5.318376068376068</c:v>
                </c:pt>
                <c:pt idx="14">
                  <c:v>5.37057387057387</c:v>
                </c:pt>
                <c:pt idx="15">
                  <c:v>5.422771672771673</c:v>
                </c:pt>
                <c:pt idx="16">
                  <c:v>5.474969474969475</c:v>
                </c:pt>
                <c:pt idx="17">
                  <c:v>5.527167277167278</c:v>
                </c:pt>
                <c:pt idx="18">
                  <c:v>5.57936507936508</c:v>
                </c:pt>
                <c:pt idx="19">
                  <c:v>5.631562881562882</c:v>
                </c:pt>
                <c:pt idx="20">
                  <c:v>5.683760683760684</c:v>
                </c:pt>
                <c:pt idx="21">
                  <c:v>5.735958485958485</c:v>
                </c:pt>
                <c:pt idx="22">
                  <c:v>5.788156288156289</c:v>
                </c:pt>
                <c:pt idx="23">
                  <c:v>5.84035409035409</c:v>
                </c:pt>
                <c:pt idx="24">
                  <c:v>5.892551892551892</c:v>
                </c:pt>
                <c:pt idx="25">
                  <c:v>5.944749694749694</c:v>
                </c:pt>
                <c:pt idx="26">
                  <c:v>5.996947496947497</c:v>
                </c:pt>
                <c:pt idx="27">
                  <c:v>6.049145299145299</c:v>
                </c:pt>
                <c:pt idx="28">
                  <c:v>6.101343101343102</c:v>
                </c:pt>
                <c:pt idx="29">
                  <c:v>6.153540903540904</c:v>
                </c:pt>
                <c:pt idx="30">
                  <c:v>6.205738705738706</c:v>
                </c:pt>
                <c:pt idx="31">
                  <c:v>6.257936507936508</c:v>
                </c:pt>
                <c:pt idx="32">
                  <c:v>6.310134310134311</c:v>
                </c:pt>
                <c:pt idx="33">
                  <c:v>6.362332112332113</c:v>
                </c:pt>
                <c:pt idx="34">
                  <c:v>6.414529914529915</c:v>
                </c:pt>
                <c:pt idx="35">
                  <c:v>6.466727716727717</c:v>
                </c:pt>
                <c:pt idx="36">
                  <c:v>6.518925518925519</c:v>
                </c:pt>
                <c:pt idx="37">
                  <c:v>6.571123321123321</c:v>
                </c:pt>
                <c:pt idx="38">
                  <c:v>6.623321123321123</c:v>
                </c:pt>
                <c:pt idx="39">
                  <c:v>6.675518925518925</c:v>
                </c:pt>
                <c:pt idx="40">
                  <c:v>6.727716727716727</c:v>
                </c:pt>
                <c:pt idx="41">
                  <c:v>6.779914529914531</c:v>
                </c:pt>
                <c:pt idx="42">
                  <c:v>6.832112332112331</c:v>
                </c:pt>
                <c:pt idx="43">
                  <c:v>6.884310134310134</c:v>
                </c:pt>
                <c:pt idx="44">
                  <c:v>6.936507936507936</c:v>
                </c:pt>
                <c:pt idx="45">
                  <c:v>6.988705738705738</c:v>
                </c:pt>
                <c:pt idx="46">
                  <c:v>7.040903540903541</c:v>
                </c:pt>
                <c:pt idx="47">
                  <c:v>7.093101343101343</c:v>
                </c:pt>
                <c:pt idx="48">
                  <c:v>7.145299145299145</c:v>
                </c:pt>
                <c:pt idx="49">
                  <c:v>7.197496947496947</c:v>
                </c:pt>
                <c:pt idx="50">
                  <c:v>7.24969474969475</c:v>
                </c:pt>
                <c:pt idx="51">
                  <c:v>7.301892551892552</c:v>
                </c:pt>
                <c:pt idx="52">
                  <c:v>7.354090354090354</c:v>
                </c:pt>
                <c:pt idx="53">
                  <c:v>7.406288156288156</c:v>
                </c:pt>
                <c:pt idx="54">
                  <c:v>7.458485958485958</c:v>
                </c:pt>
                <c:pt idx="55">
                  <c:v>7.51068376068376</c:v>
                </c:pt>
                <c:pt idx="56">
                  <c:v>7.562881562881562</c:v>
                </c:pt>
                <c:pt idx="57">
                  <c:v>7.615079365079366</c:v>
                </c:pt>
                <c:pt idx="58">
                  <c:v>7.667277167277168</c:v>
                </c:pt>
                <c:pt idx="59">
                  <c:v>7.719474969474968</c:v>
                </c:pt>
                <c:pt idx="60">
                  <c:v>7.771672771672772</c:v>
                </c:pt>
                <c:pt idx="61">
                  <c:v>7.823870573870574</c:v>
                </c:pt>
                <c:pt idx="62">
                  <c:v>7.876068376068377</c:v>
                </c:pt>
                <c:pt idx="63">
                  <c:v>7.928266178266178</c:v>
                </c:pt>
                <c:pt idx="64">
                  <c:v>7.98046398046398</c:v>
                </c:pt>
                <c:pt idx="65">
                  <c:v>8.032661782661782</c:v>
                </c:pt>
                <c:pt idx="66">
                  <c:v>8.084859584859585</c:v>
                </c:pt>
                <c:pt idx="67">
                  <c:v>8.137057387057386</c:v>
                </c:pt>
                <c:pt idx="68">
                  <c:v>8.189255189255189</c:v>
                </c:pt>
                <c:pt idx="69">
                  <c:v>8.241452991452991</c:v>
                </c:pt>
                <c:pt idx="70">
                  <c:v>8.293650793650793</c:v>
                </c:pt>
                <c:pt idx="71">
                  <c:v>8.345848595848596</c:v>
                </c:pt>
                <c:pt idx="72">
                  <c:v>8.398046398046397</c:v>
                </c:pt>
                <c:pt idx="73">
                  <c:v>8.450244200244201</c:v>
                </c:pt>
                <c:pt idx="74">
                  <c:v>8.502442002442</c:v>
                </c:pt>
                <c:pt idx="75">
                  <c:v>8.554639804639805</c:v>
                </c:pt>
                <c:pt idx="76">
                  <c:v>8.606837606837606</c:v>
                </c:pt>
                <c:pt idx="77">
                  <c:v>8.65903540903541</c:v>
                </c:pt>
                <c:pt idx="78">
                  <c:v>8.71123321123321</c:v>
                </c:pt>
                <c:pt idx="79">
                  <c:v>8.763431013431013</c:v>
                </c:pt>
                <c:pt idx="80">
                  <c:v>8.815628815628815</c:v>
                </c:pt>
                <c:pt idx="81">
                  <c:v>8.86782661782662</c:v>
                </c:pt>
                <c:pt idx="82">
                  <c:v>8.920024420024419</c:v>
                </c:pt>
                <c:pt idx="83">
                  <c:v>8.972222222222223</c:v>
                </c:pt>
                <c:pt idx="84">
                  <c:v>9.024420024420024</c:v>
                </c:pt>
                <c:pt idx="85">
                  <c:v>9.076617826617825</c:v>
                </c:pt>
                <c:pt idx="86">
                  <c:v>9.128815628815628</c:v>
                </c:pt>
                <c:pt idx="87">
                  <c:v>9.181013431013431</c:v>
                </c:pt>
                <c:pt idx="88">
                  <c:v>9.233211233211234</c:v>
                </c:pt>
                <c:pt idx="89">
                  <c:v>9.285409035409035</c:v>
                </c:pt>
                <c:pt idx="90">
                  <c:v>9.337606837606836</c:v>
                </c:pt>
                <c:pt idx="91">
                  <c:v>9.389804639804641</c:v>
                </c:pt>
                <c:pt idx="92">
                  <c:v>9.442002442002442</c:v>
                </c:pt>
                <c:pt idx="93">
                  <c:v>9.494200244200243</c:v>
                </c:pt>
                <c:pt idx="94">
                  <c:v>9.546398046398046</c:v>
                </c:pt>
                <c:pt idx="95">
                  <c:v>9.59859584859585</c:v>
                </c:pt>
                <c:pt idx="96">
                  <c:v>9.650793650793652</c:v>
                </c:pt>
                <c:pt idx="97">
                  <c:v>9.702991452991453</c:v>
                </c:pt>
                <c:pt idx="98">
                  <c:v>9.755189255189254</c:v>
                </c:pt>
                <c:pt idx="99">
                  <c:v>9.807387057387059</c:v>
                </c:pt>
                <c:pt idx="100">
                  <c:v>9.859584859584858</c:v>
                </c:pt>
                <c:pt idx="101">
                  <c:v>9.911782661782663</c:v>
                </c:pt>
                <c:pt idx="102">
                  <c:v>9.963980463980464</c:v>
                </c:pt>
                <c:pt idx="103">
                  <c:v>10.016178266178267</c:v>
                </c:pt>
                <c:pt idx="104">
                  <c:v>10.068376068376068</c:v>
                </c:pt>
                <c:pt idx="105">
                  <c:v>10.12057387057387</c:v>
                </c:pt>
                <c:pt idx="106">
                  <c:v>10.172771672771672</c:v>
                </c:pt>
                <c:pt idx="107">
                  <c:v>10.224969474969475</c:v>
                </c:pt>
                <c:pt idx="108">
                  <c:v>10.277167277167276</c:v>
                </c:pt>
                <c:pt idx="109">
                  <c:v>10.329365079365079</c:v>
                </c:pt>
                <c:pt idx="110">
                  <c:v>10.381562881562882</c:v>
                </c:pt>
                <c:pt idx="111">
                  <c:v>10.433760683760683</c:v>
                </c:pt>
                <c:pt idx="112">
                  <c:v>10.485958485958486</c:v>
                </c:pt>
                <c:pt idx="113">
                  <c:v>10.538156288156287</c:v>
                </c:pt>
                <c:pt idx="114">
                  <c:v>10.590354090354092</c:v>
                </c:pt>
                <c:pt idx="115">
                  <c:v>10.642551892551891</c:v>
                </c:pt>
                <c:pt idx="116">
                  <c:v>10.694749694749694</c:v>
                </c:pt>
                <c:pt idx="117">
                  <c:v>10.746947496947495</c:v>
                </c:pt>
                <c:pt idx="118">
                  <c:v>10.7991452991453</c:v>
                </c:pt>
                <c:pt idx="119">
                  <c:v>10.8513431013431</c:v>
                </c:pt>
                <c:pt idx="120">
                  <c:v>10.903540903540904</c:v>
                </c:pt>
                <c:pt idx="121">
                  <c:v>10.955738705738705</c:v>
                </c:pt>
                <c:pt idx="122">
                  <c:v>11.007936507936506</c:v>
                </c:pt>
                <c:pt idx="123">
                  <c:v>11.060134310134309</c:v>
                </c:pt>
                <c:pt idx="124">
                  <c:v>11.112332112332114</c:v>
                </c:pt>
                <c:pt idx="125">
                  <c:v>11.164529914529915</c:v>
                </c:pt>
                <c:pt idx="126">
                  <c:v>11.216727716727716</c:v>
                </c:pt>
                <c:pt idx="127">
                  <c:v>11.268925518925519</c:v>
                </c:pt>
                <c:pt idx="128">
                  <c:v>11.32112332112332</c:v>
                </c:pt>
                <c:pt idx="129">
                  <c:v>11.373321123321123</c:v>
                </c:pt>
                <c:pt idx="130">
                  <c:v>11.425518925518924</c:v>
                </c:pt>
                <c:pt idx="131">
                  <c:v>11.477716727716727</c:v>
                </c:pt>
                <c:pt idx="132">
                  <c:v>11.52991452991453</c:v>
                </c:pt>
                <c:pt idx="133">
                  <c:v>11.582112332112333</c:v>
                </c:pt>
                <c:pt idx="134">
                  <c:v>11.634310134310134</c:v>
                </c:pt>
                <c:pt idx="135">
                  <c:v>11.686507936507937</c:v>
                </c:pt>
                <c:pt idx="136">
                  <c:v>11.73870573870574</c:v>
                </c:pt>
                <c:pt idx="137">
                  <c:v>11.79090354090354</c:v>
                </c:pt>
                <c:pt idx="138">
                  <c:v>11.843101343101344</c:v>
                </c:pt>
                <c:pt idx="139">
                  <c:v>11.895299145299147</c:v>
                </c:pt>
                <c:pt idx="140">
                  <c:v>11.947496947496948</c:v>
                </c:pt>
                <c:pt idx="141">
                  <c:v>11.999694749694747</c:v>
                </c:pt>
                <c:pt idx="142">
                  <c:v>12.051892551892552</c:v>
                </c:pt>
                <c:pt idx="143">
                  <c:v>12.104090354090353</c:v>
                </c:pt>
                <c:pt idx="144">
                  <c:v>12.156288156288158</c:v>
                </c:pt>
                <c:pt idx="145">
                  <c:v>12.208485958485957</c:v>
                </c:pt>
                <c:pt idx="146">
                  <c:v>12.260683760683762</c:v>
                </c:pt>
                <c:pt idx="147">
                  <c:v>12.312881562881563</c:v>
                </c:pt>
                <c:pt idx="148">
                  <c:v>12.365079365079366</c:v>
                </c:pt>
                <c:pt idx="149">
                  <c:v>12.417277167277167</c:v>
                </c:pt>
                <c:pt idx="150">
                  <c:v>12.46947496947497</c:v>
                </c:pt>
                <c:pt idx="151">
                  <c:v>12.52167277167277</c:v>
                </c:pt>
                <c:pt idx="152">
                  <c:v>12.573870573870574</c:v>
                </c:pt>
                <c:pt idx="153">
                  <c:v>12.626068376068375</c:v>
                </c:pt>
                <c:pt idx="154">
                  <c:v>12.678266178266178</c:v>
                </c:pt>
                <c:pt idx="155">
                  <c:v>12.73046398046398</c:v>
                </c:pt>
                <c:pt idx="156">
                  <c:v>12.782661782661782</c:v>
                </c:pt>
                <c:pt idx="157">
                  <c:v>12.834859584859585</c:v>
                </c:pt>
                <c:pt idx="158">
                  <c:v>12.887057387057387</c:v>
                </c:pt>
                <c:pt idx="159">
                  <c:v>12.93925518925519</c:v>
                </c:pt>
                <c:pt idx="160">
                  <c:v>12.99145299145299</c:v>
                </c:pt>
                <c:pt idx="161">
                  <c:v>13.043650793650794</c:v>
                </c:pt>
                <c:pt idx="162">
                  <c:v>13.095848595848597</c:v>
                </c:pt>
                <c:pt idx="163">
                  <c:v>13.148046398046398</c:v>
                </c:pt>
                <c:pt idx="164">
                  <c:v>13.200244200244198</c:v>
                </c:pt>
                <c:pt idx="165">
                  <c:v>13.252442002442002</c:v>
                </c:pt>
                <c:pt idx="166">
                  <c:v>13.304639804639804</c:v>
                </c:pt>
                <c:pt idx="167">
                  <c:v>13.356837606837605</c:v>
                </c:pt>
                <c:pt idx="168">
                  <c:v>13.409035409035408</c:v>
                </c:pt>
                <c:pt idx="169">
                  <c:v>13.461233211233212</c:v>
                </c:pt>
                <c:pt idx="170">
                  <c:v>13.513431013431013</c:v>
                </c:pt>
                <c:pt idx="171">
                  <c:v>13.565628815628815</c:v>
                </c:pt>
                <c:pt idx="172">
                  <c:v>13.617826617826617</c:v>
                </c:pt>
                <c:pt idx="173">
                  <c:v>13.670024420024422</c:v>
                </c:pt>
                <c:pt idx="174">
                  <c:v>13.722222222222221</c:v>
                </c:pt>
                <c:pt idx="175">
                  <c:v>13.774420024420024</c:v>
                </c:pt>
                <c:pt idx="176">
                  <c:v>13.826617826617825</c:v>
                </c:pt>
                <c:pt idx="177">
                  <c:v>13.878815628815628</c:v>
                </c:pt>
                <c:pt idx="178">
                  <c:v>13.93101343101343</c:v>
                </c:pt>
                <c:pt idx="179">
                  <c:v>13.983211233211232</c:v>
                </c:pt>
                <c:pt idx="180">
                  <c:v>14.035409035409035</c:v>
                </c:pt>
                <c:pt idx="181">
                  <c:v>14.087606837606838</c:v>
                </c:pt>
                <c:pt idx="182">
                  <c:v>14.13980463980464</c:v>
                </c:pt>
                <c:pt idx="183">
                  <c:v>14.192002442002442</c:v>
                </c:pt>
                <c:pt idx="184">
                  <c:v>14.244200244200245</c:v>
                </c:pt>
                <c:pt idx="185">
                  <c:v>14.296398046398048</c:v>
                </c:pt>
                <c:pt idx="186">
                  <c:v>14.34859584859585</c:v>
                </c:pt>
                <c:pt idx="187">
                  <c:v>14.400793650793648</c:v>
                </c:pt>
                <c:pt idx="188">
                  <c:v>14.452991452991451</c:v>
                </c:pt>
                <c:pt idx="189">
                  <c:v>14.505189255189253</c:v>
                </c:pt>
                <c:pt idx="190">
                  <c:v>14.557387057387055</c:v>
                </c:pt>
                <c:pt idx="191">
                  <c:v>14.60958485958486</c:v>
                </c:pt>
                <c:pt idx="192">
                  <c:v>14.661782661782663</c:v>
                </c:pt>
                <c:pt idx="193">
                  <c:v>14.713980463980464</c:v>
                </c:pt>
                <c:pt idx="194">
                  <c:v>14.766178266178267</c:v>
                </c:pt>
                <c:pt idx="195">
                  <c:v>14.818376068376068</c:v>
                </c:pt>
                <c:pt idx="196">
                  <c:v>14.870573870573871</c:v>
                </c:pt>
                <c:pt idx="197">
                  <c:v>14.922771672771672</c:v>
                </c:pt>
                <c:pt idx="198">
                  <c:v>14.974969474969475</c:v>
                </c:pt>
                <c:pt idx="199">
                  <c:v>15.027167277167276</c:v>
                </c:pt>
                <c:pt idx="200">
                  <c:v>15.079365079365076</c:v>
                </c:pt>
              </c:numCache>
            </c:numRef>
          </c:xVal>
          <c:yVal>
            <c:numRef>
              <c:f>Luc_keo!$L$2:$L$202</c:f>
              <c:numCache>
                <c:formatCode>General</c:formatCode>
                <c:ptCount val="201"/>
                <c:pt idx="0">
                  <c:v>0.2856256349984937</c:v>
                </c:pt>
                <c:pt idx="1">
                  <c:v>0.2866294068893902</c:v>
                </c:pt>
                <c:pt idx="2">
                  <c:v>0.28762526456176774</c:v>
                </c:pt>
                <c:pt idx="3">
                  <c:v>0.28861320801562634</c:v>
                </c:pt>
                <c:pt idx="4">
                  <c:v>0.2895932372509662</c:v>
                </c:pt>
                <c:pt idx="5">
                  <c:v>0.29056535226778674</c:v>
                </c:pt>
                <c:pt idx="6">
                  <c:v>0.2915295530660885</c:v>
                </c:pt>
                <c:pt idx="7">
                  <c:v>0.29248583964587127</c:v>
                </c:pt>
                <c:pt idx="8">
                  <c:v>0.29343421200713515</c:v>
                </c:pt>
                <c:pt idx="9">
                  <c:v>0.29437467014988</c:v>
                </c:pt>
                <c:pt idx="10">
                  <c:v>0.295307214074106</c:v>
                </c:pt>
                <c:pt idx="11">
                  <c:v>0.29623184377981304</c:v>
                </c:pt>
                <c:pt idx="12">
                  <c:v>0.297148559267001</c:v>
                </c:pt>
                <c:pt idx="13">
                  <c:v>0.29805736053567017</c:v>
                </c:pt>
                <c:pt idx="14">
                  <c:v>0.29895824758582024</c:v>
                </c:pt>
                <c:pt idx="15">
                  <c:v>0.2998512204174514</c:v>
                </c:pt>
                <c:pt idx="16">
                  <c:v>0.3007362790305637</c:v>
                </c:pt>
                <c:pt idx="17">
                  <c:v>0.30161342342515696</c:v>
                </c:pt>
                <c:pt idx="18">
                  <c:v>0.30248265360123133</c:v>
                </c:pt>
                <c:pt idx="19">
                  <c:v>0.3033439695587867</c:v>
                </c:pt>
                <c:pt idx="20">
                  <c:v>0.3041973712978231</c:v>
                </c:pt>
                <c:pt idx="21">
                  <c:v>0.3050428588183406</c:v>
                </c:pt>
                <c:pt idx="22">
                  <c:v>0.3058804321203391</c:v>
                </c:pt>
                <c:pt idx="23">
                  <c:v>0.3067100912038187</c:v>
                </c:pt>
                <c:pt idx="24">
                  <c:v>0.3075318360687794</c:v>
                </c:pt>
                <c:pt idx="25">
                  <c:v>0.30834566671522107</c:v>
                </c:pt>
                <c:pt idx="26">
                  <c:v>0.30915158314314367</c:v>
                </c:pt>
                <c:pt idx="27">
                  <c:v>0.30994958535254735</c:v>
                </c:pt>
                <c:pt idx="28">
                  <c:v>0.3107396733434322</c:v>
                </c:pt>
                <c:pt idx="29">
                  <c:v>0.3115218471157981</c:v>
                </c:pt>
                <c:pt idx="30">
                  <c:v>0.31229610666964497</c:v>
                </c:pt>
                <c:pt idx="31">
                  <c:v>0.31306245200497296</c:v>
                </c:pt>
                <c:pt idx="32">
                  <c:v>0.3138208831217819</c:v>
                </c:pt>
                <c:pt idx="33">
                  <c:v>0.31457140002007206</c:v>
                </c:pt>
                <c:pt idx="34">
                  <c:v>0.315314002699843</c:v>
                </c:pt>
                <c:pt idx="35">
                  <c:v>0.3160486911610953</c:v>
                </c:pt>
                <c:pt idx="36">
                  <c:v>0.3167754654038285</c:v>
                </c:pt>
                <c:pt idx="37">
                  <c:v>0.31749432542804273</c:v>
                </c:pt>
                <c:pt idx="38">
                  <c:v>0.31820527123373804</c:v>
                </c:pt>
                <c:pt idx="39">
                  <c:v>0.3189083028209143</c:v>
                </c:pt>
                <c:pt idx="40">
                  <c:v>0.3196034201895718</c:v>
                </c:pt>
                <c:pt idx="41">
                  <c:v>0.32029062333971015</c:v>
                </c:pt>
                <c:pt idx="42">
                  <c:v>0.32096991227132965</c:v>
                </c:pt>
                <c:pt idx="43">
                  <c:v>0.32164128698443023</c:v>
                </c:pt>
                <c:pt idx="44">
                  <c:v>0.3223047474790116</c:v>
                </c:pt>
                <c:pt idx="45">
                  <c:v>0.32296029375507435</c:v>
                </c:pt>
                <c:pt idx="46">
                  <c:v>0.3236079258126181</c:v>
                </c:pt>
                <c:pt idx="47">
                  <c:v>0.3242476436516427</c:v>
                </c:pt>
                <c:pt idx="48">
                  <c:v>0.3248794472721485</c:v>
                </c:pt>
                <c:pt idx="49">
                  <c:v>0.3255033366741354</c:v>
                </c:pt>
                <c:pt idx="50">
                  <c:v>0.32611931185760334</c:v>
                </c:pt>
                <c:pt idx="51">
                  <c:v>0.3267273728225522</c:v>
                </c:pt>
                <c:pt idx="52">
                  <c:v>0.3273275195689821</c:v>
                </c:pt>
                <c:pt idx="53">
                  <c:v>0.32791975209689317</c:v>
                </c:pt>
                <c:pt idx="54">
                  <c:v>0.3285040704062852</c:v>
                </c:pt>
                <c:pt idx="55">
                  <c:v>0.3290804744971583</c:v>
                </c:pt>
                <c:pt idx="56">
                  <c:v>0.32964896436951246</c:v>
                </c:pt>
                <c:pt idx="57">
                  <c:v>0.33020954002334774</c:v>
                </c:pt>
                <c:pt idx="58">
                  <c:v>0.3307622014586639</c:v>
                </c:pt>
                <c:pt idx="59">
                  <c:v>0.33130694867546123</c:v>
                </c:pt>
                <c:pt idx="60">
                  <c:v>0.3318437816737395</c:v>
                </c:pt>
                <c:pt idx="61">
                  <c:v>0.3323727004534989</c:v>
                </c:pt>
                <c:pt idx="62">
                  <c:v>0.33289370501473936</c:v>
                </c:pt>
                <c:pt idx="63">
                  <c:v>0.33340679535746093</c:v>
                </c:pt>
                <c:pt idx="64">
                  <c:v>0.33391197148166346</c:v>
                </c:pt>
                <c:pt idx="65">
                  <c:v>0.334409233387347</c:v>
                </c:pt>
                <c:pt idx="66">
                  <c:v>0.3348985810745117</c:v>
                </c:pt>
                <c:pt idx="67">
                  <c:v>0.3353800145431573</c:v>
                </c:pt>
                <c:pt idx="68">
                  <c:v>0.3358535337932841</c:v>
                </c:pt>
                <c:pt idx="69">
                  <c:v>0.3363191388248918</c:v>
                </c:pt>
                <c:pt idx="70">
                  <c:v>0.3367768296379807</c:v>
                </c:pt>
                <c:pt idx="71">
                  <c:v>0.3372266062325505</c:v>
                </c:pt>
                <c:pt idx="72">
                  <c:v>0.33766846860860145</c:v>
                </c:pt>
                <c:pt idx="73">
                  <c:v>0.33810241676613345</c:v>
                </c:pt>
                <c:pt idx="74">
                  <c:v>0.33852845070514637</c:v>
                </c:pt>
                <c:pt idx="75">
                  <c:v>0.33894657042564047</c:v>
                </c:pt>
                <c:pt idx="76">
                  <c:v>0.3393567759276157</c:v>
                </c:pt>
                <c:pt idx="77">
                  <c:v>0.33975906721107174</c:v>
                </c:pt>
                <c:pt idx="78">
                  <c:v>0.34015344427600896</c:v>
                </c:pt>
                <c:pt idx="79">
                  <c:v>0.3405399071224273</c:v>
                </c:pt>
                <c:pt idx="80">
                  <c:v>0.34091845575032653</c:v>
                </c:pt>
                <c:pt idx="81">
                  <c:v>0.3412890901597069</c:v>
                </c:pt>
                <c:pt idx="82">
                  <c:v>0.3416518103505684</c:v>
                </c:pt>
                <c:pt idx="83">
                  <c:v>0.3420066163229108</c:v>
                </c:pt>
                <c:pt idx="84">
                  <c:v>0.3423535080767343</c:v>
                </c:pt>
                <c:pt idx="85">
                  <c:v>0.3426924856120387</c:v>
                </c:pt>
                <c:pt idx="86">
                  <c:v>0.3430235489288245</c:v>
                </c:pt>
                <c:pt idx="87">
                  <c:v>0.343346698027091</c:v>
                </c:pt>
                <c:pt idx="88">
                  <c:v>0.3436619329068387</c:v>
                </c:pt>
                <c:pt idx="89">
                  <c:v>0.34396925356806746</c:v>
                </c:pt>
                <c:pt idx="90">
                  <c:v>0.34426866001077716</c:v>
                </c:pt>
                <c:pt idx="91">
                  <c:v>0.3445601522349681</c:v>
                </c:pt>
                <c:pt idx="92">
                  <c:v>0.34484373024063997</c:v>
                </c:pt>
                <c:pt idx="93">
                  <c:v>0.34511939402779296</c:v>
                </c:pt>
                <c:pt idx="94">
                  <c:v>0.34538714359642686</c:v>
                </c:pt>
                <c:pt idx="95">
                  <c:v>0.34564697894654184</c:v>
                </c:pt>
                <c:pt idx="96">
                  <c:v>0.345898900078138</c:v>
                </c:pt>
                <c:pt idx="97">
                  <c:v>0.3461429069912152</c:v>
                </c:pt>
                <c:pt idx="98">
                  <c:v>0.3463789996857732</c:v>
                </c:pt>
                <c:pt idx="99">
                  <c:v>0.3466071781618124</c:v>
                </c:pt>
                <c:pt idx="100">
                  <c:v>0.34682744241933267</c:v>
                </c:pt>
                <c:pt idx="101">
                  <c:v>0.347039792458334</c:v>
                </c:pt>
                <c:pt idx="102">
                  <c:v>0.34724422827881646</c:v>
                </c:pt>
                <c:pt idx="103">
                  <c:v>0.3474407498807797</c:v>
                </c:pt>
                <c:pt idx="104">
                  <c:v>0.3476293572642242</c:v>
                </c:pt>
                <c:pt idx="105">
                  <c:v>0.3478100504291498</c:v>
                </c:pt>
                <c:pt idx="106">
                  <c:v>0.3479828293755563</c:v>
                </c:pt>
                <c:pt idx="107">
                  <c:v>0.3481476941034438</c:v>
                </c:pt>
                <c:pt idx="108">
                  <c:v>0.3483046446128126</c:v>
                </c:pt>
                <c:pt idx="109">
                  <c:v>0.34845368090366236</c:v>
                </c:pt>
                <c:pt idx="110">
                  <c:v>0.348594802975993</c:v>
                </c:pt>
                <c:pt idx="111">
                  <c:v>0.3487280108298047</c:v>
                </c:pt>
                <c:pt idx="112">
                  <c:v>0.34885330446509766</c:v>
                </c:pt>
                <c:pt idx="113">
                  <c:v>0.3489706838818716</c:v>
                </c:pt>
                <c:pt idx="114">
                  <c:v>0.3490801490801264</c:v>
                </c:pt>
                <c:pt idx="115">
                  <c:v>0.3491817000598624</c:v>
                </c:pt>
                <c:pt idx="116">
                  <c:v>0.3492753368210795</c:v>
                </c:pt>
                <c:pt idx="117">
                  <c:v>0.3493610593637777</c:v>
                </c:pt>
                <c:pt idx="118">
                  <c:v>0.34943886768795673</c:v>
                </c:pt>
                <c:pt idx="119">
                  <c:v>0.34950876179361695</c:v>
                </c:pt>
                <c:pt idx="120">
                  <c:v>0.34957074168075813</c:v>
                </c:pt>
                <c:pt idx="121">
                  <c:v>0.3496248073493804</c:v>
                </c:pt>
                <c:pt idx="122">
                  <c:v>0.3496709587994836</c:v>
                </c:pt>
                <c:pt idx="123">
                  <c:v>0.349709196031068</c:v>
                </c:pt>
                <c:pt idx="124">
                  <c:v>0.34973951904413353</c:v>
                </c:pt>
                <c:pt idx="125">
                  <c:v>0.34976192783867993</c:v>
                </c:pt>
                <c:pt idx="126">
                  <c:v>0.3497764224147076</c:v>
                </c:pt>
                <c:pt idx="127">
                  <c:v>0.349783002772216</c:v>
                </c:pt>
                <c:pt idx="128">
                  <c:v>0.34978166891120566</c:v>
                </c:pt>
                <c:pt idx="129">
                  <c:v>0.34977242083167615</c:v>
                </c:pt>
                <c:pt idx="130">
                  <c:v>0.349755258533628</c:v>
                </c:pt>
                <c:pt idx="131">
                  <c:v>0.34973018201706085</c:v>
                </c:pt>
                <c:pt idx="132">
                  <c:v>0.3496971912819746</c:v>
                </c:pt>
                <c:pt idx="133">
                  <c:v>0.34965628632836937</c:v>
                </c:pt>
                <c:pt idx="134">
                  <c:v>0.3496074671562453</c:v>
                </c:pt>
                <c:pt idx="135">
                  <c:v>0.34955073376560214</c:v>
                </c:pt>
                <c:pt idx="136">
                  <c:v>0.3494860861564402</c:v>
                </c:pt>
                <c:pt idx="137">
                  <c:v>0.34941352432875933</c:v>
                </c:pt>
                <c:pt idx="138">
                  <c:v>0.3493330482825592</c:v>
                </c:pt>
                <c:pt idx="139">
                  <c:v>0.34924465801784044</c:v>
                </c:pt>
                <c:pt idx="140">
                  <c:v>0.34914835353460266</c:v>
                </c:pt>
                <c:pt idx="141">
                  <c:v>0.34904413483284585</c:v>
                </c:pt>
                <c:pt idx="142">
                  <c:v>0.34893200191257007</c:v>
                </c:pt>
                <c:pt idx="143">
                  <c:v>0.3488119547737754</c:v>
                </c:pt>
                <c:pt idx="144">
                  <c:v>0.3486839934164618</c:v>
                </c:pt>
                <c:pt idx="145">
                  <c:v>0.3485481178406293</c:v>
                </c:pt>
                <c:pt idx="146">
                  <c:v>0.3484043280462777</c:v>
                </c:pt>
                <c:pt idx="147">
                  <c:v>0.3482526240334072</c:v>
                </c:pt>
                <c:pt idx="148">
                  <c:v>0.3480930058020178</c:v>
                </c:pt>
                <c:pt idx="149">
                  <c:v>0.34792547335210944</c:v>
                </c:pt>
                <c:pt idx="150">
                  <c:v>0.347750026683682</c:v>
                </c:pt>
                <c:pt idx="151">
                  <c:v>0.3475666657967358</c:v>
                </c:pt>
                <c:pt idx="152">
                  <c:v>0.34737539069127055</c:v>
                </c:pt>
                <c:pt idx="153">
                  <c:v>0.3471762013672864</c:v>
                </c:pt>
                <c:pt idx="154">
                  <c:v>0.3469690978247832</c:v>
                </c:pt>
                <c:pt idx="155">
                  <c:v>0.3467540800637611</c:v>
                </c:pt>
                <c:pt idx="156">
                  <c:v>0.34653114808422014</c:v>
                </c:pt>
                <c:pt idx="157">
                  <c:v>0.34630030188616</c:v>
                </c:pt>
                <c:pt idx="158">
                  <c:v>0.3460615414695811</c:v>
                </c:pt>
                <c:pt idx="159">
                  <c:v>0.3458148668344832</c:v>
                </c:pt>
                <c:pt idx="160">
                  <c:v>0.34556027798086636</c:v>
                </c:pt>
                <c:pt idx="161">
                  <c:v>0.34529777490873054</c:v>
                </c:pt>
                <c:pt idx="162">
                  <c:v>0.3450273576180757</c:v>
                </c:pt>
                <c:pt idx="163">
                  <c:v>0.34474902610890207</c:v>
                </c:pt>
                <c:pt idx="164">
                  <c:v>0.3444627803812093</c:v>
                </c:pt>
                <c:pt idx="165">
                  <c:v>0.34416862043499774</c:v>
                </c:pt>
                <c:pt idx="166">
                  <c:v>0.3438665462702672</c:v>
                </c:pt>
                <c:pt idx="167">
                  <c:v>0.34355655788701767</c:v>
                </c:pt>
                <c:pt idx="168">
                  <c:v>0.34323865528524916</c:v>
                </c:pt>
                <c:pt idx="169">
                  <c:v>0.34291283846496184</c:v>
                </c:pt>
                <c:pt idx="170">
                  <c:v>0.34257910742615544</c:v>
                </c:pt>
                <c:pt idx="171">
                  <c:v>0.34223746216883005</c:v>
                </c:pt>
                <c:pt idx="172">
                  <c:v>0.34188790269298586</c:v>
                </c:pt>
                <c:pt idx="173">
                  <c:v>0.34153042899862257</c:v>
                </c:pt>
                <c:pt idx="174">
                  <c:v>0.3411650410857403</c:v>
                </c:pt>
                <c:pt idx="175">
                  <c:v>0.3407917389543393</c:v>
                </c:pt>
                <c:pt idx="176">
                  <c:v>0.34041052260441906</c:v>
                </c:pt>
                <c:pt idx="177">
                  <c:v>0.34002139203598</c:v>
                </c:pt>
                <c:pt idx="178">
                  <c:v>0.33962434724902213</c:v>
                </c:pt>
                <c:pt idx="179">
                  <c:v>0.3392193882435452</c:v>
                </c:pt>
                <c:pt idx="180">
                  <c:v>0.33880651501954917</c:v>
                </c:pt>
                <c:pt idx="181">
                  <c:v>0.3383857275770344</c:v>
                </c:pt>
                <c:pt idx="182">
                  <c:v>0.33795702591600046</c:v>
                </c:pt>
                <c:pt idx="183">
                  <c:v>0.3375204100364478</c:v>
                </c:pt>
                <c:pt idx="184">
                  <c:v>0.337075879938376</c:v>
                </c:pt>
                <c:pt idx="185">
                  <c:v>0.3366234356217855</c:v>
                </c:pt>
                <c:pt idx="186">
                  <c:v>0.33616307708667575</c:v>
                </c:pt>
                <c:pt idx="187">
                  <c:v>0.3356948043330473</c:v>
                </c:pt>
                <c:pt idx="188">
                  <c:v>0.3352186173608997</c:v>
                </c:pt>
                <c:pt idx="189">
                  <c:v>0.33473451617023336</c:v>
                </c:pt>
                <c:pt idx="190">
                  <c:v>0.33424250076104783</c:v>
                </c:pt>
                <c:pt idx="191">
                  <c:v>0.33374257113334355</c:v>
                </c:pt>
                <c:pt idx="192">
                  <c:v>0.3332347272871201</c:v>
                </c:pt>
                <c:pt idx="193">
                  <c:v>0.3327189692223778</c:v>
                </c:pt>
                <c:pt idx="194">
                  <c:v>0.3321952969391166</c:v>
                </c:pt>
                <c:pt idx="195">
                  <c:v>0.3316637104373365</c:v>
                </c:pt>
                <c:pt idx="196">
                  <c:v>0.3311242097170373</c:v>
                </c:pt>
                <c:pt idx="197">
                  <c:v>0.33057679477821933</c:v>
                </c:pt>
                <c:pt idx="198">
                  <c:v>0.33002146562088225</c:v>
                </c:pt>
                <c:pt idx="199">
                  <c:v>0.3294582222450263</c:v>
                </c:pt>
                <c:pt idx="200">
                  <c:v>0.3288870646506513</c:v>
                </c:pt>
              </c:numCache>
            </c:numRef>
          </c:yVal>
        </c:ser>
        <c:ser>
          <c:idx val="1"/>
          <c:order val="1"/>
          <c:tx>
            <c:v>Số 2</c:v>
          </c:tx>
          <c:marker>
            <c:symbol val="none"/>
          </c:marker>
          <c:xVal>
            <c:numRef>
              <c:f>Luc_keo!$E$203:$E$403</c:f>
              <c:numCache>
                <c:formatCode>General</c:formatCode>
                <c:ptCount val="201"/>
                <c:pt idx="0">
                  <c:v>7.546997477962866</c:v>
                </c:pt>
                <c:pt idx="1">
                  <c:v>7.631901199589947</c:v>
                </c:pt>
                <c:pt idx="2">
                  <c:v>7.71680492121703</c:v>
                </c:pt>
                <c:pt idx="3">
                  <c:v>7.801708642844112</c:v>
                </c:pt>
                <c:pt idx="4">
                  <c:v>7.886612364471195</c:v>
                </c:pt>
                <c:pt idx="5">
                  <c:v>7.971516086098276</c:v>
                </c:pt>
                <c:pt idx="6">
                  <c:v>8.056419807725359</c:v>
                </c:pt>
                <c:pt idx="7">
                  <c:v>8.141323529352439</c:v>
                </c:pt>
                <c:pt idx="8">
                  <c:v>8.226227250979521</c:v>
                </c:pt>
                <c:pt idx="9">
                  <c:v>8.311130972606605</c:v>
                </c:pt>
                <c:pt idx="10">
                  <c:v>8.396034694233688</c:v>
                </c:pt>
                <c:pt idx="11">
                  <c:v>8.480938415860772</c:v>
                </c:pt>
                <c:pt idx="12">
                  <c:v>8.565842137487852</c:v>
                </c:pt>
                <c:pt idx="13">
                  <c:v>8.650745859114934</c:v>
                </c:pt>
                <c:pt idx="14">
                  <c:v>8.735649580742015</c:v>
                </c:pt>
                <c:pt idx="15">
                  <c:v>8.820553302369099</c:v>
                </c:pt>
                <c:pt idx="16">
                  <c:v>8.90545702399618</c:v>
                </c:pt>
                <c:pt idx="17">
                  <c:v>8.990360745623265</c:v>
                </c:pt>
                <c:pt idx="18">
                  <c:v>9.075264467250346</c:v>
                </c:pt>
                <c:pt idx="19">
                  <c:v>9.160168188877428</c:v>
                </c:pt>
                <c:pt idx="20">
                  <c:v>9.24507191050451</c:v>
                </c:pt>
                <c:pt idx="21">
                  <c:v>9.32997563213159</c:v>
                </c:pt>
                <c:pt idx="22">
                  <c:v>9.414879353758675</c:v>
                </c:pt>
                <c:pt idx="23">
                  <c:v>9.499783075385755</c:v>
                </c:pt>
                <c:pt idx="24">
                  <c:v>9.58468679701284</c:v>
                </c:pt>
                <c:pt idx="25">
                  <c:v>9.66959051863992</c:v>
                </c:pt>
                <c:pt idx="26">
                  <c:v>9.754494240267004</c:v>
                </c:pt>
                <c:pt idx="27">
                  <c:v>9.839397961894086</c:v>
                </c:pt>
                <c:pt idx="28">
                  <c:v>9.924301683521168</c:v>
                </c:pt>
                <c:pt idx="29">
                  <c:v>10.00920540514825</c:v>
                </c:pt>
                <c:pt idx="30">
                  <c:v>10.094109126775331</c:v>
                </c:pt>
                <c:pt idx="31">
                  <c:v>10.179012848402413</c:v>
                </c:pt>
                <c:pt idx="32">
                  <c:v>10.263916570029497</c:v>
                </c:pt>
                <c:pt idx="33">
                  <c:v>10.34882029165658</c:v>
                </c:pt>
                <c:pt idx="34">
                  <c:v>10.43372401328366</c:v>
                </c:pt>
                <c:pt idx="35">
                  <c:v>10.518627734910744</c:v>
                </c:pt>
                <c:pt idx="36">
                  <c:v>10.603531456537826</c:v>
                </c:pt>
                <c:pt idx="37">
                  <c:v>10.688435178164907</c:v>
                </c:pt>
                <c:pt idx="38">
                  <c:v>10.77333889979199</c:v>
                </c:pt>
                <c:pt idx="39">
                  <c:v>10.858242621419073</c:v>
                </c:pt>
                <c:pt idx="40">
                  <c:v>10.943146343046156</c:v>
                </c:pt>
                <c:pt idx="41">
                  <c:v>11.028050064673238</c:v>
                </c:pt>
                <c:pt idx="42">
                  <c:v>11.112953786300318</c:v>
                </c:pt>
                <c:pt idx="43">
                  <c:v>11.1978575079274</c:v>
                </c:pt>
                <c:pt idx="44">
                  <c:v>11.282761229554483</c:v>
                </c:pt>
                <c:pt idx="45">
                  <c:v>11.367664951181565</c:v>
                </c:pt>
                <c:pt idx="46">
                  <c:v>11.452568672808647</c:v>
                </c:pt>
                <c:pt idx="47">
                  <c:v>11.537472394435731</c:v>
                </c:pt>
                <c:pt idx="48">
                  <c:v>11.622376116062812</c:v>
                </c:pt>
                <c:pt idx="49">
                  <c:v>11.707279837689894</c:v>
                </c:pt>
                <c:pt idx="50">
                  <c:v>11.792183559316976</c:v>
                </c:pt>
                <c:pt idx="51">
                  <c:v>11.877087280944059</c:v>
                </c:pt>
                <c:pt idx="52">
                  <c:v>11.961991002571141</c:v>
                </c:pt>
                <c:pt idx="53">
                  <c:v>12.046894724198223</c:v>
                </c:pt>
                <c:pt idx="54">
                  <c:v>12.131798445825307</c:v>
                </c:pt>
                <c:pt idx="55">
                  <c:v>12.216702167452388</c:v>
                </c:pt>
                <c:pt idx="56">
                  <c:v>12.30160588907947</c:v>
                </c:pt>
                <c:pt idx="57">
                  <c:v>12.386509610706552</c:v>
                </c:pt>
                <c:pt idx="58">
                  <c:v>12.471413332333636</c:v>
                </c:pt>
                <c:pt idx="59">
                  <c:v>12.556317053960715</c:v>
                </c:pt>
                <c:pt idx="60">
                  <c:v>12.641220775587799</c:v>
                </c:pt>
                <c:pt idx="61">
                  <c:v>12.726124497214881</c:v>
                </c:pt>
                <c:pt idx="62">
                  <c:v>12.811028218841965</c:v>
                </c:pt>
                <c:pt idx="63">
                  <c:v>12.895931940469046</c:v>
                </c:pt>
                <c:pt idx="64">
                  <c:v>12.980835662096128</c:v>
                </c:pt>
                <c:pt idx="65">
                  <c:v>13.06573938372321</c:v>
                </c:pt>
                <c:pt idx="66">
                  <c:v>13.150643105350293</c:v>
                </c:pt>
                <c:pt idx="67">
                  <c:v>13.235546826977373</c:v>
                </c:pt>
                <c:pt idx="68">
                  <c:v>13.320450548604455</c:v>
                </c:pt>
                <c:pt idx="69">
                  <c:v>13.405354270231541</c:v>
                </c:pt>
                <c:pt idx="70">
                  <c:v>13.490257991858622</c:v>
                </c:pt>
                <c:pt idx="71">
                  <c:v>13.575161713485704</c:v>
                </c:pt>
                <c:pt idx="72">
                  <c:v>13.660065435112786</c:v>
                </c:pt>
                <c:pt idx="73">
                  <c:v>13.744969156739868</c:v>
                </c:pt>
                <c:pt idx="74">
                  <c:v>13.829872878366949</c:v>
                </c:pt>
                <c:pt idx="75">
                  <c:v>13.914776599994031</c:v>
                </c:pt>
                <c:pt idx="76">
                  <c:v>13.999680321621117</c:v>
                </c:pt>
                <c:pt idx="77">
                  <c:v>14.084584043248197</c:v>
                </c:pt>
                <c:pt idx="78">
                  <c:v>14.16948776487528</c:v>
                </c:pt>
                <c:pt idx="79">
                  <c:v>14.254391486502362</c:v>
                </c:pt>
                <c:pt idx="80">
                  <c:v>14.339295208129444</c:v>
                </c:pt>
                <c:pt idx="81">
                  <c:v>14.424198929756528</c:v>
                </c:pt>
                <c:pt idx="82">
                  <c:v>14.509102651383609</c:v>
                </c:pt>
                <c:pt idx="83">
                  <c:v>14.594006373010691</c:v>
                </c:pt>
                <c:pt idx="84">
                  <c:v>14.678910094637772</c:v>
                </c:pt>
                <c:pt idx="85">
                  <c:v>14.763813816264854</c:v>
                </c:pt>
                <c:pt idx="86">
                  <c:v>14.848717537891936</c:v>
                </c:pt>
                <c:pt idx="87">
                  <c:v>14.93362125951902</c:v>
                </c:pt>
                <c:pt idx="88">
                  <c:v>15.018524981146104</c:v>
                </c:pt>
                <c:pt idx="89">
                  <c:v>15.103428702773183</c:v>
                </c:pt>
                <c:pt idx="90">
                  <c:v>15.188332424400265</c:v>
                </c:pt>
                <c:pt idx="91">
                  <c:v>15.27323614602735</c:v>
                </c:pt>
                <c:pt idx="92">
                  <c:v>15.358139867654431</c:v>
                </c:pt>
                <c:pt idx="93">
                  <c:v>15.443043589281512</c:v>
                </c:pt>
                <c:pt idx="94">
                  <c:v>15.527947310908594</c:v>
                </c:pt>
                <c:pt idx="95">
                  <c:v>15.612851032535676</c:v>
                </c:pt>
                <c:pt idx="96">
                  <c:v>15.69775475416276</c:v>
                </c:pt>
                <c:pt idx="97">
                  <c:v>15.782658475789843</c:v>
                </c:pt>
                <c:pt idx="98">
                  <c:v>15.867562197416923</c:v>
                </c:pt>
                <c:pt idx="99">
                  <c:v>15.952465919044009</c:v>
                </c:pt>
                <c:pt idx="100">
                  <c:v>16.037369640671088</c:v>
                </c:pt>
                <c:pt idx="101">
                  <c:v>16.12227336229817</c:v>
                </c:pt>
                <c:pt idx="102">
                  <c:v>16.207177083925252</c:v>
                </c:pt>
                <c:pt idx="103">
                  <c:v>16.292080805552335</c:v>
                </c:pt>
                <c:pt idx="104">
                  <c:v>16.37698452717942</c:v>
                </c:pt>
                <c:pt idx="105">
                  <c:v>16.4618882488065</c:v>
                </c:pt>
                <c:pt idx="106">
                  <c:v>16.54679197043358</c:v>
                </c:pt>
                <c:pt idx="107">
                  <c:v>16.631695692060664</c:v>
                </c:pt>
                <c:pt idx="108">
                  <c:v>16.716599413687746</c:v>
                </c:pt>
                <c:pt idx="109">
                  <c:v>16.801503135314828</c:v>
                </c:pt>
                <c:pt idx="110">
                  <c:v>16.88640685694191</c:v>
                </c:pt>
                <c:pt idx="111">
                  <c:v>16.971310578568993</c:v>
                </c:pt>
                <c:pt idx="112">
                  <c:v>17.056214300196075</c:v>
                </c:pt>
                <c:pt idx="113">
                  <c:v>17.14111802182316</c:v>
                </c:pt>
                <c:pt idx="114">
                  <c:v>17.226021743450243</c:v>
                </c:pt>
                <c:pt idx="115">
                  <c:v>17.31092546507732</c:v>
                </c:pt>
                <c:pt idx="116">
                  <c:v>17.3958291867044</c:v>
                </c:pt>
                <c:pt idx="117">
                  <c:v>17.480732908331486</c:v>
                </c:pt>
                <c:pt idx="118">
                  <c:v>17.565636629958572</c:v>
                </c:pt>
                <c:pt idx="119">
                  <c:v>17.65054035158565</c:v>
                </c:pt>
                <c:pt idx="120">
                  <c:v>17.735444073212733</c:v>
                </c:pt>
                <c:pt idx="121">
                  <c:v>17.820347794839815</c:v>
                </c:pt>
                <c:pt idx="122">
                  <c:v>17.905251516466897</c:v>
                </c:pt>
                <c:pt idx="123">
                  <c:v>17.99015523809398</c:v>
                </c:pt>
                <c:pt idx="124">
                  <c:v>18.075058959721062</c:v>
                </c:pt>
                <c:pt idx="125">
                  <c:v>18.159962681348148</c:v>
                </c:pt>
                <c:pt idx="126">
                  <c:v>18.244866402975227</c:v>
                </c:pt>
                <c:pt idx="127">
                  <c:v>18.329770124602312</c:v>
                </c:pt>
                <c:pt idx="128">
                  <c:v>18.41467384622939</c:v>
                </c:pt>
                <c:pt idx="129">
                  <c:v>18.499577567856473</c:v>
                </c:pt>
                <c:pt idx="130">
                  <c:v>18.584481289483552</c:v>
                </c:pt>
                <c:pt idx="131">
                  <c:v>18.669385011110638</c:v>
                </c:pt>
                <c:pt idx="132">
                  <c:v>18.75428873273772</c:v>
                </c:pt>
                <c:pt idx="133">
                  <c:v>18.839192454364802</c:v>
                </c:pt>
                <c:pt idx="134">
                  <c:v>18.924096175991885</c:v>
                </c:pt>
                <c:pt idx="135">
                  <c:v>19.008999897618967</c:v>
                </c:pt>
                <c:pt idx="136">
                  <c:v>19.093903619246053</c:v>
                </c:pt>
                <c:pt idx="137">
                  <c:v>19.17880734087313</c:v>
                </c:pt>
                <c:pt idx="138">
                  <c:v>19.263711062500214</c:v>
                </c:pt>
                <c:pt idx="139">
                  <c:v>19.348614784127296</c:v>
                </c:pt>
                <c:pt idx="140">
                  <c:v>19.43351850575438</c:v>
                </c:pt>
                <c:pt idx="141">
                  <c:v>19.518422227381457</c:v>
                </c:pt>
                <c:pt idx="142">
                  <c:v>19.60332594900854</c:v>
                </c:pt>
                <c:pt idx="143">
                  <c:v>19.688229670635625</c:v>
                </c:pt>
                <c:pt idx="144">
                  <c:v>19.773133392262707</c:v>
                </c:pt>
                <c:pt idx="145">
                  <c:v>19.85803711388979</c:v>
                </c:pt>
                <c:pt idx="146">
                  <c:v>19.942940835516872</c:v>
                </c:pt>
                <c:pt idx="147">
                  <c:v>20.027844557143954</c:v>
                </c:pt>
                <c:pt idx="148">
                  <c:v>20.112748278771033</c:v>
                </c:pt>
                <c:pt idx="149">
                  <c:v>20.19765200039812</c:v>
                </c:pt>
                <c:pt idx="150">
                  <c:v>20.282555722025204</c:v>
                </c:pt>
                <c:pt idx="151">
                  <c:v>20.36745944365228</c:v>
                </c:pt>
                <c:pt idx="152">
                  <c:v>20.452363165279365</c:v>
                </c:pt>
                <c:pt idx="153">
                  <c:v>20.537266886906444</c:v>
                </c:pt>
                <c:pt idx="154">
                  <c:v>20.62217060853353</c:v>
                </c:pt>
                <c:pt idx="155">
                  <c:v>20.707074330160612</c:v>
                </c:pt>
                <c:pt idx="156">
                  <c:v>20.79197805178769</c:v>
                </c:pt>
                <c:pt idx="157">
                  <c:v>20.876881773414777</c:v>
                </c:pt>
                <c:pt idx="158">
                  <c:v>20.96178549504186</c:v>
                </c:pt>
                <c:pt idx="159">
                  <c:v>21.046689216668945</c:v>
                </c:pt>
                <c:pt idx="160">
                  <c:v>21.13159293829602</c:v>
                </c:pt>
                <c:pt idx="161">
                  <c:v>21.216496659923106</c:v>
                </c:pt>
                <c:pt idx="162">
                  <c:v>21.30140038155019</c:v>
                </c:pt>
                <c:pt idx="163">
                  <c:v>21.38630410317727</c:v>
                </c:pt>
                <c:pt idx="164">
                  <c:v>21.471207824804353</c:v>
                </c:pt>
                <c:pt idx="165">
                  <c:v>21.55611154643143</c:v>
                </c:pt>
                <c:pt idx="166">
                  <c:v>21.641015268058517</c:v>
                </c:pt>
                <c:pt idx="167">
                  <c:v>21.725918989685596</c:v>
                </c:pt>
                <c:pt idx="168">
                  <c:v>21.81082271131268</c:v>
                </c:pt>
                <c:pt idx="169">
                  <c:v>21.89572643293976</c:v>
                </c:pt>
                <c:pt idx="170">
                  <c:v>21.980630154566846</c:v>
                </c:pt>
                <c:pt idx="171">
                  <c:v>22.06553387619393</c:v>
                </c:pt>
                <c:pt idx="172">
                  <c:v>22.15043759782101</c:v>
                </c:pt>
                <c:pt idx="173">
                  <c:v>22.235341319448093</c:v>
                </c:pt>
                <c:pt idx="174">
                  <c:v>22.32024504107517</c:v>
                </c:pt>
                <c:pt idx="175">
                  <c:v>22.405148762702257</c:v>
                </c:pt>
                <c:pt idx="176">
                  <c:v>22.490052484329336</c:v>
                </c:pt>
                <c:pt idx="177">
                  <c:v>22.574956205956422</c:v>
                </c:pt>
                <c:pt idx="178">
                  <c:v>22.6598599275835</c:v>
                </c:pt>
                <c:pt idx="179">
                  <c:v>22.744763649210583</c:v>
                </c:pt>
                <c:pt idx="180">
                  <c:v>22.82966737083767</c:v>
                </c:pt>
                <c:pt idx="181">
                  <c:v>22.91457109246475</c:v>
                </c:pt>
                <c:pt idx="182">
                  <c:v>22.999474814091833</c:v>
                </c:pt>
                <c:pt idx="183">
                  <c:v>23.084378535718912</c:v>
                </c:pt>
                <c:pt idx="184">
                  <c:v>23.169282257345998</c:v>
                </c:pt>
                <c:pt idx="185">
                  <c:v>23.254185978973084</c:v>
                </c:pt>
                <c:pt idx="186">
                  <c:v>23.339089700600162</c:v>
                </c:pt>
                <c:pt idx="187">
                  <c:v>23.42399342222724</c:v>
                </c:pt>
                <c:pt idx="188">
                  <c:v>23.508897143854323</c:v>
                </c:pt>
                <c:pt idx="189">
                  <c:v>23.593800865481406</c:v>
                </c:pt>
                <c:pt idx="190">
                  <c:v>23.678704587108488</c:v>
                </c:pt>
                <c:pt idx="191">
                  <c:v>23.763608308735574</c:v>
                </c:pt>
                <c:pt idx="192">
                  <c:v>23.848512030362652</c:v>
                </c:pt>
                <c:pt idx="193">
                  <c:v>23.933415751989735</c:v>
                </c:pt>
                <c:pt idx="194">
                  <c:v>24.01831947361682</c:v>
                </c:pt>
                <c:pt idx="195">
                  <c:v>24.103223195243903</c:v>
                </c:pt>
                <c:pt idx="196">
                  <c:v>24.188126916870985</c:v>
                </c:pt>
                <c:pt idx="197">
                  <c:v>24.273030638498064</c:v>
                </c:pt>
                <c:pt idx="198">
                  <c:v>24.35793436012515</c:v>
                </c:pt>
                <c:pt idx="199">
                  <c:v>24.442838081752228</c:v>
                </c:pt>
                <c:pt idx="200">
                  <c:v>24.52774180337931</c:v>
                </c:pt>
              </c:numCache>
            </c:numRef>
          </c:xVal>
          <c:yVal>
            <c:numRef>
              <c:f>Luc_keo!$L$203:$L$403</c:f>
              <c:numCache>
                <c:formatCode>General</c:formatCode>
                <c:ptCount val="201"/>
                <c:pt idx="0">
                  <c:v>0.17546845078966622</c:v>
                </c:pt>
                <c:pt idx="1">
                  <c:v>0.17608259817114924</c:v>
                </c:pt>
                <c:pt idx="2">
                  <c:v>0.17669184687463224</c:v>
                </c:pt>
                <c:pt idx="3">
                  <c:v>0.1772961969001152</c:v>
                </c:pt>
                <c:pt idx="4">
                  <c:v>0.1778956482475981</c:v>
                </c:pt>
                <c:pt idx="5">
                  <c:v>0.17849020091708087</c:v>
                </c:pt>
                <c:pt idx="6">
                  <c:v>0.17907985490856368</c:v>
                </c:pt>
                <c:pt idx="7">
                  <c:v>0.17966461022204636</c:v>
                </c:pt>
                <c:pt idx="8">
                  <c:v>0.18024446685752907</c:v>
                </c:pt>
                <c:pt idx="9">
                  <c:v>0.18081942481501173</c:v>
                </c:pt>
                <c:pt idx="10">
                  <c:v>0.18138948409449432</c:v>
                </c:pt>
                <c:pt idx="11">
                  <c:v>0.18195464469597686</c:v>
                </c:pt>
                <c:pt idx="12">
                  <c:v>0.18251490661945938</c:v>
                </c:pt>
                <c:pt idx="13">
                  <c:v>0.18307026986494176</c:v>
                </c:pt>
                <c:pt idx="14">
                  <c:v>0.18362073443242416</c:v>
                </c:pt>
                <c:pt idx="15">
                  <c:v>0.1841663003219065</c:v>
                </c:pt>
                <c:pt idx="16">
                  <c:v>0.18470696753338875</c:v>
                </c:pt>
                <c:pt idx="17">
                  <c:v>0.18524273606687103</c:v>
                </c:pt>
                <c:pt idx="18">
                  <c:v>0.18577360592235323</c:v>
                </c:pt>
                <c:pt idx="19">
                  <c:v>0.18629957709983536</c:v>
                </c:pt>
                <c:pt idx="20">
                  <c:v>0.18682064959931746</c:v>
                </c:pt>
                <c:pt idx="21">
                  <c:v>0.1873368234207995</c:v>
                </c:pt>
                <c:pt idx="22">
                  <c:v>0.18784809856428153</c:v>
                </c:pt>
                <c:pt idx="23">
                  <c:v>0.18835447502976346</c:v>
                </c:pt>
                <c:pt idx="24">
                  <c:v>0.18885595281724532</c:v>
                </c:pt>
                <c:pt idx="25">
                  <c:v>0.18935253192672724</c:v>
                </c:pt>
                <c:pt idx="26">
                  <c:v>0.18984421235820897</c:v>
                </c:pt>
                <c:pt idx="27">
                  <c:v>0.19033099411169072</c:v>
                </c:pt>
                <c:pt idx="28">
                  <c:v>0.19081287718717235</c:v>
                </c:pt>
                <c:pt idx="29">
                  <c:v>0.19128986158465403</c:v>
                </c:pt>
                <c:pt idx="30">
                  <c:v>0.19176194730413562</c:v>
                </c:pt>
                <c:pt idx="31">
                  <c:v>0.1922291343456172</c:v>
                </c:pt>
                <c:pt idx="32">
                  <c:v>0.19269142270909864</c:v>
                </c:pt>
                <c:pt idx="33">
                  <c:v>0.1931488123945801</c:v>
                </c:pt>
                <c:pt idx="34">
                  <c:v>0.19360130340206141</c:v>
                </c:pt>
                <c:pt idx="35">
                  <c:v>0.1940488957315428</c:v>
                </c:pt>
                <c:pt idx="36">
                  <c:v>0.1944915893830242</c:v>
                </c:pt>
                <c:pt idx="37">
                  <c:v>0.1949293843565054</c:v>
                </c:pt>
                <c:pt idx="38">
                  <c:v>0.19536228065198658</c:v>
                </c:pt>
                <c:pt idx="39">
                  <c:v>0.19579027826946777</c:v>
                </c:pt>
                <c:pt idx="40">
                  <c:v>0.19621337720894885</c:v>
                </c:pt>
                <c:pt idx="41">
                  <c:v>0.19663157747042984</c:v>
                </c:pt>
                <c:pt idx="42">
                  <c:v>0.1970448790539108</c:v>
                </c:pt>
                <c:pt idx="43">
                  <c:v>0.19745328195939174</c:v>
                </c:pt>
                <c:pt idx="44">
                  <c:v>0.19785678618687264</c:v>
                </c:pt>
                <c:pt idx="45">
                  <c:v>0.1982553917363535</c:v>
                </c:pt>
                <c:pt idx="46">
                  <c:v>0.19864909860783436</c:v>
                </c:pt>
                <c:pt idx="47">
                  <c:v>0.1990379068013151</c:v>
                </c:pt>
                <c:pt idx="48">
                  <c:v>0.1994218163167958</c:v>
                </c:pt>
                <c:pt idx="49">
                  <c:v>0.19980082715427644</c:v>
                </c:pt>
                <c:pt idx="50">
                  <c:v>0.20017493931375704</c:v>
                </c:pt>
                <c:pt idx="51">
                  <c:v>0.2005441527952376</c:v>
                </c:pt>
                <c:pt idx="52">
                  <c:v>0.20090846759871808</c:v>
                </c:pt>
                <c:pt idx="53">
                  <c:v>0.20126788372419857</c:v>
                </c:pt>
                <c:pt idx="54">
                  <c:v>0.20162240117167893</c:v>
                </c:pt>
                <c:pt idx="55">
                  <c:v>0.20197201994115924</c:v>
                </c:pt>
                <c:pt idx="56">
                  <c:v>0.20231674003263958</c:v>
                </c:pt>
                <c:pt idx="57">
                  <c:v>0.2026565614461199</c:v>
                </c:pt>
                <c:pt idx="58">
                  <c:v>0.20299148418160007</c:v>
                </c:pt>
                <c:pt idx="59">
                  <c:v>0.20332150823908018</c:v>
                </c:pt>
                <c:pt idx="60">
                  <c:v>0.20364663361856025</c:v>
                </c:pt>
                <c:pt idx="61">
                  <c:v>0.20396686032004033</c:v>
                </c:pt>
                <c:pt idx="62">
                  <c:v>0.20428218834352038</c:v>
                </c:pt>
                <c:pt idx="63">
                  <c:v>0.2045926176890003</c:v>
                </c:pt>
                <c:pt idx="64">
                  <c:v>0.2048981483564802</c:v>
                </c:pt>
                <c:pt idx="65">
                  <c:v>0.20519878034596004</c:v>
                </c:pt>
                <c:pt idx="66">
                  <c:v>0.20549451365743981</c:v>
                </c:pt>
                <c:pt idx="67">
                  <c:v>0.20578534829091957</c:v>
                </c:pt>
                <c:pt idx="68">
                  <c:v>0.20607128424639934</c:v>
                </c:pt>
                <c:pt idx="69">
                  <c:v>0.20635232152387892</c:v>
                </c:pt>
                <c:pt idx="70">
                  <c:v>0.2066284601233586</c:v>
                </c:pt>
                <c:pt idx="71">
                  <c:v>0.20689970004483815</c:v>
                </c:pt>
                <c:pt idx="72">
                  <c:v>0.20716604128831761</c:v>
                </c:pt>
                <c:pt idx="73">
                  <c:v>0.20742748385379708</c:v>
                </c:pt>
                <c:pt idx="74">
                  <c:v>0.20768402774127645</c:v>
                </c:pt>
                <c:pt idx="75">
                  <c:v>0.20793567295075574</c:v>
                </c:pt>
                <c:pt idx="76">
                  <c:v>0.20818241948223523</c:v>
                </c:pt>
                <c:pt idx="77">
                  <c:v>0.20842426733571437</c:v>
                </c:pt>
                <c:pt idx="78">
                  <c:v>0.20866121651119368</c:v>
                </c:pt>
                <c:pt idx="79">
                  <c:v>0.20889326700867272</c:v>
                </c:pt>
                <c:pt idx="80">
                  <c:v>0.20912041882815186</c:v>
                </c:pt>
                <c:pt idx="81">
                  <c:v>0.20934267196963088</c:v>
                </c:pt>
                <c:pt idx="82">
                  <c:v>0.20956002643310992</c:v>
                </c:pt>
                <c:pt idx="83">
                  <c:v>0.20977248221858888</c:v>
                </c:pt>
                <c:pt idx="84">
                  <c:v>0.20998003932606776</c:v>
                </c:pt>
                <c:pt idx="85">
                  <c:v>0.21018269775554663</c:v>
                </c:pt>
                <c:pt idx="86">
                  <c:v>0.2103804575070255</c:v>
                </c:pt>
                <c:pt idx="87">
                  <c:v>0.21057331858050415</c:v>
                </c:pt>
                <c:pt idx="88">
                  <c:v>0.21076128097598293</c:v>
                </c:pt>
                <c:pt idx="89">
                  <c:v>0.21094434469346163</c:v>
                </c:pt>
                <c:pt idx="90">
                  <c:v>0.21112250973294014</c:v>
                </c:pt>
                <c:pt idx="91">
                  <c:v>0.21129577609441877</c:v>
                </c:pt>
                <c:pt idx="92">
                  <c:v>0.21146414377789724</c:v>
                </c:pt>
                <c:pt idx="93">
                  <c:v>0.21162761278337572</c:v>
                </c:pt>
                <c:pt idx="94">
                  <c:v>0.2117861831108541</c:v>
                </c:pt>
                <c:pt idx="95">
                  <c:v>0.21193985476033247</c:v>
                </c:pt>
                <c:pt idx="96">
                  <c:v>0.21208862773181075</c:v>
                </c:pt>
                <c:pt idx="97">
                  <c:v>0.21223250202528912</c:v>
                </c:pt>
                <c:pt idx="98">
                  <c:v>0.21237147764076725</c:v>
                </c:pt>
                <c:pt idx="99">
                  <c:v>0.2125055545782454</c:v>
                </c:pt>
                <c:pt idx="100">
                  <c:v>0.21263473283772358</c:v>
                </c:pt>
                <c:pt idx="101">
                  <c:v>0.21275901241920156</c:v>
                </c:pt>
                <c:pt idx="102">
                  <c:v>0.21287839332267958</c:v>
                </c:pt>
                <c:pt idx="103">
                  <c:v>0.21299287554815752</c:v>
                </c:pt>
                <c:pt idx="104">
                  <c:v>0.2131024590956354</c:v>
                </c:pt>
                <c:pt idx="105">
                  <c:v>0.21320714396511334</c:v>
                </c:pt>
                <c:pt idx="106">
                  <c:v>0.21330693015659113</c:v>
                </c:pt>
                <c:pt idx="107">
                  <c:v>0.2134018176700689</c:v>
                </c:pt>
                <c:pt idx="108">
                  <c:v>0.21349180650554664</c:v>
                </c:pt>
                <c:pt idx="109">
                  <c:v>0.21357689666302435</c:v>
                </c:pt>
                <c:pt idx="110">
                  <c:v>0.21365708814250192</c:v>
                </c:pt>
                <c:pt idx="111">
                  <c:v>0.21373238094397948</c:v>
                </c:pt>
                <c:pt idx="112">
                  <c:v>0.21380277506745698</c:v>
                </c:pt>
                <c:pt idx="113">
                  <c:v>0.2138682705129345</c:v>
                </c:pt>
                <c:pt idx="114">
                  <c:v>0.21392886728041188</c:v>
                </c:pt>
                <c:pt idx="115">
                  <c:v>0.2139845653698892</c:v>
                </c:pt>
                <c:pt idx="116">
                  <c:v>0.2140353647813665</c:v>
                </c:pt>
                <c:pt idx="117">
                  <c:v>0.2140812655148438</c:v>
                </c:pt>
                <c:pt idx="118">
                  <c:v>0.21412226757032105</c:v>
                </c:pt>
                <c:pt idx="119">
                  <c:v>0.21415837094779813</c:v>
                </c:pt>
                <c:pt idx="120">
                  <c:v>0.21418957564727537</c:v>
                </c:pt>
                <c:pt idx="121">
                  <c:v>0.2142158816687524</c:v>
                </c:pt>
                <c:pt idx="122">
                  <c:v>0.2142372890122294</c:v>
                </c:pt>
                <c:pt idx="123">
                  <c:v>0.2142537976777063</c:v>
                </c:pt>
                <c:pt idx="124">
                  <c:v>0.21426540766518323</c:v>
                </c:pt>
                <c:pt idx="125">
                  <c:v>0.21427211897466011</c:v>
                </c:pt>
                <c:pt idx="126">
                  <c:v>0.214273931606137</c:v>
                </c:pt>
                <c:pt idx="127">
                  <c:v>0.21427084555961376</c:v>
                </c:pt>
                <c:pt idx="128">
                  <c:v>0.21426286083509055</c:v>
                </c:pt>
                <c:pt idx="129">
                  <c:v>0.2142499774325671</c:v>
                </c:pt>
                <c:pt idx="130">
                  <c:v>0.21423219535204374</c:v>
                </c:pt>
                <c:pt idx="131">
                  <c:v>0.21420951459352036</c:v>
                </c:pt>
                <c:pt idx="132">
                  <c:v>0.21418193515699693</c:v>
                </c:pt>
                <c:pt idx="133">
                  <c:v>0.21414945704247332</c:v>
                </c:pt>
                <c:pt idx="134">
                  <c:v>0.21411208024994977</c:v>
                </c:pt>
                <c:pt idx="135">
                  <c:v>0.21406980477942608</c:v>
                </c:pt>
                <c:pt idx="136">
                  <c:v>0.2140226306309025</c:v>
                </c:pt>
                <c:pt idx="137">
                  <c:v>0.21397055780437865</c:v>
                </c:pt>
                <c:pt idx="138">
                  <c:v>0.21391358629985485</c:v>
                </c:pt>
                <c:pt idx="139">
                  <c:v>0.21385171611733106</c:v>
                </c:pt>
                <c:pt idx="140">
                  <c:v>0.21378494725680722</c:v>
                </c:pt>
                <c:pt idx="141">
                  <c:v>0.2137132797182833</c:v>
                </c:pt>
                <c:pt idx="142">
                  <c:v>0.21363671350175933</c:v>
                </c:pt>
                <c:pt idx="143">
                  <c:v>0.21355524860723532</c:v>
                </c:pt>
                <c:pt idx="144">
                  <c:v>0.2134688850347113</c:v>
                </c:pt>
                <c:pt idx="145">
                  <c:v>0.213377622784187</c:v>
                </c:pt>
                <c:pt idx="146">
                  <c:v>0.21328146185566288</c:v>
                </c:pt>
                <c:pt idx="147">
                  <c:v>0.21318040224913865</c:v>
                </c:pt>
                <c:pt idx="148">
                  <c:v>0.21307444396461436</c:v>
                </c:pt>
                <c:pt idx="149">
                  <c:v>0.21296358700209</c:v>
                </c:pt>
                <c:pt idx="150">
                  <c:v>0.21284783136156574</c:v>
                </c:pt>
                <c:pt idx="151">
                  <c:v>0.21272717704304125</c:v>
                </c:pt>
                <c:pt idx="152">
                  <c:v>0.21260162404651678</c:v>
                </c:pt>
                <c:pt idx="153">
                  <c:v>0.2124711723719923</c:v>
                </c:pt>
                <c:pt idx="154">
                  <c:v>0.21233582201946774</c:v>
                </c:pt>
                <c:pt idx="155">
                  <c:v>0.2121955729889431</c:v>
                </c:pt>
                <c:pt idx="156">
                  <c:v>0.2120504252804184</c:v>
                </c:pt>
                <c:pt idx="157">
                  <c:v>0.21190037889389363</c:v>
                </c:pt>
                <c:pt idx="158">
                  <c:v>0.2117454338293689</c:v>
                </c:pt>
                <c:pt idx="159">
                  <c:v>0.21158559008684408</c:v>
                </c:pt>
                <c:pt idx="160">
                  <c:v>0.21142084766631927</c:v>
                </c:pt>
                <c:pt idx="161">
                  <c:v>0.21125120656779428</c:v>
                </c:pt>
                <c:pt idx="162">
                  <c:v>0.21107666679126927</c:v>
                </c:pt>
                <c:pt idx="163">
                  <c:v>0.21089722833674432</c:v>
                </c:pt>
                <c:pt idx="164">
                  <c:v>0.21071289120421924</c:v>
                </c:pt>
                <c:pt idx="165">
                  <c:v>0.2105236553936941</c:v>
                </c:pt>
                <c:pt idx="166">
                  <c:v>0.21032952090516893</c:v>
                </c:pt>
                <c:pt idx="167">
                  <c:v>0.21013048773864373</c:v>
                </c:pt>
                <c:pt idx="168">
                  <c:v>0.20992655589411846</c:v>
                </c:pt>
                <c:pt idx="169">
                  <c:v>0.20971772537159314</c:v>
                </c:pt>
                <c:pt idx="170">
                  <c:v>0.20950399617106777</c:v>
                </c:pt>
                <c:pt idx="171">
                  <c:v>0.20928536829254232</c:v>
                </c:pt>
                <c:pt idx="172">
                  <c:v>0.20906184173601697</c:v>
                </c:pt>
                <c:pt idx="173">
                  <c:v>0.20883341650149134</c:v>
                </c:pt>
                <c:pt idx="174">
                  <c:v>0.20860009258896578</c:v>
                </c:pt>
                <c:pt idx="175">
                  <c:v>0.20836186999844022</c:v>
                </c:pt>
                <c:pt idx="176">
                  <c:v>0.20811874872991454</c:v>
                </c:pt>
                <c:pt idx="177">
                  <c:v>0.20787072878338878</c:v>
                </c:pt>
                <c:pt idx="178">
                  <c:v>0.20761781015886302</c:v>
                </c:pt>
                <c:pt idx="179">
                  <c:v>0.20735999285633724</c:v>
                </c:pt>
                <c:pt idx="180">
                  <c:v>0.2070972768758113</c:v>
                </c:pt>
                <c:pt idx="181">
                  <c:v>0.20682966221728538</c:v>
                </c:pt>
                <c:pt idx="182">
                  <c:v>0.20655714888075943</c:v>
                </c:pt>
                <c:pt idx="183">
                  <c:v>0.2062797368662334</c:v>
                </c:pt>
                <c:pt idx="184">
                  <c:v>0.2059974261737073</c:v>
                </c:pt>
                <c:pt idx="185">
                  <c:v>0.20571021680318125</c:v>
                </c:pt>
                <c:pt idx="186">
                  <c:v>0.20541810875465508</c:v>
                </c:pt>
                <c:pt idx="187">
                  <c:v>0.2051211020281289</c:v>
                </c:pt>
                <c:pt idx="188">
                  <c:v>0.20481919662360254</c:v>
                </c:pt>
                <c:pt idx="189">
                  <c:v>0.20451239254107625</c:v>
                </c:pt>
                <c:pt idx="190">
                  <c:v>0.20420068978054984</c:v>
                </c:pt>
                <c:pt idx="191">
                  <c:v>0.20388408834202354</c:v>
                </c:pt>
                <c:pt idx="192">
                  <c:v>0.20356258822549708</c:v>
                </c:pt>
                <c:pt idx="193">
                  <c:v>0.20323618943097052</c:v>
                </c:pt>
                <c:pt idx="194">
                  <c:v>0.20290489195844397</c:v>
                </c:pt>
                <c:pt idx="195">
                  <c:v>0.20256869580791734</c:v>
                </c:pt>
                <c:pt idx="196">
                  <c:v>0.2022276009793907</c:v>
                </c:pt>
                <c:pt idx="197">
                  <c:v>0.201881607472864</c:v>
                </c:pt>
                <c:pt idx="198">
                  <c:v>0.2015307152883372</c:v>
                </c:pt>
                <c:pt idx="199">
                  <c:v>0.20117492442581036</c:v>
                </c:pt>
                <c:pt idx="200">
                  <c:v>0.20081423488528355</c:v>
                </c:pt>
              </c:numCache>
            </c:numRef>
          </c:yVal>
        </c:ser>
        <c:ser>
          <c:idx val="2"/>
          <c:order val="2"/>
          <c:tx>
            <c:v>Số 3</c:v>
          </c:tx>
          <c:marker>
            <c:symbol val="none"/>
          </c:marker>
          <c:xVal>
            <c:numRef>
              <c:f>Luc_keo!$E$404:$E$604</c:f>
              <c:numCache>
                <c:formatCode>General</c:formatCode>
                <c:ptCount val="201"/>
                <c:pt idx="0">
                  <c:v>12.275769208846697</c:v>
                </c:pt>
                <c:pt idx="1">
                  <c:v>12.413871612446222</c:v>
                </c:pt>
                <c:pt idx="2">
                  <c:v>12.551974016045747</c:v>
                </c:pt>
                <c:pt idx="3">
                  <c:v>12.690076419645271</c:v>
                </c:pt>
                <c:pt idx="4">
                  <c:v>12.8281788232448</c:v>
                </c:pt>
                <c:pt idx="5">
                  <c:v>12.966281226844323</c:v>
                </c:pt>
                <c:pt idx="6">
                  <c:v>13.104383630443849</c:v>
                </c:pt>
                <c:pt idx="7">
                  <c:v>13.242486034043372</c:v>
                </c:pt>
                <c:pt idx="8">
                  <c:v>13.380588437642897</c:v>
                </c:pt>
                <c:pt idx="9">
                  <c:v>13.518690841242424</c:v>
                </c:pt>
                <c:pt idx="10">
                  <c:v>13.65679324484195</c:v>
                </c:pt>
                <c:pt idx="11">
                  <c:v>13.794895648441477</c:v>
                </c:pt>
                <c:pt idx="12">
                  <c:v>13.932998052041</c:v>
                </c:pt>
                <c:pt idx="13">
                  <c:v>14.071100455640526</c:v>
                </c:pt>
                <c:pt idx="14">
                  <c:v>14.20920285924005</c:v>
                </c:pt>
                <c:pt idx="15">
                  <c:v>14.347305262839578</c:v>
                </c:pt>
                <c:pt idx="16">
                  <c:v>14.485407666439103</c:v>
                </c:pt>
                <c:pt idx="17">
                  <c:v>14.623510070038629</c:v>
                </c:pt>
                <c:pt idx="18">
                  <c:v>14.761612473638154</c:v>
                </c:pt>
                <c:pt idx="19">
                  <c:v>14.899714877237678</c:v>
                </c:pt>
                <c:pt idx="20">
                  <c:v>15.037817280837203</c:v>
                </c:pt>
                <c:pt idx="21">
                  <c:v>15.175919684436728</c:v>
                </c:pt>
                <c:pt idx="22">
                  <c:v>15.314022088036253</c:v>
                </c:pt>
                <c:pt idx="23">
                  <c:v>15.452124491635779</c:v>
                </c:pt>
                <c:pt idx="24">
                  <c:v>15.590226895235302</c:v>
                </c:pt>
                <c:pt idx="25">
                  <c:v>15.728329298834828</c:v>
                </c:pt>
                <c:pt idx="26">
                  <c:v>15.866431702434356</c:v>
                </c:pt>
                <c:pt idx="27">
                  <c:v>16.00453410603388</c:v>
                </c:pt>
                <c:pt idx="28">
                  <c:v>16.14263650963341</c:v>
                </c:pt>
                <c:pt idx="29">
                  <c:v>16.28073891323293</c:v>
                </c:pt>
                <c:pt idx="30">
                  <c:v>16.418841316832456</c:v>
                </c:pt>
                <c:pt idx="31">
                  <c:v>16.55694372043198</c:v>
                </c:pt>
                <c:pt idx="32">
                  <c:v>16.695046124031506</c:v>
                </c:pt>
                <c:pt idx="33">
                  <c:v>16.83314852763103</c:v>
                </c:pt>
                <c:pt idx="34">
                  <c:v>16.971250931230557</c:v>
                </c:pt>
                <c:pt idx="35">
                  <c:v>17.109353334830086</c:v>
                </c:pt>
                <c:pt idx="36">
                  <c:v>17.24745573842961</c:v>
                </c:pt>
                <c:pt idx="37">
                  <c:v>17.385558142029133</c:v>
                </c:pt>
                <c:pt idx="38">
                  <c:v>17.52366054562866</c:v>
                </c:pt>
                <c:pt idx="39">
                  <c:v>17.661762949228184</c:v>
                </c:pt>
                <c:pt idx="40">
                  <c:v>17.79986535282771</c:v>
                </c:pt>
                <c:pt idx="41">
                  <c:v>17.937967756427238</c:v>
                </c:pt>
                <c:pt idx="42">
                  <c:v>18.076070160026756</c:v>
                </c:pt>
                <c:pt idx="43">
                  <c:v>18.214172563626285</c:v>
                </c:pt>
                <c:pt idx="44">
                  <c:v>18.352274967225814</c:v>
                </c:pt>
                <c:pt idx="45">
                  <c:v>18.490377370825335</c:v>
                </c:pt>
                <c:pt idx="46">
                  <c:v>18.628479774424864</c:v>
                </c:pt>
                <c:pt idx="47">
                  <c:v>18.766582178024386</c:v>
                </c:pt>
                <c:pt idx="48">
                  <c:v>18.90468458162391</c:v>
                </c:pt>
                <c:pt idx="49">
                  <c:v>19.042786985223437</c:v>
                </c:pt>
                <c:pt idx="50">
                  <c:v>19.180889388822962</c:v>
                </c:pt>
                <c:pt idx="51">
                  <c:v>19.318991792422487</c:v>
                </c:pt>
                <c:pt idx="52">
                  <c:v>19.457094196022013</c:v>
                </c:pt>
                <c:pt idx="53">
                  <c:v>19.59519659962154</c:v>
                </c:pt>
                <c:pt idx="54">
                  <c:v>19.733299003221067</c:v>
                </c:pt>
                <c:pt idx="55">
                  <c:v>19.87140140682059</c:v>
                </c:pt>
                <c:pt idx="56">
                  <c:v>20.009503810420114</c:v>
                </c:pt>
                <c:pt idx="57">
                  <c:v>20.14760621401964</c:v>
                </c:pt>
                <c:pt idx="58">
                  <c:v>20.285708617619168</c:v>
                </c:pt>
                <c:pt idx="59">
                  <c:v>20.42381102121869</c:v>
                </c:pt>
                <c:pt idx="60">
                  <c:v>20.561913424818215</c:v>
                </c:pt>
                <c:pt idx="61">
                  <c:v>20.70001582841774</c:v>
                </c:pt>
                <c:pt idx="62">
                  <c:v>20.83811823201727</c:v>
                </c:pt>
                <c:pt idx="63">
                  <c:v>20.97622063561679</c:v>
                </c:pt>
                <c:pt idx="64">
                  <c:v>21.11432303921632</c:v>
                </c:pt>
                <c:pt idx="65">
                  <c:v>21.25242544281584</c:v>
                </c:pt>
                <c:pt idx="66">
                  <c:v>21.39052784641537</c:v>
                </c:pt>
                <c:pt idx="67">
                  <c:v>21.528630250014892</c:v>
                </c:pt>
                <c:pt idx="68">
                  <c:v>21.666732653614417</c:v>
                </c:pt>
                <c:pt idx="69">
                  <c:v>21.804835057213946</c:v>
                </c:pt>
                <c:pt idx="70">
                  <c:v>21.942937460813468</c:v>
                </c:pt>
                <c:pt idx="71">
                  <c:v>22.081039864412997</c:v>
                </c:pt>
                <c:pt idx="72">
                  <c:v>22.21914226801252</c:v>
                </c:pt>
                <c:pt idx="73">
                  <c:v>22.357244671612047</c:v>
                </c:pt>
                <c:pt idx="74">
                  <c:v>22.49534707521157</c:v>
                </c:pt>
                <c:pt idx="75">
                  <c:v>22.633449478811094</c:v>
                </c:pt>
                <c:pt idx="76">
                  <c:v>22.771551882410623</c:v>
                </c:pt>
                <c:pt idx="77">
                  <c:v>22.909654286010145</c:v>
                </c:pt>
                <c:pt idx="78">
                  <c:v>23.04775668960967</c:v>
                </c:pt>
                <c:pt idx="79">
                  <c:v>23.185859093209196</c:v>
                </c:pt>
                <c:pt idx="80">
                  <c:v>23.323961496808725</c:v>
                </c:pt>
                <c:pt idx="81">
                  <c:v>23.462063900408253</c:v>
                </c:pt>
                <c:pt idx="82">
                  <c:v>23.600166304007775</c:v>
                </c:pt>
                <c:pt idx="83">
                  <c:v>23.7382687076073</c:v>
                </c:pt>
                <c:pt idx="84">
                  <c:v>23.876371111206826</c:v>
                </c:pt>
                <c:pt idx="85">
                  <c:v>24.014473514806344</c:v>
                </c:pt>
                <c:pt idx="86">
                  <c:v>24.152575918405873</c:v>
                </c:pt>
                <c:pt idx="87">
                  <c:v>24.2906783220054</c:v>
                </c:pt>
                <c:pt idx="88">
                  <c:v>24.428780725604927</c:v>
                </c:pt>
                <c:pt idx="89">
                  <c:v>24.566883129204452</c:v>
                </c:pt>
                <c:pt idx="90">
                  <c:v>24.704985532803974</c:v>
                </c:pt>
                <c:pt idx="91">
                  <c:v>24.843087936403503</c:v>
                </c:pt>
                <c:pt idx="92">
                  <c:v>24.981190340003028</c:v>
                </c:pt>
                <c:pt idx="93">
                  <c:v>25.11929274360255</c:v>
                </c:pt>
                <c:pt idx="94">
                  <c:v>25.25739514720208</c:v>
                </c:pt>
                <c:pt idx="95">
                  <c:v>25.3954975508016</c:v>
                </c:pt>
                <c:pt idx="96">
                  <c:v>25.53359995440113</c:v>
                </c:pt>
                <c:pt idx="97">
                  <c:v>25.67170235800065</c:v>
                </c:pt>
                <c:pt idx="98">
                  <c:v>25.80980476160018</c:v>
                </c:pt>
                <c:pt idx="99">
                  <c:v>25.94790716519971</c:v>
                </c:pt>
                <c:pt idx="100">
                  <c:v>26.086009568799227</c:v>
                </c:pt>
                <c:pt idx="101">
                  <c:v>26.224111972398756</c:v>
                </c:pt>
                <c:pt idx="102">
                  <c:v>26.362214375998285</c:v>
                </c:pt>
                <c:pt idx="103">
                  <c:v>26.500316779597803</c:v>
                </c:pt>
                <c:pt idx="104">
                  <c:v>26.638419183197332</c:v>
                </c:pt>
                <c:pt idx="105">
                  <c:v>26.776521586796854</c:v>
                </c:pt>
                <c:pt idx="106">
                  <c:v>26.91462399039638</c:v>
                </c:pt>
                <c:pt idx="107">
                  <c:v>27.052726393995908</c:v>
                </c:pt>
                <c:pt idx="108">
                  <c:v>27.19082879759543</c:v>
                </c:pt>
                <c:pt idx="109">
                  <c:v>27.32893120119496</c:v>
                </c:pt>
                <c:pt idx="110">
                  <c:v>27.467033604794484</c:v>
                </c:pt>
                <c:pt idx="111">
                  <c:v>27.605136008394005</c:v>
                </c:pt>
                <c:pt idx="112">
                  <c:v>27.743238411993534</c:v>
                </c:pt>
                <c:pt idx="113">
                  <c:v>27.88134081559306</c:v>
                </c:pt>
                <c:pt idx="114">
                  <c:v>28.01944321919259</c:v>
                </c:pt>
                <c:pt idx="115">
                  <c:v>28.157545622792107</c:v>
                </c:pt>
                <c:pt idx="116">
                  <c:v>28.295648026391632</c:v>
                </c:pt>
                <c:pt idx="117">
                  <c:v>28.43375042999116</c:v>
                </c:pt>
                <c:pt idx="118">
                  <c:v>28.571852833590686</c:v>
                </c:pt>
                <c:pt idx="119">
                  <c:v>28.709955237190208</c:v>
                </c:pt>
                <c:pt idx="120">
                  <c:v>28.848057640789737</c:v>
                </c:pt>
                <c:pt idx="121">
                  <c:v>28.986160044389266</c:v>
                </c:pt>
                <c:pt idx="122">
                  <c:v>29.12426244798878</c:v>
                </c:pt>
                <c:pt idx="123">
                  <c:v>29.26236485158831</c:v>
                </c:pt>
                <c:pt idx="124">
                  <c:v>29.400467255187838</c:v>
                </c:pt>
                <c:pt idx="125">
                  <c:v>29.538569658787367</c:v>
                </c:pt>
                <c:pt idx="126">
                  <c:v>29.676672062386892</c:v>
                </c:pt>
                <c:pt idx="127">
                  <c:v>29.814774465986414</c:v>
                </c:pt>
                <c:pt idx="128">
                  <c:v>29.952876869585936</c:v>
                </c:pt>
                <c:pt idx="129">
                  <c:v>30.090979273185464</c:v>
                </c:pt>
                <c:pt idx="130">
                  <c:v>30.229081676784986</c:v>
                </c:pt>
                <c:pt idx="131">
                  <c:v>30.367184080384515</c:v>
                </c:pt>
                <c:pt idx="132">
                  <c:v>30.505286483984037</c:v>
                </c:pt>
                <c:pt idx="133">
                  <c:v>30.643388887583566</c:v>
                </c:pt>
                <c:pt idx="134">
                  <c:v>30.78149129118309</c:v>
                </c:pt>
                <c:pt idx="135">
                  <c:v>30.91959369478262</c:v>
                </c:pt>
                <c:pt idx="136">
                  <c:v>31.05769609838215</c:v>
                </c:pt>
                <c:pt idx="137">
                  <c:v>31.195798501981663</c:v>
                </c:pt>
                <c:pt idx="138">
                  <c:v>31.333900905581192</c:v>
                </c:pt>
                <c:pt idx="139">
                  <c:v>31.47200330918072</c:v>
                </c:pt>
                <c:pt idx="140">
                  <c:v>31.610105712780243</c:v>
                </c:pt>
                <c:pt idx="141">
                  <c:v>31.748208116379764</c:v>
                </c:pt>
                <c:pt idx="142">
                  <c:v>31.88631051997929</c:v>
                </c:pt>
                <c:pt idx="143">
                  <c:v>32.024412923578815</c:v>
                </c:pt>
                <c:pt idx="144">
                  <c:v>32.16251532717835</c:v>
                </c:pt>
                <c:pt idx="145">
                  <c:v>32.300617730777866</c:v>
                </c:pt>
                <c:pt idx="146">
                  <c:v>32.4387201343774</c:v>
                </c:pt>
                <c:pt idx="147">
                  <c:v>32.57682253797692</c:v>
                </c:pt>
                <c:pt idx="148">
                  <c:v>32.71492494157644</c:v>
                </c:pt>
                <c:pt idx="149">
                  <c:v>32.853027345175974</c:v>
                </c:pt>
                <c:pt idx="150">
                  <c:v>32.9911297487755</c:v>
                </c:pt>
                <c:pt idx="151">
                  <c:v>33.129232152375025</c:v>
                </c:pt>
                <c:pt idx="152">
                  <c:v>33.26733455597454</c:v>
                </c:pt>
                <c:pt idx="153">
                  <c:v>33.40543695957407</c:v>
                </c:pt>
                <c:pt idx="154">
                  <c:v>33.54353936317359</c:v>
                </c:pt>
                <c:pt idx="155">
                  <c:v>33.681641766773126</c:v>
                </c:pt>
                <c:pt idx="156">
                  <c:v>33.81974417037265</c:v>
                </c:pt>
                <c:pt idx="157">
                  <c:v>33.95784657397217</c:v>
                </c:pt>
                <c:pt idx="158">
                  <c:v>34.0959489775717</c:v>
                </c:pt>
                <c:pt idx="159">
                  <c:v>34.23405138117123</c:v>
                </c:pt>
                <c:pt idx="160">
                  <c:v>34.37215378477075</c:v>
                </c:pt>
                <c:pt idx="161">
                  <c:v>34.51025618837028</c:v>
                </c:pt>
                <c:pt idx="162">
                  <c:v>34.6483585919698</c:v>
                </c:pt>
                <c:pt idx="163">
                  <c:v>34.78646099556932</c:v>
                </c:pt>
                <c:pt idx="164">
                  <c:v>34.924563399168846</c:v>
                </c:pt>
                <c:pt idx="165">
                  <c:v>35.06266580276838</c:v>
                </c:pt>
                <c:pt idx="166">
                  <c:v>35.200768206367904</c:v>
                </c:pt>
                <c:pt idx="167">
                  <c:v>35.33887060996743</c:v>
                </c:pt>
                <c:pt idx="168">
                  <c:v>35.47697301356695</c:v>
                </c:pt>
                <c:pt idx="169">
                  <c:v>35.61507541716648</c:v>
                </c:pt>
                <c:pt idx="170">
                  <c:v>35.753177820766005</c:v>
                </c:pt>
                <c:pt idx="171">
                  <c:v>35.89128022436553</c:v>
                </c:pt>
                <c:pt idx="172">
                  <c:v>36.02938262796505</c:v>
                </c:pt>
                <c:pt idx="173">
                  <c:v>36.16748503156458</c:v>
                </c:pt>
                <c:pt idx="174">
                  <c:v>36.30558743516411</c:v>
                </c:pt>
                <c:pt idx="175">
                  <c:v>36.44368983876363</c:v>
                </c:pt>
                <c:pt idx="176">
                  <c:v>36.58179224236316</c:v>
                </c:pt>
                <c:pt idx="177">
                  <c:v>36.719894645962675</c:v>
                </c:pt>
                <c:pt idx="178">
                  <c:v>36.8579970495622</c:v>
                </c:pt>
                <c:pt idx="179">
                  <c:v>36.996099453161726</c:v>
                </c:pt>
                <c:pt idx="180">
                  <c:v>37.13420185676126</c:v>
                </c:pt>
                <c:pt idx="181">
                  <c:v>37.272304260360784</c:v>
                </c:pt>
                <c:pt idx="182">
                  <c:v>37.41040666396031</c:v>
                </c:pt>
                <c:pt idx="183">
                  <c:v>37.548509067559834</c:v>
                </c:pt>
                <c:pt idx="184">
                  <c:v>37.68661147115936</c:v>
                </c:pt>
                <c:pt idx="185">
                  <c:v>37.82471387475889</c:v>
                </c:pt>
                <c:pt idx="186">
                  <c:v>37.96281627835841</c:v>
                </c:pt>
                <c:pt idx="187">
                  <c:v>38.100918681957936</c:v>
                </c:pt>
                <c:pt idx="188">
                  <c:v>38.239021085557454</c:v>
                </c:pt>
                <c:pt idx="189">
                  <c:v>38.37712348915698</c:v>
                </c:pt>
                <c:pt idx="190">
                  <c:v>38.515225892756504</c:v>
                </c:pt>
                <c:pt idx="191">
                  <c:v>38.65332829635604</c:v>
                </c:pt>
                <c:pt idx="192">
                  <c:v>38.79143069995556</c:v>
                </c:pt>
                <c:pt idx="193">
                  <c:v>38.92953310355508</c:v>
                </c:pt>
                <c:pt idx="194">
                  <c:v>39.06763550715461</c:v>
                </c:pt>
                <c:pt idx="195">
                  <c:v>39.20573791075414</c:v>
                </c:pt>
                <c:pt idx="196">
                  <c:v>39.34384031435367</c:v>
                </c:pt>
                <c:pt idx="197">
                  <c:v>39.48194271795319</c:v>
                </c:pt>
                <c:pt idx="198">
                  <c:v>39.620045121552714</c:v>
                </c:pt>
                <c:pt idx="199">
                  <c:v>39.75814752515223</c:v>
                </c:pt>
                <c:pt idx="200">
                  <c:v>39.89624992875176</c:v>
                </c:pt>
              </c:numCache>
            </c:numRef>
          </c:xVal>
          <c:yVal>
            <c:numRef>
              <c:f>Luc_keo!$L$404:$L$604</c:f>
              <c:numCache>
                <c:formatCode>General</c:formatCode>
                <c:ptCount val="201"/>
                <c:pt idx="0">
                  <c:v>0.10752984518083429</c:v>
                </c:pt>
                <c:pt idx="1">
                  <c:v>0.10789958512385837</c:v>
                </c:pt>
                <c:pt idx="2">
                  <c:v>0.10826622581628889</c:v>
                </c:pt>
                <c:pt idx="3">
                  <c:v>0.10862976725812581</c:v>
                </c:pt>
                <c:pt idx="4">
                  <c:v>0.10899020944936917</c:v>
                </c:pt>
                <c:pt idx="5">
                  <c:v>0.10934755239001889</c:v>
                </c:pt>
                <c:pt idx="6">
                  <c:v>0.10970179608007506</c:v>
                </c:pt>
                <c:pt idx="7">
                  <c:v>0.11005294051953762</c:v>
                </c:pt>
                <c:pt idx="8">
                  <c:v>0.11040098570840665</c:v>
                </c:pt>
                <c:pt idx="9">
                  <c:v>0.11074593164668202</c:v>
                </c:pt>
                <c:pt idx="10">
                  <c:v>0.11108777833436383</c:v>
                </c:pt>
                <c:pt idx="11">
                  <c:v>0.11142652577145214</c:v>
                </c:pt>
                <c:pt idx="12">
                  <c:v>0.1117621739579467</c:v>
                </c:pt>
                <c:pt idx="13">
                  <c:v>0.11209472289384775</c:v>
                </c:pt>
                <c:pt idx="14">
                  <c:v>0.11242417257915521</c:v>
                </c:pt>
                <c:pt idx="15">
                  <c:v>0.1127505230138691</c:v>
                </c:pt>
                <c:pt idx="16">
                  <c:v>0.11307377419798943</c:v>
                </c:pt>
                <c:pt idx="17">
                  <c:v>0.11339392613151611</c:v>
                </c:pt>
                <c:pt idx="18">
                  <c:v>0.11371097881444925</c:v>
                </c:pt>
                <c:pt idx="19">
                  <c:v>0.11402493224678877</c:v>
                </c:pt>
                <c:pt idx="20">
                  <c:v>0.11433578642853476</c:v>
                </c:pt>
                <c:pt idx="21">
                  <c:v>0.11464354135968712</c:v>
                </c:pt>
                <c:pt idx="22">
                  <c:v>0.11494819704024589</c:v>
                </c:pt>
                <c:pt idx="23">
                  <c:v>0.11524975347021109</c:v>
                </c:pt>
                <c:pt idx="24">
                  <c:v>0.11554821064958268</c:v>
                </c:pt>
                <c:pt idx="25">
                  <c:v>0.1158435685783607</c:v>
                </c:pt>
                <c:pt idx="26">
                  <c:v>0.1161358272565451</c:v>
                </c:pt>
                <c:pt idx="27">
                  <c:v>0.11642498668413596</c:v>
                </c:pt>
                <c:pt idx="28">
                  <c:v>0.11671104686113327</c:v>
                </c:pt>
                <c:pt idx="29">
                  <c:v>0.11699400778753688</c:v>
                </c:pt>
                <c:pt idx="30">
                  <c:v>0.117273869463347</c:v>
                </c:pt>
                <c:pt idx="31">
                  <c:v>0.11755063188856349</c:v>
                </c:pt>
                <c:pt idx="32">
                  <c:v>0.1178242950631864</c:v>
                </c:pt>
                <c:pt idx="33">
                  <c:v>0.11809485898721571</c:v>
                </c:pt>
                <c:pt idx="34">
                  <c:v>0.11836232366065143</c:v>
                </c:pt>
                <c:pt idx="35">
                  <c:v>0.11862668908349361</c:v>
                </c:pt>
                <c:pt idx="36">
                  <c:v>0.11888795525574217</c:v>
                </c:pt>
                <c:pt idx="37">
                  <c:v>0.11914612217739716</c:v>
                </c:pt>
                <c:pt idx="38">
                  <c:v>0.1194011898484586</c:v>
                </c:pt>
                <c:pt idx="39">
                  <c:v>0.1196531582689264</c:v>
                </c:pt>
                <c:pt idx="40">
                  <c:v>0.11990202743880062</c:v>
                </c:pt>
                <c:pt idx="41">
                  <c:v>0.12014779735808123</c:v>
                </c:pt>
                <c:pt idx="42">
                  <c:v>0.12039046802676827</c:v>
                </c:pt>
                <c:pt idx="43">
                  <c:v>0.12063003944486177</c:v>
                </c:pt>
                <c:pt idx="44">
                  <c:v>0.12086651161236164</c:v>
                </c:pt>
                <c:pt idx="45">
                  <c:v>0.12109988452926793</c:v>
                </c:pt>
                <c:pt idx="46">
                  <c:v>0.12133015819558063</c:v>
                </c:pt>
                <c:pt idx="47">
                  <c:v>0.12155733261129975</c:v>
                </c:pt>
                <c:pt idx="48">
                  <c:v>0.12178140777642527</c:v>
                </c:pt>
                <c:pt idx="49">
                  <c:v>0.1220023836909572</c:v>
                </c:pt>
                <c:pt idx="50">
                  <c:v>0.12222026035489561</c:v>
                </c:pt>
                <c:pt idx="51">
                  <c:v>0.12243503776824033</c:v>
                </c:pt>
                <c:pt idx="52">
                  <c:v>0.12264671593099154</c:v>
                </c:pt>
                <c:pt idx="53">
                  <c:v>0.12285529484314912</c:v>
                </c:pt>
                <c:pt idx="54">
                  <c:v>0.12306077450471314</c:v>
                </c:pt>
                <c:pt idx="55">
                  <c:v>0.12326315491568356</c:v>
                </c:pt>
                <c:pt idx="56">
                  <c:v>0.12346243607606042</c:v>
                </c:pt>
                <c:pt idx="57">
                  <c:v>0.12365861798584371</c:v>
                </c:pt>
                <c:pt idx="58">
                  <c:v>0.12385170064503336</c:v>
                </c:pt>
                <c:pt idx="59">
                  <c:v>0.12404168405362939</c:v>
                </c:pt>
                <c:pt idx="60">
                  <c:v>0.12422856821163193</c:v>
                </c:pt>
                <c:pt idx="61">
                  <c:v>0.1244123531190408</c:v>
                </c:pt>
                <c:pt idx="62">
                  <c:v>0.12459303877585616</c:v>
                </c:pt>
                <c:pt idx="63">
                  <c:v>0.12477062518207788</c:v>
                </c:pt>
                <c:pt idx="64">
                  <c:v>0.12494511233770597</c:v>
                </c:pt>
                <c:pt idx="65">
                  <c:v>0.12511650024274057</c:v>
                </c:pt>
                <c:pt idx="66">
                  <c:v>0.1252847888971816</c:v>
                </c:pt>
                <c:pt idx="67">
                  <c:v>0.12544997830102897</c:v>
                </c:pt>
                <c:pt idx="68">
                  <c:v>0.12561206845428274</c:v>
                </c:pt>
                <c:pt idx="69">
                  <c:v>0.12577105935694294</c:v>
                </c:pt>
                <c:pt idx="70">
                  <c:v>0.1259269510090096</c:v>
                </c:pt>
                <c:pt idx="71">
                  <c:v>0.12607974341048267</c:v>
                </c:pt>
                <c:pt idx="72">
                  <c:v>0.12622943656136207</c:v>
                </c:pt>
                <c:pt idx="73">
                  <c:v>0.126376030461648</c:v>
                </c:pt>
                <c:pt idx="74">
                  <c:v>0.1265195251113403</c:v>
                </c:pt>
                <c:pt idx="75">
                  <c:v>0.12665992051043895</c:v>
                </c:pt>
                <c:pt idx="76">
                  <c:v>0.12679721665894406</c:v>
                </c:pt>
                <c:pt idx="77">
                  <c:v>0.12693141355685553</c:v>
                </c:pt>
                <c:pt idx="78">
                  <c:v>0.12706251120417353</c:v>
                </c:pt>
                <c:pt idx="79">
                  <c:v>0.12719050960089787</c:v>
                </c:pt>
                <c:pt idx="80">
                  <c:v>0.12731540874702862</c:v>
                </c:pt>
                <c:pt idx="81">
                  <c:v>0.12743720864256577</c:v>
                </c:pt>
                <c:pt idx="82">
                  <c:v>0.1275559092875094</c:v>
                </c:pt>
                <c:pt idx="83">
                  <c:v>0.12767151068185942</c:v>
                </c:pt>
                <c:pt idx="84">
                  <c:v>0.12778401282561577</c:v>
                </c:pt>
                <c:pt idx="85">
                  <c:v>0.12789341571877863</c:v>
                </c:pt>
                <c:pt idx="86">
                  <c:v>0.1279997193613479</c:v>
                </c:pt>
                <c:pt idx="87">
                  <c:v>0.12810292375332355</c:v>
                </c:pt>
                <c:pt idx="88">
                  <c:v>0.12820302889470567</c:v>
                </c:pt>
                <c:pt idx="89">
                  <c:v>0.1283000347854941</c:v>
                </c:pt>
                <c:pt idx="90">
                  <c:v>0.12839394142568897</c:v>
                </c:pt>
                <c:pt idx="91">
                  <c:v>0.12848474881529032</c:v>
                </c:pt>
                <c:pt idx="92">
                  <c:v>0.12857245695429806</c:v>
                </c:pt>
                <c:pt idx="93">
                  <c:v>0.12865706584271214</c:v>
                </c:pt>
                <c:pt idx="94">
                  <c:v>0.12873857548053275</c:v>
                </c:pt>
                <c:pt idx="95">
                  <c:v>0.12881698586775975</c:v>
                </c:pt>
                <c:pt idx="96">
                  <c:v>0.12889229700439314</c:v>
                </c:pt>
                <c:pt idx="97">
                  <c:v>0.12896450889043287</c:v>
                </c:pt>
                <c:pt idx="98">
                  <c:v>0.12903362152587908</c:v>
                </c:pt>
                <c:pt idx="99">
                  <c:v>0.1290996349107317</c:v>
                </c:pt>
                <c:pt idx="100">
                  <c:v>0.12916254904499078</c:v>
                </c:pt>
                <c:pt idx="101">
                  <c:v>0.12922236392865621</c:v>
                </c:pt>
                <c:pt idx="102">
                  <c:v>0.12927907956172807</c:v>
                </c:pt>
                <c:pt idx="103">
                  <c:v>0.12933269594420635</c:v>
                </c:pt>
                <c:pt idx="104">
                  <c:v>0.12938321307609102</c:v>
                </c:pt>
                <c:pt idx="105">
                  <c:v>0.12943063095738214</c:v>
                </c:pt>
                <c:pt idx="106">
                  <c:v>0.12947494958807965</c:v>
                </c:pt>
                <c:pt idx="107">
                  <c:v>0.12951616896818355</c:v>
                </c:pt>
                <c:pt idx="108">
                  <c:v>0.12955428909769395</c:v>
                </c:pt>
                <c:pt idx="109">
                  <c:v>0.1295893099766107</c:v>
                </c:pt>
                <c:pt idx="110">
                  <c:v>0.12962123160493386</c:v>
                </c:pt>
                <c:pt idx="111">
                  <c:v>0.1296500539826634</c:v>
                </c:pt>
                <c:pt idx="112">
                  <c:v>0.12967577710979944</c:v>
                </c:pt>
                <c:pt idx="113">
                  <c:v>0.12969840098634186</c:v>
                </c:pt>
                <c:pt idx="114">
                  <c:v>0.12971792561229067</c:v>
                </c:pt>
                <c:pt idx="115">
                  <c:v>0.12973435098764588</c:v>
                </c:pt>
                <c:pt idx="116">
                  <c:v>0.12974767711240753</c:v>
                </c:pt>
                <c:pt idx="117">
                  <c:v>0.12975790398657566</c:v>
                </c:pt>
                <c:pt idx="118">
                  <c:v>0.12976503161015013</c:v>
                </c:pt>
                <c:pt idx="119">
                  <c:v>0.12976905998313104</c:v>
                </c:pt>
                <c:pt idx="120">
                  <c:v>0.1297699891055183</c:v>
                </c:pt>
                <c:pt idx="121">
                  <c:v>0.129767818977312</c:v>
                </c:pt>
                <c:pt idx="122">
                  <c:v>0.12976254959851216</c:v>
                </c:pt>
                <c:pt idx="123">
                  <c:v>0.12975418096911867</c:v>
                </c:pt>
                <c:pt idx="124">
                  <c:v>0.12974271308913166</c:v>
                </c:pt>
                <c:pt idx="125">
                  <c:v>0.12972814595855106</c:v>
                </c:pt>
                <c:pt idx="126">
                  <c:v>0.12971047957737683</c:v>
                </c:pt>
                <c:pt idx="127">
                  <c:v>0.12968971394560905</c:v>
                </c:pt>
                <c:pt idx="128">
                  <c:v>0.12966584906324766</c:v>
                </c:pt>
                <c:pt idx="129">
                  <c:v>0.12963888493029266</c:v>
                </c:pt>
                <c:pt idx="130">
                  <c:v>0.12960882154674414</c:v>
                </c:pt>
                <c:pt idx="131">
                  <c:v>0.12957565891260203</c:v>
                </c:pt>
                <c:pt idx="132">
                  <c:v>0.12953939702786627</c:v>
                </c:pt>
                <c:pt idx="133">
                  <c:v>0.12950003589253695</c:v>
                </c:pt>
                <c:pt idx="134">
                  <c:v>0.12945757550661405</c:v>
                </c:pt>
                <c:pt idx="135">
                  <c:v>0.12941201587009754</c:v>
                </c:pt>
                <c:pt idx="136">
                  <c:v>0.12936335698298748</c:v>
                </c:pt>
                <c:pt idx="137">
                  <c:v>0.12931159884528387</c:v>
                </c:pt>
                <c:pt idx="138">
                  <c:v>0.1292567414569865</c:v>
                </c:pt>
                <c:pt idx="139">
                  <c:v>0.1291987848180957</c:v>
                </c:pt>
                <c:pt idx="140">
                  <c:v>0.12913772892861128</c:v>
                </c:pt>
                <c:pt idx="141">
                  <c:v>0.12907357378853326</c:v>
                </c:pt>
                <c:pt idx="142">
                  <c:v>0.12900631939786167</c:v>
                </c:pt>
                <c:pt idx="143">
                  <c:v>0.1289359657565965</c:v>
                </c:pt>
                <c:pt idx="144">
                  <c:v>0.12886251286473774</c:v>
                </c:pt>
                <c:pt idx="145">
                  <c:v>0.12878596072228535</c:v>
                </c:pt>
                <c:pt idx="146">
                  <c:v>0.12870630932923943</c:v>
                </c:pt>
                <c:pt idx="147">
                  <c:v>0.1286235586855999</c:v>
                </c:pt>
                <c:pt idx="148">
                  <c:v>0.1285377087913668</c:v>
                </c:pt>
                <c:pt idx="149">
                  <c:v>0.1284487596465401</c:v>
                </c:pt>
                <c:pt idx="150">
                  <c:v>0.12835671125111978</c:v>
                </c:pt>
                <c:pt idx="151">
                  <c:v>0.12826156360510593</c:v>
                </c:pt>
                <c:pt idx="152">
                  <c:v>0.12816331670849848</c:v>
                </c:pt>
                <c:pt idx="153">
                  <c:v>0.12806197056129742</c:v>
                </c:pt>
                <c:pt idx="154">
                  <c:v>0.1279575251635028</c:v>
                </c:pt>
                <c:pt idx="155">
                  <c:v>0.12784998051511456</c:v>
                </c:pt>
                <c:pt idx="156">
                  <c:v>0.12773933661613276</c:v>
                </c:pt>
                <c:pt idx="157">
                  <c:v>0.12762559346655736</c:v>
                </c:pt>
                <c:pt idx="158">
                  <c:v>0.1275087510663884</c:v>
                </c:pt>
                <c:pt idx="159">
                  <c:v>0.12738880941562583</c:v>
                </c:pt>
                <c:pt idx="160">
                  <c:v>0.12726576851426968</c:v>
                </c:pt>
                <c:pt idx="161">
                  <c:v>0.12713962836231996</c:v>
                </c:pt>
                <c:pt idx="162">
                  <c:v>0.1270103889597766</c:v>
                </c:pt>
                <c:pt idx="163">
                  <c:v>0.12687805030663973</c:v>
                </c:pt>
                <c:pt idx="164">
                  <c:v>0.12674261240290924</c:v>
                </c:pt>
                <c:pt idx="165">
                  <c:v>0.12660407524858514</c:v>
                </c:pt>
                <c:pt idx="166">
                  <c:v>0.12646243884366745</c:v>
                </c:pt>
                <c:pt idx="167">
                  <c:v>0.1263177031881562</c:v>
                </c:pt>
                <c:pt idx="168">
                  <c:v>0.12616986828205135</c:v>
                </c:pt>
                <c:pt idx="169">
                  <c:v>0.12601893412535292</c:v>
                </c:pt>
                <c:pt idx="170">
                  <c:v>0.1258649007180609</c:v>
                </c:pt>
                <c:pt idx="171">
                  <c:v>0.1257077680601753</c:v>
                </c:pt>
                <c:pt idx="172">
                  <c:v>0.12554753615169614</c:v>
                </c:pt>
                <c:pt idx="173">
                  <c:v>0.12538420499262337</c:v>
                </c:pt>
                <c:pt idx="174">
                  <c:v>0.12521777458295696</c:v>
                </c:pt>
                <c:pt idx="175">
                  <c:v>0.12504824492269703</c:v>
                </c:pt>
                <c:pt idx="176">
                  <c:v>0.12487561601184348</c:v>
                </c:pt>
                <c:pt idx="177">
                  <c:v>0.1246998878503964</c:v>
                </c:pt>
                <c:pt idx="178">
                  <c:v>0.12452106043835569</c:v>
                </c:pt>
                <c:pt idx="179">
                  <c:v>0.1243391337757214</c:v>
                </c:pt>
                <c:pt idx="180">
                  <c:v>0.12415410786249349</c:v>
                </c:pt>
                <c:pt idx="181">
                  <c:v>0.12396598269867205</c:v>
                </c:pt>
                <c:pt idx="182">
                  <c:v>0.12377475828425696</c:v>
                </c:pt>
                <c:pt idx="183">
                  <c:v>0.12358043461924834</c:v>
                </c:pt>
                <c:pt idx="184">
                  <c:v>0.12338301170364609</c:v>
                </c:pt>
                <c:pt idx="185">
                  <c:v>0.12318248953745031</c:v>
                </c:pt>
                <c:pt idx="186">
                  <c:v>0.12297886812066089</c:v>
                </c:pt>
                <c:pt idx="187">
                  <c:v>0.12277214745327789</c:v>
                </c:pt>
                <c:pt idx="188">
                  <c:v>0.12256232753530133</c:v>
                </c:pt>
                <c:pt idx="189">
                  <c:v>0.12234940836673117</c:v>
                </c:pt>
                <c:pt idx="190">
                  <c:v>0.12213338994756744</c:v>
                </c:pt>
                <c:pt idx="191">
                  <c:v>0.12191427227781013</c:v>
                </c:pt>
                <c:pt idx="192">
                  <c:v>0.12169205535745917</c:v>
                </c:pt>
                <c:pt idx="193">
                  <c:v>0.12146673918651464</c:v>
                </c:pt>
                <c:pt idx="194">
                  <c:v>0.12123832376497656</c:v>
                </c:pt>
                <c:pt idx="195">
                  <c:v>0.1210068090928449</c:v>
                </c:pt>
                <c:pt idx="196">
                  <c:v>0.12077219517011964</c:v>
                </c:pt>
                <c:pt idx="197">
                  <c:v>0.1205344819968008</c:v>
                </c:pt>
                <c:pt idx="198">
                  <c:v>0.12029366957288838</c:v>
                </c:pt>
                <c:pt idx="199">
                  <c:v>0.12004975789838235</c:v>
                </c:pt>
                <c:pt idx="200">
                  <c:v>0.11980274697328269</c:v>
                </c:pt>
              </c:numCache>
            </c:numRef>
          </c:yVal>
        </c:ser>
        <c:ser>
          <c:idx val="3"/>
          <c:order val="3"/>
          <c:tx>
            <c:v>Số 4</c:v>
          </c:tx>
          <c:marker>
            <c:symbol val="none"/>
          </c:marker>
          <c:xVal>
            <c:numRef>
              <c:f>Luc_keo!$E$605:$E$805</c:f>
              <c:numCache>
                <c:formatCode>General</c:formatCode>
                <c:ptCount val="201"/>
                <c:pt idx="0">
                  <c:v>19.967478471921407</c:v>
                </c:pt>
                <c:pt idx="1">
                  <c:v>20.19211260473052</c:v>
                </c:pt>
                <c:pt idx="2">
                  <c:v>20.416746737539636</c:v>
                </c:pt>
                <c:pt idx="3">
                  <c:v>20.64138087034875</c:v>
                </c:pt>
                <c:pt idx="4">
                  <c:v>20.86601500315787</c:v>
                </c:pt>
                <c:pt idx="5">
                  <c:v>21.090649135966988</c:v>
                </c:pt>
                <c:pt idx="6">
                  <c:v>21.3152832687761</c:v>
                </c:pt>
                <c:pt idx="7">
                  <c:v>21.539917401585214</c:v>
                </c:pt>
                <c:pt idx="8">
                  <c:v>21.76455153439433</c:v>
                </c:pt>
                <c:pt idx="9">
                  <c:v>21.989185667203447</c:v>
                </c:pt>
                <c:pt idx="10">
                  <c:v>22.213819800012562</c:v>
                </c:pt>
                <c:pt idx="11">
                  <c:v>22.43845393282168</c:v>
                </c:pt>
                <c:pt idx="12">
                  <c:v>22.663088065630795</c:v>
                </c:pt>
                <c:pt idx="13">
                  <c:v>22.88772219843991</c:v>
                </c:pt>
                <c:pt idx="14">
                  <c:v>23.11235633124902</c:v>
                </c:pt>
                <c:pt idx="15">
                  <c:v>23.336990464058143</c:v>
                </c:pt>
                <c:pt idx="16">
                  <c:v>23.561624596867258</c:v>
                </c:pt>
                <c:pt idx="17">
                  <c:v>23.786258729676376</c:v>
                </c:pt>
                <c:pt idx="18">
                  <c:v>24.01089286248549</c:v>
                </c:pt>
                <c:pt idx="19">
                  <c:v>24.235526995294606</c:v>
                </c:pt>
                <c:pt idx="20">
                  <c:v>24.46016112810372</c:v>
                </c:pt>
                <c:pt idx="21">
                  <c:v>24.684795260912836</c:v>
                </c:pt>
                <c:pt idx="22">
                  <c:v>24.909429393721954</c:v>
                </c:pt>
                <c:pt idx="23">
                  <c:v>25.13406352653107</c:v>
                </c:pt>
                <c:pt idx="24">
                  <c:v>25.358697659340184</c:v>
                </c:pt>
                <c:pt idx="25">
                  <c:v>25.5833317921493</c:v>
                </c:pt>
                <c:pt idx="26">
                  <c:v>25.807965924958413</c:v>
                </c:pt>
                <c:pt idx="27">
                  <c:v>26.03260005776753</c:v>
                </c:pt>
                <c:pt idx="28">
                  <c:v>26.25723419057665</c:v>
                </c:pt>
                <c:pt idx="29">
                  <c:v>26.481868323385765</c:v>
                </c:pt>
                <c:pt idx="30">
                  <c:v>26.706502456194876</c:v>
                </c:pt>
                <c:pt idx="31">
                  <c:v>26.93113658900399</c:v>
                </c:pt>
                <c:pt idx="32">
                  <c:v>27.155770721813113</c:v>
                </c:pt>
                <c:pt idx="33">
                  <c:v>27.380404854622228</c:v>
                </c:pt>
                <c:pt idx="34">
                  <c:v>27.60503898743134</c:v>
                </c:pt>
                <c:pt idx="35">
                  <c:v>27.82967312024046</c:v>
                </c:pt>
                <c:pt idx="36">
                  <c:v>28.054307253049576</c:v>
                </c:pt>
                <c:pt idx="37">
                  <c:v>28.27894138585869</c:v>
                </c:pt>
                <c:pt idx="38">
                  <c:v>28.5035755186678</c:v>
                </c:pt>
                <c:pt idx="39">
                  <c:v>28.728209651476924</c:v>
                </c:pt>
                <c:pt idx="40">
                  <c:v>28.95284378428604</c:v>
                </c:pt>
                <c:pt idx="41">
                  <c:v>29.177477917095157</c:v>
                </c:pt>
                <c:pt idx="42">
                  <c:v>29.402112049904265</c:v>
                </c:pt>
                <c:pt idx="43">
                  <c:v>29.626746182713386</c:v>
                </c:pt>
                <c:pt idx="44">
                  <c:v>29.8513803155225</c:v>
                </c:pt>
                <c:pt idx="45">
                  <c:v>30.076014448331616</c:v>
                </c:pt>
                <c:pt idx="46">
                  <c:v>30.300648581140734</c:v>
                </c:pt>
                <c:pt idx="47">
                  <c:v>30.52528271394985</c:v>
                </c:pt>
                <c:pt idx="48">
                  <c:v>30.749916846758964</c:v>
                </c:pt>
                <c:pt idx="49">
                  <c:v>30.97455097956808</c:v>
                </c:pt>
                <c:pt idx="50">
                  <c:v>31.199185112377197</c:v>
                </c:pt>
                <c:pt idx="51">
                  <c:v>31.423819245186312</c:v>
                </c:pt>
                <c:pt idx="52">
                  <c:v>31.648453377995427</c:v>
                </c:pt>
                <c:pt idx="53">
                  <c:v>31.87308751080454</c:v>
                </c:pt>
                <c:pt idx="54">
                  <c:v>32.09772164361365</c:v>
                </c:pt>
                <c:pt idx="55">
                  <c:v>32.322355776422775</c:v>
                </c:pt>
                <c:pt idx="56">
                  <c:v>32.54698990923189</c:v>
                </c:pt>
                <c:pt idx="57">
                  <c:v>32.771624042041005</c:v>
                </c:pt>
                <c:pt idx="58">
                  <c:v>32.99625817485013</c:v>
                </c:pt>
                <c:pt idx="59">
                  <c:v>33.220892307659234</c:v>
                </c:pt>
                <c:pt idx="60">
                  <c:v>33.44552644046835</c:v>
                </c:pt>
                <c:pt idx="61">
                  <c:v>33.670160573277464</c:v>
                </c:pt>
                <c:pt idx="62">
                  <c:v>33.894794706086586</c:v>
                </c:pt>
                <c:pt idx="63">
                  <c:v>34.11942883889569</c:v>
                </c:pt>
                <c:pt idx="64">
                  <c:v>34.344062971704815</c:v>
                </c:pt>
                <c:pt idx="65">
                  <c:v>34.56869710451393</c:v>
                </c:pt>
                <c:pt idx="66">
                  <c:v>34.79333123732305</c:v>
                </c:pt>
                <c:pt idx="67">
                  <c:v>35.01796537013216</c:v>
                </c:pt>
                <c:pt idx="68">
                  <c:v>35.242599502941275</c:v>
                </c:pt>
                <c:pt idx="69">
                  <c:v>35.4672336357504</c:v>
                </c:pt>
                <c:pt idx="70">
                  <c:v>35.69186776855951</c:v>
                </c:pt>
                <c:pt idx="71">
                  <c:v>35.916501901368626</c:v>
                </c:pt>
                <c:pt idx="72">
                  <c:v>36.14113603417774</c:v>
                </c:pt>
                <c:pt idx="73">
                  <c:v>36.36577016698686</c:v>
                </c:pt>
                <c:pt idx="74">
                  <c:v>36.59040429979597</c:v>
                </c:pt>
                <c:pt idx="75">
                  <c:v>36.81503843260509</c:v>
                </c:pt>
                <c:pt idx="76">
                  <c:v>37.03967256541421</c:v>
                </c:pt>
                <c:pt idx="77">
                  <c:v>37.26430669822332</c:v>
                </c:pt>
                <c:pt idx="78">
                  <c:v>37.48894083103244</c:v>
                </c:pt>
                <c:pt idx="79">
                  <c:v>37.71357496384155</c:v>
                </c:pt>
                <c:pt idx="80">
                  <c:v>37.938209096650674</c:v>
                </c:pt>
                <c:pt idx="81">
                  <c:v>38.16284322945979</c:v>
                </c:pt>
                <c:pt idx="82">
                  <c:v>38.3874773622689</c:v>
                </c:pt>
                <c:pt idx="83">
                  <c:v>38.61211149507802</c:v>
                </c:pt>
                <c:pt idx="84">
                  <c:v>38.83674562788713</c:v>
                </c:pt>
                <c:pt idx="85">
                  <c:v>39.06137976069624</c:v>
                </c:pt>
                <c:pt idx="86">
                  <c:v>39.28601389350536</c:v>
                </c:pt>
                <c:pt idx="87">
                  <c:v>39.51064802631448</c:v>
                </c:pt>
                <c:pt idx="88">
                  <c:v>39.7352821591236</c:v>
                </c:pt>
                <c:pt idx="89">
                  <c:v>39.959916291932714</c:v>
                </c:pt>
                <c:pt idx="90">
                  <c:v>40.18455042474183</c:v>
                </c:pt>
                <c:pt idx="91">
                  <c:v>40.409184557550944</c:v>
                </c:pt>
                <c:pt idx="92">
                  <c:v>40.63381869036006</c:v>
                </c:pt>
                <c:pt idx="93">
                  <c:v>40.85845282316917</c:v>
                </c:pt>
                <c:pt idx="94">
                  <c:v>41.08308695597829</c:v>
                </c:pt>
                <c:pt idx="95">
                  <c:v>41.3077210887874</c:v>
                </c:pt>
                <c:pt idx="96">
                  <c:v>41.532355221596525</c:v>
                </c:pt>
                <c:pt idx="97">
                  <c:v>41.75698935440563</c:v>
                </c:pt>
                <c:pt idx="98">
                  <c:v>41.981623487214755</c:v>
                </c:pt>
                <c:pt idx="99">
                  <c:v>42.20625762002387</c:v>
                </c:pt>
                <c:pt idx="100">
                  <c:v>42.43089175283298</c:v>
                </c:pt>
                <c:pt idx="101">
                  <c:v>42.6555258856421</c:v>
                </c:pt>
                <c:pt idx="102">
                  <c:v>42.88016001845122</c:v>
                </c:pt>
                <c:pt idx="103">
                  <c:v>43.10479415126033</c:v>
                </c:pt>
                <c:pt idx="104">
                  <c:v>43.32942828406945</c:v>
                </c:pt>
                <c:pt idx="105">
                  <c:v>43.55406241687856</c:v>
                </c:pt>
                <c:pt idx="106">
                  <c:v>43.77869654968768</c:v>
                </c:pt>
                <c:pt idx="107">
                  <c:v>44.003330682496795</c:v>
                </c:pt>
                <c:pt idx="108">
                  <c:v>44.2279648153059</c:v>
                </c:pt>
                <c:pt idx="109">
                  <c:v>44.452598948115025</c:v>
                </c:pt>
                <c:pt idx="110">
                  <c:v>44.67723308092415</c:v>
                </c:pt>
                <c:pt idx="111">
                  <c:v>44.901867213733254</c:v>
                </c:pt>
                <c:pt idx="112">
                  <c:v>45.126501346542376</c:v>
                </c:pt>
                <c:pt idx="113">
                  <c:v>45.3511354793515</c:v>
                </c:pt>
                <c:pt idx="114">
                  <c:v>45.57576961216061</c:v>
                </c:pt>
                <c:pt idx="115">
                  <c:v>45.80040374496972</c:v>
                </c:pt>
                <c:pt idx="116">
                  <c:v>46.02503787777883</c:v>
                </c:pt>
                <c:pt idx="117">
                  <c:v>46.24967201058795</c:v>
                </c:pt>
                <c:pt idx="118">
                  <c:v>46.47430614339707</c:v>
                </c:pt>
                <c:pt idx="119">
                  <c:v>46.69894027620618</c:v>
                </c:pt>
                <c:pt idx="120">
                  <c:v>46.9235744090153</c:v>
                </c:pt>
                <c:pt idx="121">
                  <c:v>47.148208541824424</c:v>
                </c:pt>
                <c:pt idx="122">
                  <c:v>47.37284267463353</c:v>
                </c:pt>
                <c:pt idx="123">
                  <c:v>47.597476807442646</c:v>
                </c:pt>
                <c:pt idx="124">
                  <c:v>47.82211094025176</c:v>
                </c:pt>
                <c:pt idx="125">
                  <c:v>48.04674507306088</c:v>
                </c:pt>
                <c:pt idx="126">
                  <c:v>48.27137920587</c:v>
                </c:pt>
                <c:pt idx="127">
                  <c:v>48.49601333867911</c:v>
                </c:pt>
                <c:pt idx="128">
                  <c:v>48.72064747148823</c:v>
                </c:pt>
                <c:pt idx="129">
                  <c:v>48.94528160429734</c:v>
                </c:pt>
                <c:pt idx="130">
                  <c:v>49.16991573710646</c:v>
                </c:pt>
                <c:pt idx="131">
                  <c:v>49.39454986991557</c:v>
                </c:pt>
                <c:pt idx="132">
                  <c:v>49.61918400272469</c:v>
                </c:pt>
                <c:pt idx="133">
                  <c:v>49.84381813553381</c:v>
                </c:pt>
                <c:pt idx="134">
                  <c:v>50.06845226834292</c:v>
                </c:pt>
                <c:pt idx="135">
                  <c:v>50.29308640115204</c:v>
                </c:pt>
                <c:pt idx="136">
                  <c:v>50.51772053396116</c:v>
                </c:pt>
                <c:pt idx="137">
                  <c:v>50.74235466677027</c:v>
                </c:pt>
                <c:pt idx="138">
                  <c:v>50.96698879957939</c:v>
                </c:pt>
                <c:pt idx="139">
                  <c:v>51.191622932388505</c:v>
                </c:pt>
                <c:pt idx="140">
                  <c:v>51.41625706519761</c:v>
                </c:pt>
                <c:pt idx="141">
                  <c:v>51.64089119800672</c:v>
                </c:pt>
                <c:pt idx="142">
                  <c:v>51.86552533081584</c:v>
                </c:pt>
                <c:pt idx="143">
                  <c:v>52.090159463624964</c:v>
                </c:pt>
                <c:pt idx="144">
                  <c:v>52.314793596434086</c:v>
                </c:pt>
                <c:pt idx="145">
                  <c:v>52.539427729243194</c:v>
                </c:pt>
                <c:pt idx="146">
                  <c:v>52.764061862052316</c:v>
                </c:pt>
                <c:pt idx="147">
                  <c:v>52.98869599486143</c:v>
                </c:pt>
                <c:pt idx="148">
                  <c:v>53.21333012767054</c:v>
                </c:pt>
                <c:pt idx="149">
                  <c:v>53.43796426047966</c:v>
                </c:pt>
                <c:pt idx="150">
                  <c:v>53.66259839328878</c:v>
                </c:pt>
                <c:pt idx="151">
                  <c:v>53.88723252609789</c:v>
                </c:pt>
                <c:pt idx="152">
                  <c:v>54.11186665890701</c:v>
                </c:pt>
                <c:pt idx="153">
                  <c:v>54.33650079171612</c:v>
                </c:pt>
                <c:pt idx="154">
                  <c:v>54.56113492452524</c:v>
                </c:pt>
                <c:pt idx="155">
                  <c:v>54.785769057334356</c:v>
                </c:pt>
                <c:pt idx="156">
                  <c:v>55.010403190143464</c:v>
                </c:pt>
                <c:pt idx="157">
                  <c:v>55.235037322952586</c:v>
                </c:pt>
                <c:pt idx="158">
                  <c:v>55.4596714557617</c:v>
                </c:pt>
                <c:pt idx="159">
                  <c:v>55.68430558857082</c:v>
                </c:pt>
                <c:pt idx="160">
                  <c:v>55.90893972137994</c:v>
                </c:pt>
                <c:pt idx="161">
                  <c:v>56.13357385418905</c:v>
                </c:pt>
                <c:pt idx="162">
                  <c:v>56.35820798699817</c:v>
                </c:pt>
                <c:pt idx="163">
                  <c:v>56.582842119807275</c:v>
                </c:pt>
                <c:pt idx="164">
                  <c:v>56.80747625261639</c:v>
                </c:pt>
                <c:pt idx="165">
                  <c:v>57.03211038542551</c:v>
                </c:pt>
                <c:pt idx="166">
                  <c:v>57.256744518234626</c:v>
                </c:pt>
                <c:pt idx="167">
                  <c:v>57.48137865104374</c:v>
                </c:pt>
                <c:pt idx="168">
                  <c:v>57.70601278385286</c:v>
                </c:pt>
                <c:pt idx="169">
                  <c:v>57.930646916661985</c:v>
                </c:pt>
                <c:pt idx="170">
                  <c:v>58.15528104947109</c:v>
                </c:pt>
                <c:pt idx="171">
                  <c:v>58.37991518228021</c:v>
                </c:pt>
                <c:pt idx="172">
                  <c:v>58.60454931508933</c:v>
                </c:pt>
                <c:pt idx="173">
                  <c:v>58.82918344789844</c:v>
                </c:pt>
                <c:pt idx="174">
                  <c:v>59.05381758070756</c:v>
                </c:pt>
                <c:pt idx="175">
                  <c:v>59.27845171351667</c:v>
                </c:pt>
                <c:pt idx="176">
                  <c:v>59.50308584632579</c:v>
                </c:pt>
                <c:pt idx="177">
                  <c:v>59.72771997913491</c:v>
                </c:pt>
                <c:pt idx="178">
                  <c:v>59.95235411194402</c:v>
                </c:pt>
                <c:pt idx="179">
                  <c:v>60.17698824475313</c:v>
                </c:pt>
                <c:pt idx="180">
                  <c:v>60.40162237756224</c:v>
                </c:pt>
                <c:pt idx="181">
                  <c:v>60.62625651037136</c:v>
                </c:pt>
                <c:pt idx="182">
                  <c:v>60.850890643180485</c:v>
                </c:pt>
                <c:pt idx="183">
                  <c:v>61.07552477598959</c:v>
                </c:pt>
                <c:pt idx="184">
                  <c:v>61.300158908798714</c:v>
                </c:pt>
                <c:pt idx="185">
                  <c:v>61.524793041607836</c:v>
                </c:pt>
                <c:pt idx="186">
                  <c:v>61.749427174416944</c:v>
                </c:pt>
                <c:pt idx="187">
                  <c:v>61.97406130722606</c:v>
                </c:pt>
                <c:pt idx="188">
                  <c:v>62.198695440035166</c:v>
                </c:pt>
                <c:pt idx="189">
                  <c:v>62.42332957284429</c:v>
                </c:pt>
                <c:pt idx="190">
                  <c:v>62.647963705653396</c:v>
                </c:pt>
                <c:pt idx="191">
                  <c:v>62.87259783846252</c:v>
                </c:pt>
                <c:pt idx="192">
                  <c:v>63.09723197127164</c:v>
                </c:pt>
                <c:pt idx="193">
                  <c:v>63.32186610408075</c:v>
                </c:pt>
                <c:pt idx="194">
                  <c:v>63.54650023688987</c:v>
                </c:pt>
                <c:pt idx="195">
                  <c:v>63.771134369698984</c:v>
                </c:pt>
                <c:pt idx="196">
                  <c:v>63.995768502508106</c:v>
                </c:pt>
                <c:pt idx="197">
                  <c:v>64.22040263531721</c:v>
                </c:pt>
                <c:pt idx="198">
                  <c:v>64.44503676812634</c:v>
                </c:pt>
                <c:pt idx="199">
                  <c:v>64.66967090093544</c:v>
                </c:pt>
                <c:pt idx="200">
                  <c:v>64.89430503374456</c:v>
                </c:pt>
              </c:numCache>
            </c:numRef>
          </c:xVal>
          <c:yVal>
            <c:numRef>
              <c:f>Luc_keo!$L$605:$L$805</c:f>
              <c:numCache>
                <c:formatCode>General</c:formatCode>
                <c:ptCount val="201"/>
                <c:pt idx="0">
                  <c:v>0.06519243439973282</c:v>
                </c:pt>
                <c:pt idx="1">
                  <c:v>0.06539902833923748</c:v>
                </c:pt>
                <c:pt idx="2">
                  <c:v>0.06560348512469107</c:v>
                </c:pt>
                <c:pt idx="3">
                  <c:v>0.06580580475609357</c:v>
                </c:pt>
                <c:pt idx="4">
                  <c:v>0.066005987233445</c:v>
                </c:pt>
                <c:pt idx="5">
                  <c:v>0.06620403255674535</c:v>
                </c:pt>
                <c:pt idx="6">
                  <c:v>0.06639994072599459</c:v>
                </c:pt>
                <c:pt idx="7">
                  <c:v>0.0665937117411928</c:v>
                </c:pt>
                <c:pt idx="8">
                  <c:v>0.06678534560233992</c:v>
                </c:pt>
                <c:pt idx="9">
                  <c:v>0.06697484230943596</c:v>
                </c:pt>
                <c:pt idx="10">
                  <c:v>0.06716220186248091</c:v>
                </c:pt>
                <c:pt idx="11">
                  <c:v>0.0673474242614748</c:v>
                </c:pt>
                <c:pt idx="12">
                  <c:v>0.0675305095064176</c:v>
                </c:pt>
                <c:pt idx="13">
                  <c:v>0.06771145759730932</c:v>
                </c:pt>
                <c:pt idx="14">
                  <c:v>0.06789026853414996</c:v>
                </c:pt>
                <c:pt idx="15">
                  <c:v>0.06806694231693952</c:v>
                </c:pt>
                <c:pt idx="16">
                  <c:v>0.06824147894567803</c:v>
                </c:pt>
                <c:pt idx="17">
                  <c:v>0.06841387842036543</c:v>
                </c:pt>
                <c:pt idx="18">
                  <c:v>0.06858414074100179</c:v>
                </c:pt>
                <c:pt idx="19">
                  <c:v>0.06875226590758703</c:v>
                </c:pt>
                <c:pt idx="20">
                  <c:v>0.06891825392012121</c:v>
                </c:pt>
                <c:pt idx="21">
                  <c:v>0.06908210477860431</c:v>
                </c:pt>
                <c:pt idx="22">
                  <c:v>0.06924381848303637</c:v>
                </c:pt>
                <c:pt idx="23">
                  <c:v>0.06940339503341732</c:v>
                </c:pt>
                <c:pt idx="24">
                  <c:v>0.06956083442974718</c:v>
                </c:pt>
                <c:pt idx="25">
                  <c:v>0.06971613667202599</c:v>
                </c:pt>
                <c:pt idx="26">
                  <c:v>0.06986930176025369</c:v>
                </c:pt>
                <c:pt idx="27">
                  <c:v>0.07002032969443031</c:v>
                </c:pt>
                <c:pt idx="28">
                  <c:v>0.07016922047455587</c:v>
                </c:pt>
                <c:pt idx="29">
                  <c:v>0.07031597410063037</c:v>
                </c:pt>
                <c:pt idx="30">
                  <c:v>0.07046059057265376</c:v>
                </c:pt>
                <c:pt idx="31">
                  <c:v>0.07060306989062609</c:v>
                </c:pt>
                <c:pt idx="32">
                  <c:v>0.07074341205454736</c:v>
                </c:pt>
                <c:pt idx="33">
                  <c:v>0.07088161706441752</c:v>
                </c:pt>
                <c:pt idx="34">
                  <c:v>0.07101768492023658</c:v>
                </c:pt>
                <c:pt idx="35">
                  <c:v>0.07115161562200463</c:v>
                </c:pt>
                <c:pt idx="36">
                  <c:v>0.07128340916972156</c:v>
                </c:pt>
                <c:pt idx="37">
                  <c:v>0.07141306556338743</c:v>
                </c:pt>
                <c:pt idx="38">
                  <c:v>0.07154058480300221</c:v>
                </c:pt>
                <c:pt idx="39">
                  <c:v>0.07166596688856591</c:v>
                </c:pt>
                <c:pt idx="40">
                  <c:v>0.07178921182007855</c:v>
                </c:pt>
                <c:pt idx="41">
                  <c:v>0.07191031959754009</c:v>
                </c:pt>
                <c:pt idx="42">
                  <c:v>0.07202929022095055</c:v>
                </c:pt>
                <c:pt idx="43">
                  <c:v>0.07214612369030995</c:v>
                </c:pt>
                <c:pt idx="44">
                  <c:v>0.07226082000561829</c:v>
                </c:pt>
                <c:pt idx="45">
                  <c:v>0.07237337916687553</c:v>
                </c:pt>
                <c:pt idx="46">
                  <c:v>0.07248380117408168</c:v>
                </c:pt>
                <c:pt idx="47">
                  <c:v>0.07259208602723678</c:v>
                </c:pt>
                <c:pt idx="48">
                  <c:v>0.0726982337263408</c:v>
                </c:pt>
                <c:pt idx="49">
                  <c:v>0.07280224427139369</c:v>
                </c:pt>
                <c:pt idx="50">
                  <c:v>0.07290411766239556</c:v>
                </c:pt>
                <c:pt idx="51">
                  <c:v>0.07300385389934634</c:v>
                </c:pt>
                <c:pt idx="52">
                  <c:v>0.07310145298224603</c:v>
                </c:pt>
                <c:pt idx="53">
                  <c:v>0.07319691491109466</c:v>
                </c:pt>
                <c:pt idx="54">
                  <c:v>0.07329023968589217</c:v>
                </c:pt>
                <c:pt idx="55">
                  <c:v>0.07338142730663863</c:v>
                </c:pt>
                <c:pt idx="56">
                  <c:v>0.07347047777333403</c:v>
                </c:pt>
                <c:pt idx="57">
                  <c:v>0.07355739108597835</c:v>
                </c:pt>
                <c:pt idx="58">
                  <c:v>0.07364216724457155</c:v>
                </c:pt>
                <c:pt idx="59">
                  <c:v>0.07372480624911372</c:v>
                </c:pt>
                <c:pt idx="60">
                  <c:v>0.0738053080996048</c:v>
                </c:pt>
                <c:pt idx="61">
                  <c:v>0.07388367279604478</c:v>
                </c:pt>
                <c:pt idx="62">
                  <c:v>0.07395990033843372</c:v>
                </c:pt>
                <c:pt idx="63">
                  <c:v>0.07403399072677154</c:v>
                </c:pt>
                <c:pt idx="64">
                  <c:v>0.07410594396105831</c:v>
                </c:pt>
                <c:pt idx="65">
                  <c:v>0.07417576004129403</c:v>
                </c:pt>
                <c:pt idx="66">
                  <c:v>0.07424343896747859</c:v>
                </c:pt>
                <c:pt idx="67">
                  <c:v>0.07430898073961212</c:v>
                </c:pt>
                <c:pt idx="68">
                  <c:v>0.07437238535769461</c:v>
                </c:pt>
                <c:pt idx="69">
                  <c:v>0.07443365282172595</c:v>
                </c:pt>
                <c:pt idx="70">
                  <c:v>0.07449278313170628</c:v>
                </c:pt>
                <c:pt idx="71">
                  <c:v>0.07454977628763547</c:v>
                </c:pt>
                <c:pt idx="72">
                  <c:v>0.07460463228951363</c:v>
                </c:pt>
                <c:pt idx="73">
                  <c:v>0.07465735113734069</c:v>
                </c:pt>
                <c:pt idx="74">
                  <c:v>0.0747079328311167</c:v>
                </c:pt>
                <c:pt idx="75">
                  <c:v>0.07475637737084154</c:v>
                </c:pt>
                <c:pt idx="76">
                  <c:v>0.07480268475651544</c:v>
                </c:pt>
                <c:pt idx="77">
                  <c:v>0.07484685498813815</c:v>
                </c:pt>
                <c:pt idx="78">
                  <c:v>0.07488888806570984</c:v>
                </c:pt>
                <c:pt idx="79">
                  <c:v>0.07492878398923045</c:v>
                </c:pt>
                <c:pt idx="80">
                  <c:v>0.07496654275869997</c:v>
                </c:pt>
                <c:pt idx="81">
                  <c:v>0.0750021643741184</c:v>
                </c:pt>
                <c:pt idx="82">
                  <c:v>0.07503564883548576</c:v>
                </c:pt>
                <c:pt idx="83">
                  <c:v>0.07506699614280206</c:v>
                </c:pt>
                <c:pt idx="84">
                  <c:v>0.07509620629606727</c:v>
                </c:pt>
                <c:pt idx="85">
                  <c:v>0.07512327929528138</c:v>
                </c:pt>
                <c:pt idx="86">
                  <c:v>0.07514821514044447</c:v>
                </c:pt>
                <c:pt idx="87">
                  <c:v>0.0751710138315564</c:v>
                </c:pt>
                <c:pt idx="88">
                  <c:v>0.0751916753686173</c:v>
                </c:pt>
                <c:pt idx="89">
                  <c:v>0.07521019975162714</c:v>
                </c:pt>
                <c:pt idx="90">
                  <c:v>0.07522658698058589</c:v>
                </c:pt>
                <c:pt idx="91">
                  <c:v>0.07524083705549355</c:v>
                </c:pt>
                <c:pt idx="92">
                  <c:v>0.07525294997635015</c:v>
                </c:pt>
                <c:pt idx="93">
                  <c:v>0.07526292574315564</c:v>
                </c:pt>
                <c:pt idx="94">
                  <c:v>0.07527076435591007</c:v>
                </c:pt>
                <c:pt idx="95">
                  <c:v>0.07527646581461345</c:v>
                </c:pt>
                <c:pt idx="96">
                  <c:v>0.07528003011926568</c:v>
                </c:pt>
                <c:pt idx="97">
                  <c:v>0.07528145726986692</c:v>
                </c:pt>
                <c:pt idx="98">
                  <c:v>0.07528074726641702</c:v>
                </c:pt>
                <c:pt idx="99">
                  <c:v>0.07527790010891608</c:v>
                </c:pt>
                <c:pt idx="100">
                  <c:v>0.07527291579736403</c:v>
                </c:pt>
                <c:pt idx="101">
                  <c:v>0.07526579433176092</c:v>
                </c:pt>
                <c:pt idx="102">
                  <c:v>0.07525653571210675</c:v>
                </c:pt>
                <c:pt idx="103">
                  <c:v>0.07524513993840147</c:v>
                </c:pt>
                <c:pt idx="104">
                  <c:v>0.07523160701064513</c:v>
                </c:pt>
                <c:pt idx="105">
                  <c:v>0.0752159369288377</c:v>
                </c:pt>
                <c:pt idx="106">
                  <c:v>0.0751981296929792</c:v>
                </c:pt>
                <c:pt idx="107">
                  <c:v>0.0751781853030696</c:v>
                </c:pt>
                <c:pt idx="108">
                  <c:v>0.07515610375910897</c:v>
                </c:pt>
                <c:pt idx="109">
                  <c:v>0.07513188506109728</c:v>
                </c:pt>
                <c:pt idx="110">
                  <c:v>0.07510552920903443</c:v>
                </c:pt>
                <c:pt idx="111">
                  <c:v>0.07507703620292053</c:v>
                </c:pt>
                <c:pt idx="112">
                  <c:v>0.07504640604275557</c:v>
                </c:pt>
                <c:pt idx="113">
                  <c:v>0.07501363872853954</c:v>
                </c:pt>
                <c:pt idx="114">
                  <c:v>0.0749787342602724</c:v>
                </c:pt>
                <c:pt idx="115">
                  <c:v>0.07494169263795421</c:v>
                </c:pt>
                <c:pt idx="116">
                  <c:v>0.07490251386158492</c:v>
                </c:pt>
                <c:pt idx="117">
                  <c:v>0.0748611979311646</c:v>
                </c:pt>
                <c:pt idx="118">
                  <c:v>0.07481774484669315</c:v>
                </c:pt>
                <c:pt idx="119">
                  <c:v>0.07477215460817063</c:v>
                </c:pt>
                <c:pt idx="120">
                  <c:v>0.07472442721559706</c:v>
                </c:pt>
                <c:pt idx="121">
                  <c:v>0.07467456266897239</c:v>
                </c:pt>
                <c:pt idx="122">
                  <c:v>0.07462256096829664</c:v>
                </c:pt>
                <c:pt idx="123">
                  <c:v>0.07456842211356982</c:v>
                </c:pt>
                <c:pt idx="124">
                  <c:v>0.0745121461047919</c:v>
                </c:pt>
                <c:pt idx="125">
                  <c:v>0.07445373294196293</c:v>
                </c:pt>
                <c:pt idx="126">
                  <c:v>0.0743931826250829</c:v>
                </c:pt>
                <c:pt idx="127">
                  <c:v>0.07433049515415177</c:v>
                </c:pt>
                <c:pt idx="128">
                  <c:v>0.07426567052916958</c:v>
                </c:pt>
                <c:pt idx="129">
                  <c:v>0.07419870875013625</c:v>
                </c:pt>
                <c:pt idx="130">
                  <c:v>0.0741296098170519</c:v>
                </c:pt>
                <c:pt idx="131">
                  <c:v>0.07405837372991647</c:v>
                </c:pt>
                <c:pt idx="132">
                  <c:v>0.07398500048872994</c:v>
                </c:pt>
                <c:pt idx="133">
                  <c:v>0.07390949009349235</c:v>
                </c:pt>
                <c:pt idx="134">
                  <c:v>0.07383184254420368</c:v>
                </c:pt>
                <c:pt idx="135">
                  <c:v>0.07375205784086387</c:v>
                </c:pt>
                <c:pt idx="136">
                  <c:v>0.0736701359834731</c:v>
                </c:pt>
                <c:pt idx="137">
                  <c:v>0.07358607697203115</c:v>
                </c:pt>
                <c:pt idx="138">
                  <c:v>0.07349988080653816</c:v>
                </c:pt>
                <c:pt idx="139">
                  <c:v>0.07341154748699412</c:v>
                </c:pt>
                <c:pt idx="140">
                  <c:v>0.07332107701339897</c:v>
                </c:pt>
                <c:pt idx="141">
                  <c:v>0.07322846938575277</c:v>
                </c:pt>
                <c:pt idx="142">
                  <c:v>0.0731337246040555</c:v>
                </c:pt>
                <c:pt idx="143">
                  <c:v>0.0730368426683071</c:v>
                </c:pt>
                <c:pt idx="144">
                  <c:v>0.07293782357850764</c:v>
                </c:pt>
                <c:pt idx="145">
                  <c:v>0.07283666733465709</c:v>
                </c:pt>
                <c:pt idx="146">
                  <c:v>0.0727333739367555</c:v>
                </c:pt>
                <c:pt idx="147">
                  <c:v>0.0726279433848028</c:v>
                </c:pt>
                <c:pt idx="148">
                  <c:v>0.07252037567879904</c:v>
                </c:pt>
                <c:pt idx="149">
                  <c:v>0.07241067081874421</c:v>
                </c:pt>
                <c:pt idx="150">
                  <c:v>0.07229882880463827</c:v>
                </c:pt>
                <c:pt idx="151">
                  <c:v>0.0721848496364813</c:v>
                </c:pt>
                <c:pt idx="152">
                  <c:v>0.07206873331427319</c:v>
                </c:pt>
                <c:pt idx="153">
                  <c:v>0.07195047983801409</c:v>
                </c:pt>
                <c:pt idx="154">
                  <c:v>0.07183008920770384</c:v>
                </c:pt>
                <c:pt idx="155">
                  <c:v>0.07170756142334253</c:v>
                </c:pt>
                <c:pt idx="156">
                  <c:v>0.07158289648493014</c:v>
                </c:pt>
                <c:pt idx="157">
                  <c:v>0.07145609439246667</c:v>
                </c:pt>
                <c:pt idx="158">
                  <c:v>0.07132715514595216</c:v>
                </c:pt>
                <c:pt idx="159">
                  <c:v>0.07119607874538651</c:v>
                </c:pt>
                <c:pt idx="160">
                  <c:v>0.07106286519076983</c:v>
                </c:pt>
                <c:pt idx="161">
                  <c:v>0.07092751448210206</c:v>
                </c:pt>
                <c:pt idx="162">
                  <c:v>0.07079002661938319</c:v>
                </c:pt>
                <c:pt idx="163">
                  <c:v>0.07065040160261327</c:v>
                </c:pt>
                <c:pt idx="164">
                  <c:v>0.07050863943179227</c:v>
                </c:pt>
                <c:pt idx="165">
                  <c:v>0.07036474010692018</c:v>
                </c:pt>
                <c:pt idx="166">
                  <c:v>0.07021870362799702</c:v>
                </c:pt>
                <c:pt idx="167">
                  <c:v>0.07007052999502278</c:v>
                </c:pt>
                <c:pt idx="168">
                  <c:v>0.06992021920799744</c:v>
                </c:pt>
                <c:pt idx="169">
                  <c:v>0.06976777126692107</c:v>
                </c:pt>
                <c:pt idx="170">
                  <c:v>0.06961318617179359</c:v>
                </c:pt>
                <c:pt idx="171">
                  <c:v>0.06945646392261505</c:v>
                </c:pt>
                <c:pt idx="172">
                  <c:v>0.06929760451938542</c:v>
                </c:pt>
                <c:pt idx="173">
                  <c:v>0.06913660796210473</c:v>
                </c:pt>
                <c:pt idx="174">
                  <c:v>0.06897347425077292</c:v>
                </c:pt>
                <c:pt idx="175">
                  <c:v>0.06880820338539008</c:v>
                </c:pt>
                <c:pt idx="176">
                  <c:v>0.06864079536595612</c:v>
                </c:pt>
                <c:pt idx="177">
                  <c:v>0.06847125019247109</c:v>
                </c:pt>
                <c:pt idx="178">
                  <c:v>0.06829956786493503</c:v>
                </c:pt>
                <c:pt idx="179">
                  <c:v>0.06812574838334785</c:v>
                </c:pt>
                <c:pt idx="180">
                  <c:v>0.06794979174770958</c:v>
                </c:pt>
                <c:pt idx="181">
                  <c:v>0.06777169795802028</c:v>
                </c:pt>
                <c:pt idx="182">
                  <c:v>0.06759146701427984</c:v>
                </c:pt>
                <c:pt idx="183">
                  <c:v>0.06740909891648839</c:v>
                </c:pt>
                <c:pt idx="184">
                  <c:v>0.06722459366464581</c:v>
                </c:pt>
                <c:pt idx="185">
                  <c:v>0.06703795125875218</c:v>
                </c:pt>
                <c:pt idx="186">
                  <c:v>0.06684917169880747</c:v>
                </c:pt>
                <c:pt idx="187">
                  <c:v>0.06665825498481168</c:v>
                </c:pt>
                <c:pt idx="188">
                  <c:v>0.0664652011167648</c:v>
                </c:pt>
                <c:pt idx="189">
                  <c:v>0.06627001009466686</c:v>
                </c:pt>
                <c:pt idx="190">
                  <c:v>0.06607268191851784</c:v>
                </c:pt>
                <c:pt idx="191">
                  <c:v>0.06587321658831775</c:v>
                </c:pt>
                <c:pt idx="192">
                  <c:v>0.06567161410406655</c:v>
                </c:pt>
                <c:pt idx="193">
                  <c:v>0.0654678744657643</c:v>
                </c:pt>
                <c:pt idx="194">
                  <c:v>0.06526199767341095</c:v>
                </c:pt>
                <c:pt idx="195">
                  <c:v>0.06505398372700653</c:v>
                </c:pt>
                <c:pt idx="196">
                  <c:v>0.06484383262655102</c:v>
                </c:pt>
                <c:pt idx="197">
                  <c:v>0.06463154437204445</c:v>
                </c:pt>
                <c:pt idx="198">
                  <c:v>0.06441711896348683</c:v>
                </c:pt>
                <c:pt idx="199">
                  <c:v>0.06420055640087809</c:v>
                </c:pt>
                <c:pt idx="200">
                  <c:v>0.06398185668421831</c:v>
                </c:pt>
              </c:numCache>
            </c:numRef>
          </c:yVal>
        </c:ser>
        <c:ser>
          <c:idx val="4"/>
          <c:order val="4"/>
          <c:tx>
            <c:v>Số 5</c:v>
          </c:tx>
          <c:marker>
            <c:symbol val="none"/>
          </c:marker>
          <c:xVal>
            <c:numRef>
              <c:f>Luc_keo!$E$806:$E$1006</c:f>
              <c:numCache>
                <c:formatCode>General</c:formatCode>
                <c:ptCount val="201"/>
                <c:pt idx="0">
                  <c:v>32.478632478632484</c:v>
                </c:pt>
                <c:pt idx="1">
                  <c:v>32.8440170940171</c:v>
                </c:pt>
                <c:pt idx="2">
                  <c:v>33.20940170940171</c:v>
                </c:pt>
                <c:pt idx="3">
                  <c:v>33.574786324786324</c:v>
                </c:pt>
                <c:pt idx="4">
                  <c:v>33.940170940170944</c:v>
                </c:pt>
                <c:pt idx="5">
                  <c:v>34.30555555555556</c:v>
                </c:pt>
                <c:pt idx="6">
                  <c:v>34.67094017094017</c:v>
                </c:pt>
                <c:pt idx="7">
                  <c:v>35.03632478632478</c:v>
                </c:pt>
                <c:pt idx="8">
                  <c:v>35.4017094017094</c:v>
                </c:pt>
                <c:pt idx="9">
                  <c:v>35.76709401709402</c:v>
                </c:pt>
                <c:pt idx="10">
                  <c:v>36.13247863247863</c:v>
                </c:pt>
                <c:pt idx="11">
                  <c:v>36.49786324786325</c:v>
                </c:pt>
                <c:pt idx="12">
                  <c:v>36.863247863247864</c:v>
                </c:pt>
                <c:pt idx="13">
                  <c:v>37.22863247863248</c:v>
                </c:pt>
                <c:pt idx="14">
                  <c:v>37.59401709401709</c:v>
                </c:pt>
                <c:pt idx="15">
                  <c:v>37.95940170940171</c:v>
                </c:pt>
                <c:pt idx="16">
                  <c:v>38.324786324786324</c:v>
                </c:pt>
                <c:pt idx="17">
                  <c:v>38.690170940170944</c:v>
                </c:pt>
                <c:pt idx="18">
                  <c:v>39.05555555555556</c:v>
                </c:pt>
                <c:pt idx="19">
                  <c:v>39.42094017094017</c:v>
                </c:pt>
                <c:pt idx="20">
                  <c:v>39.78632478632478</c:v>
                </c:pt>
                <c:pt idx="21">
                  <c:v>40.1517094017094</c:v>
                </c:pt>
                <c:pt idx="22">
                  <c:v>40.517094017094024</c:v>
                </c:pt>
                <c:pt idx="23">
                  <c:v>40.88247863247863</c:v>
                </c:pt>
                <c:pt idx="24">
                  <c:v>41.24786324786324</c:v>
                </c:pt>
                <c:pt idx="25">
                  <c:v>41.61324786324786</c:v>
                </c:pt>
                <c:pt idx="26">
                  <c:v>41.97863247863248</c:v>
                </c:pt>
                <c:pt idx="27">
                  <c:v>42.34401709401709</c:v>
                </c:pt>
                <c:pt idx="28">
                  <c:v>42.70940170940172</c:v>
                </c:pt>
                <c:pt idx="29">
                  <c:v>43.07478632478633</c:v>
                </c:pt>
                <c:pt idx="30">
                  <c:v>43.44017094017094</c:v>
                </c:pt>
                <c:pt idx="31">
                  <c:v>43.80555555555555</c:v>
                </c:pt>
                <c:pt idx="32">
                  <c:v>44.17094017094017</c:v>
                </c:pt>
                <c:pt idx="33">
                  <c:v>44.53632478632478</c:v>
                </c:pt>
                <c:pt idx="34">
                  <c:v>44.9017094017094</c:v>
                </c:pt>
                <c:pt idx="35">
                  <c:v>45.267094017094024</c:v>
                </c:pt>
                <c:pt idx="36">
                  <c:v>45.63247863247864</c:v>
                </c:pt>
                <c:pt idx="37">
                  <c:v>45.99786324786324</c:v>
                </c:pt>
                <c:pt idx="38">
                  <c:v>46.36324786324786</c:v>
                </c:pt>
                <c:pt idx="39">
                  <c:v>46.72863247863248</c:v>
                </c:pt>
                <c:pt idx="40">
                  <c:v>47.09401709401709</c:v>
                </c:pt>
                <c:pt idx="41">
                  <c:v>47.45940170940172</c:v>
                </c:pt>
                <c:pt idx="42">
                  <c:v>47.824786324786324</c:v>
                </c:pt>
                <c:pt idx="43">
                  <c:v>48.190170940170944</c:v>
                </c:pt>
                <c:pt idx="44">
                  <c:v>48.55555555555555</c:v>
                </c:pt>
                <c:pt idx="45">
                  <c:v>48.92094017094016</c:v>
                </c:pt>
                <c:pt idx="46">
                  <c:v>49.28632478632478</c:v>
                </c:pt>
                <c:pt idx="47">
                  <c:v>49.6517094017094</c:v>
                </c:pt>
                <c:pt idx="48">
                  <c:v>50.01709401709402</c:v>
                </c:pt>
                <c:pt idx="49">
                  <c:v>50.38247863247863</c:v>
                </c:pt>
                <c:pt idx="50">
                  <c:v>50.74786324786325</c:v>
                </c:pt>
                <c:pt idx="51">
                  <c:v>51.11324786324786</c:v>
                </c:pt>
                <c:pt idx="52">
                  <c:v>51.47863247863248</c:v>
                </c:pt>
                <c:pt idx="53">
                  <c:v>51.84401709401709</c:v>
                </c:pt>
                <c:pt idx="54">
                  <c:v>52.20940170940171</c:v>
                </c:pt>
                <c:pt idx="55">
                  <c:v>52.574786324786324</c:v>
                </c:pt>
                <c:pt idx="56">
                  <c:v>52.94017094017094</c:v>
                </c:pt>
                <c:pt idx="57">
                  <c:v>53.30555555555556</c:v>
                </c:pt>
                <c:pt idx="58">
                  <c:v>53.67094017094017</c:v>
                </c:pt>
                <c:pt idx="59">
                  <c:v>54.036324786324776</c:v>
                </c:pt>
                <c:pt idx="60">
                  <c:v>54.401709401709404</c:v>
                </c:pt>
                <c:pt idx="61">
                  <c:v>54.76709401709402</c:v>
                </c:pt>
                <c:pt idx="62">
                  <c:v>55.13247863247864</c:v>
                </c:pt>
                <c:pt idx="63">
                  <c:v>55.49786324786324</c:v>
                </c:pt>
                <c:pt idx="64">
                  <c:v>55.863247863247864</c:v>
                </c:pt>
                <c:pt idx="65">
                  <c:v>56.22863247863247</c:v>
                </c:pt>
                <c:pt idx="66">
                  <c:v>56.5940170940171</c:v>
                </c:pt>
                <c:pt idx="67">
                  <c:v>56.9594017094017</c:v>
                </c:pt>
                <c:pt idx="68">
                  <c:v>57.324786324786324</c:v>
                </c:pt>
                <c:pt idx="69">
                  <c:v>57.690170940170944</c:v>
                </c:pt>
                <c:pt idx="70">
                  <c:v>58.055555555555564</c:v>
                </c:pt>
                <c:pt idx="71">
                  <c:v>58.42094017094017</c:v>
                </c:pt>
                <c:pt idx="72">
                  <c:v>58.78632478632478</c:v>
                </c:pt>
                <c:pt idx="73">
                  <c:v>59.151709401709404</c:v>
                </c:pt>
                <c:pt idx="74">
                  <c:v>59.51709401709401</c:v>
                </c:pt>
                <c:pt idx="75">
                  <c:v>59.88247863247863</c:v>
                </c:pt>
                <c:pt idx="76">
                  <c:v>60.24786324786325</c:v>
                </c:pt>
                <c:pt idx="77">
                  <c:v>60.61324786324787</c:v>
                </c:pt>
                <c:pt idx="78">
                  <c:v>60.97863247863248</c:v>
                </c:pt>
                <c:pt idx="79">
                  <c:v>61.34401709401709</c:v>
                </c:pt>
                <c:pt idx="80">
                  <c:v>61.70940170940171</c:v>
                </c:pt>
                <c:pt idx="81">
                  <c:v>62.07478632478633</c:v>
                </c:pt>
                <c:pt idx="82">
                  <c:v>62.44017094017094</c:v>
                </c:pt>
                <c:pt idx="83">
                  <c:v>62.80555555555556</c:v>
                </c:pt>
                <c:pt idx="84">
                  <c:v>63.17094017094018</c:v>
                </c:pt>
                <c:pt idx="85">
                  <c:v>63.53632478632478</c:v>
                </c:pt>
                <c:pt idx="86">
                  <c:v>63.9017094017094</c:v>
                </c:pt>
                <c:pt idx="87">
                  <c:v>64.26709401709402</c:v>
                </c:pt>
                <c:pt idx="88">
                  <c:v>64.63247863247864</c:v>
                </c:pt>
                <c:pt idx="89">
                  <c:v>64.99786324786325</c:v>
                </c:pt>
                <c:pt idx="90">
                  <c:v>65.36324786324786</c:v>
                </c:pt>
                <c:pt idx="91">
                  <c:v>65.72863247863248</c:v>
                </c:pt>
                <c:pt idx="92">
                  <c:v>66.0940170940171</c:v>
                </c:pt>
                <c:pt idx="93">
                  <c:v>66.4594017094017</c:v>
                </c:pt>
                <c:pt idx="94">
                  <c:v>66.82478632478633</c:v>
                </c:pt>
                <c:pt idx="95">
                  <c:v>67.19017094017094</c:v>
                </c:pt>
                <c:pt idx="96">
                  <c:v>67.55555555555556</c:v>
                </c:pt>
                <c:pt idx="97">
                  <c:v>67.92094017094017</c:v>
                </c:pt>
                <c:pt idx="98">
                  <c:v>68.28632478632478</c:v>
                </c:pt>
                <c:pt idx="99">
                  <c:v>68.65170940170941</c:v>
                </c:pt>
                <c:pt idx="100">
                  <c:v>69.01709401709401</c:v>
                </c:pt>
                <c:pt idx="101">
                  <c:v>69.38247863247864</c:v>
                </c:pt>
                <c:pt idx="102">
                  <c:v>69.74786324786325</c:v>
                </c:pt>
                <c:pt idx="103">
                  <c:v>70.11324786324786</c:v>
                </c:pt>
                <c:pt idx="104">
                  <c:v>70.47863247863248</c:v>
                </c:pt>
                <c:pt idx="105">
                  <c:v>70.84401709401708</c:v>
                </c:pt>
                <c:pt idx="106">
                  <c:v>71.2094017094017</c:v>
                </c:pt>
                <c:pt idx="107">
                  <c:v>71.57478632478633</c:v>
                </c:pt>
                <c:pt idx="108">
                  <c:v>71.94017094017093</c:v>
                </c:pt>
                <c:pt idx="109">
                  <c:v>72.30555555555556</c:v>
                </c:pt>
                <c:pt idx="110">
                  <c:v>72.67094017094017</c:v>
                </c:pt>
                <c:pt idx="111">
                  <c:v>73.03632478632478</c:v>
                </c:pt>
                <c:pt idx="112">
                  <c:v>73.4017094017094</c:v>
                </c:pt>
                <c:pt idx="113">
                  <c:v>73.76709401709402</c:v>
                </c:pt>
                <c:pt idx="114">
                  <c:v>74.13247863247864</c:v>
                </c:pt>
                <c:pt idx="115">
                  <c:v>74.49786324786325</c:v>
                </c:pt>
                <c:pt idx="116">
                  <c:v>74.86324786324785</c:v>
                </c:pt>
                <c:pt idx="117">
                  <c:v>75.22863247863248</c:v>
                </c:pt>
                <c:pt idx="118">
                  <c:v>75.59401709401709</c:v>
                </c:pt>
                <c:pt idx="119">
                  <c:v>75.95940170940169</c:v>
                </c:pt>
                <c:pt idx="120">
                  <c:v>76.32478632478632</c:v>
                </c:pt>
                <c:pt idx="121">
                  <c:v>76.69017094017094</c:v>
                </c:pt>
                <c:pt idx="122">
                  <c:v>77.05555555555556</c:v>
                </c:pt>
                <c:pt idx="123">
                  <c:v>77.42094017094017</c:v>
                </c:pt>
                <c:pt idx="124">
                  <c:v>77.78632478632478</c:v>
                </c:pt>
                <c:pt idx="125">
                  <c:v>78.15170940170941</c:v>
                </c:pt>
                <c:pt idx="126">
                  <c:v>78.51709401709401</c:v>
                </c:pt>
                <c:pt idx="127">
                  <c:v>78.88247863247864</c:v>
                </c:pt>
                <c:pt idx="128">
                  <c:v>79.24786324786324</c:v>
                </c:pt>
                <c:pt idx="129">
                  <c:v>79.61324786324786</c:v>
                </c:pt>
                <c:pt idx="130">
                  <c:v>79.97863247863246</c:v>
                </c:pt>
                <c:pt idx="131">
                  <c:v>80.34401709401709</c:v>
                </c:pt>
                <c:pt idx="132">
                  <c:v>80.7094017094017</c:v>
                </c:pt>
                <c:pt idx="133">
                  <c:v>81.07478632478633</c:v>
                </c:pt>
                <c:pt idx="134">
                  <c:v>81.44017094017094</c:v>
                </c:pt>
                <c:pt idx="135">
                  <c:v>81.80555555555556</c:v>
                </c:pt>
                <c:pt idx="136">
                  <c:v>82.17094017094018</c:v>
                </c:pt>
                <c:pt idx="137">
                  <c:v>82.53632478632478</c:v>
                </c:pt>
                <c:pt idx="138">
                  <c:v>82.9017094017094</c:v>
                </c:pt>
                <c:pt idx="139">
                  <c:v>83.26709401709402</c:v>
                </c:pt>
                <c:pt idx="140">
                  <c:v>83.63247863247862</c:v>
                </c:pt>
                <c:pt idx="141">
                  <c:v>83.99786324786324</c:v>
                </c:pt>
                <c:pt idx="142">
                  <c:v>84.36324786324785</c:v>
                </c:pt>
                <c:pt idx="143">
                  <c:v>84.72863247863248</c:v>
                </c:pt>
                <c:pt idx="144">
                  <c:v>85.09401709401709</c:v>
                </c:pt>
                <c:pt idx="145">
                  <c:v>85.4594017094017</c:v>
                </c:pt>
                <c:pt idx="146">
                  <c:v>85.82478632478633</c:v>
                </c:pt>
                <c:pt idx="147">
                  <c:v>86.19017094017094</c:v>
                </c:pt>
                <c:pt idx="148">
                  <c:v>86.55555555555556</c:v>
                </c:pt>
                <c:pt idx="149">
                  <c:v>86.92094017094017</c:v>
                </c:pt>
                <c:pt idx="150">
                  <c:v>87.2863247863248</c:v>
                </c:pt>
                <c:pt idx="151">
                  <c:v>87.6517094017094</c:v>
                </c:pt>
                <c:pt idx="152">
                  <c:v>88.01709401709401</c:v>
                </c:pt>
                <c:pt idx="153">
                  <c:v>88.38247863247862</c:v>
                </c:pt>
                <c:pt idx="154">
                  <c:v>88.74786324786324</c:v>
                </c:pt>
                <c:pt idx="155">
                  <c:v>89.11324786324786</c:v>
                </c:pt>
                <c:pt idx="156">
                  <c:v>89.47863247863246</c:v>
                </c:pt>
                <c:pt idx="157">
                  <c:v>89.84401709401709</c:v>
                </c:pt>
                <c:pt idx="158">
                  <c:v>90.20940170940172</c:v>
                </c:pt>
                <c:pt idx="159">
                  <c:v>90.57478632478633</c:v>
                </c:pt>
                <c:pt idx="160">
                  <c:v>90.94017094017094</c:v>
                </c:pt>
                <c:pt idx="161">
                  <c:v>91.30555555555556</c:v>
                </c:pt>
                <c:pt idx="162">
                  <c:v>91.67094017094018</c:v>
                </c:pt>
                <c:pt idx="163">
                  <c:v>92.03632478632478</c:v>
                </c:pt>
                <c:pt idx="164">
                  <c:v>92.4017094017094</c:v>
                </c:pt>
                <c:pt idx="165">
                  <c:v>92.76709401709401</c:v>
                </c:pt>
                <c:pt idx="166">
                  <c:v>93.13247863247862</c:v>
                </c:pt>
                <c:pt idx="167">
                  <c:v>93.49786324786324</c:v>
                </c:pt>
                <c:pt idx="168">
                  <c:v>93.86324786324785</c:v>
                </c:pt>
                <c:pt idx="169">
                  <c:v>94.22863247863248</c:v>
                </c:pt>
                <c:pt idx="170">
                  <c:v>94.5940170940171</c:v>
                </c:pt>
                <c:pt idx="171">
                  <c:v>94.95940170940172</c:v>
                </c:pt>
                <c:pt idx="172">
                  <c:v>95.32478632478633</c:v>
                </c:pt>
                <c:pt idx="173">
                  <c:v>95.69017094017094</c:v>
                </c:pt>
                <c:pt idx="174">
                  <c:v>96.05555555555556</c:v>
                </c:pt>
                <c:pt idx="175">
                  <c:v>96.42094017094017</c:v>
                </c:pt>
                <c:pt idx="176">
                  <c:v>96.78632478632478</c:v>
                </c:pt>
                <c:pt idx="177">
                  <c:v>97.1517094017094</c:v>
                </c:pt>
                <c:pt idx="178">
                  <c:v>97.51709401709401</c:v>
                </c:pt>
                <c:pt idx="179">
                  <c:v>97.88247863247862</c:v>
                </c:pt>
                <c:pt idx="180">
                  <c:v>98.24786324786324</c:v>
                </c:pt>
                <c:pt idx="181">
                  <c:v>98.61324786324786</c:v>
                </c:pt>
                <c:pt idx="182">
                  <c:v>98.97863247863246</c:v>
                </c:pt>
                <c:pt idx="183">
                  <c:v>99.3440170940171</c:v>
                </c:pt>
                <c:pt idx="184">
                  <c:v>99.70940170940172</c:v>
                </c:pt>
                <c:pt idx="185">
                  <c:v>100.07478632478633</c:v>
                </c:pt>
                <c:pt idx="186">
                  <c:v>100.44017094017094</c:v>
                </c:pt>
                <c:pt idx="187">
                  <c:v>100.80555555555554</c:v>
                </c:pt>
                <c:pt idx="188">
                  <c:v>101.17094017094017</c:v>
                </c:pt>
                <c:pt idx="189">
                  <c:v>101.53632478632477</c:v>
                </c:pt>
                <c:pt idx="190">
                  <c:v>101.9017094017094</c:v>
                </c:pt>
                <c:pt idx="191">
                  <c:v>102.26709401709401</c:v>
                </c:pt>
                <c:pt idx="192">
                  <c:v>102.63247863247864</c:v>
                </c:pt>
                <c:pt idx="193">
                  <c:v>102.99786324786324</c:v>
                </c:pt>
                <c:pt idx="194">
                  <c:v>103.36324786324785</c:v>
                </c:pt>
                <c:pt idx="195">
                  <c:v>103.72863247863249</c:v>
                </c:pt>
                <c:pt idx="196">
                  <c:v>104.0940170940171</c:v>
                </c:pt>
                <c:pt idx="197">
                  <c:v>104.45940170940172</c:v>
                </c:pt>
                <c:pt idx="198">
                  <c:v>104.82478632478633</c:v>
                </c:pt>
                <c:pt idx="199">
                  <c:v>105.19017094017094</c:v>
                </c:pt>
                <c:pt idx="200">
                  <c:v>105.55555555555554</c:v>
                </c:pt>
              </c:numCache>
            </c:numRef>
          </c:xVal>
          <c:yVal>
            <c:numRef>
              <c:f>Luc_keo!$L$806:$L$1006</c:f>
              <c:numCache>
                <c:formatCode>General</c:formatCode>
                <c:ptCount val="201"/>
                <c:pt idx="0">
                  <c:v>0.03765697926145698</c:v>
                </c:pt>
                <c:pt idx="1">
                  <c:v>0.037729176628991966</c:v>
                </c:pt>
                <c:pt idx="2">
                  <c:v>0.03779944688977708</c:v>
                </c:pt>
                <c:pt idx="3">
                  <c:v>0.03786779004381232</c:v>
                </c:pt>
                <c:pt idx="4">
                  <c:v>0.037934206091097725</c:v>
                </c:pt>
                <c:pt idx="5">
                  <c:v>0.03799869503163323</c:v>
                </c:pt>
                <c:pt idx="6">
                  <c:v>0.038061256865418884</c:v>
                </c:pt>
                <c:pt idx="7">
                  <c:v>0.038121891592454646</c:v>
                </c:pt>
                <c:pt idx="8">
                  <c:v>0.038180599212740585</c:v>
                </c:pt>
                <c:pt idx="9">
                  <c:v>0.038237379726276645</c:v>
                </c:pt>
                <c:pt idx="10">
                  <c:v>0.038292233133062854</c:v>
                </c:pt>
                <c:pt idx="11">
                  <c:v>0.038345159433099185</c:v>
                </c:pt>
                <c:pt idx="12">
                  <c:v>0.038396158626385644</c:v>
                </c:pt>
                <c:pt idx="13">
                  <c:v>0.03844523071292225</c:v>
                </c:pt>
                <c:pt idx="14">
                  <c:v>0.03849237569270898</c:v>
                </c:pt>
                <c:pt idx="15">
                  <c:v>0.038537593565745855</c:v>
                </c:pt>
                <c:pt idx="16">
                  <c:v>0.03858088433203287</c:v>
                </c:pt>
                <c:pt idx="17">
                  <c:v>0.038622247991570005</c:v>
                </c:pt>
                <c:pt idx="18">
                  <c:v>0.03866168454435729</c:v>
                </c:pt>
                <c:pt idx="19">
                  <c:v>0.0386991939903947</c:v>
                </c:pt>
                <c:pt idx="20">
                  <c:v>0.038734776329682266</c:v>
                </c:pt>
                <c:pt idx="21">
                  <c:v>0.038768431562219936</c:v>
                </c:pt>
                <c:pt idx="22">
                  <c:v>0.03880015968800776</c:v>
                </c:pt>
                <c:pt idx="23">
                  <c:v>0.03882996070704572</c:v>
                </c:pt>
                <c:pt idx="24">
                  <c:v>0.038857834619333814</c:v>
                </c:pt>
                <c:pt idx="25">
                  <c:v>0.03888378142487205</c:v>
                </c:pt>
                <c:pt idx="26">
                  <c:v>0.03890780112366039</c:v>
                </c:pt>
                <c:pt idx="27">
                  <c:v>0.0389298937156989</c:v>
                </c:pt>
                <c:pt idx="28">
                  <c:v>0.038950059200987534</c:v>
                </c:pt>
                <c:pt idx="29">
                  <c:v>0.0389682975795263</c:v>
                </c:pt>
                <c:pt idx="30">
                  <c:v>0.03898460885131521</c:v>
                </c:pt>
                <c:pt idx="31">
                  <c:v>0.038998993016354254</c:v>
                </c:pt>
                <c:pt idx="32">
                  <c:v>0.03901145007464343</c:v>
                </c:pt>
                <c:pt idx="33">
                  <c:v>0.039021980026182734</c:v>
                </c:pt>
                <c:pt idx="34">
                  <c:v>0.0390305828709722</c:v>
                </c:pt>
                <c:pt idx="35">
                  <c:v>0.03903725860901177</c:v>
                </c:pt>
                <c:pt idx="36">
                  <c:v>0.039042007240301484</c:v>
                </c:pt>
                <c:pt idx="37">
                  <c:v>0.039044828764841354</c:v>
                </c:pt>
                <c:pt idx="38">
                  <c:v>0.03904572318263134</c:v>
                </c:pt>
                <c:pt idx="39">
                  <c:v>0.03904469049367146</c:v>
                </c:pt>
                <c:pt idx="40">
                  <c:v>0.03904173069796173</c:v>
                </c:pt>
                <c:pt idx="41">
                  <c:v>0.03903684379550211</c:v>
                </c:pt>
                <c:pt idx="42">
                  <c:v>0.039030029786292636</c:v>
                </c:pt>
                <c:pt idx="43">
                  <c:v>0.03902128867033331</c:v>
                </c:pt>
                <c:pt idx="44">
                  <c:v>0.039010620447624114</c:v>
                </c:pt>
                <c:pt idx="45">
                  <c:v>0.038998025118165046</c:v>
                </c:pt>
                <c:pt idx="46">
                  <c:v>0.03898350268195613</c:v>
                </c:pt>
                <c:pt idx="47">
                  <c:v>0.03896705313899732</c:v>
                </c:pt>
                <c:pt idx="48">
                  <c:v>0.03894867648928868</c:v>
                </c:pt>
                <c:pt idx="49">
                  <c:v>0.038928372732830153</c:v>
                </c:pt>
                <c:pt idx="50">
                  <c:v>0.03890614186962178</c:v>
                </c:pt>
                <c:pt idx="51">
                  <c:v>0.038881983899663526</c:v>
                </c:pt>
                <c:pt idx="52">
                  <c:v>0.038855898822955405</c:v>
                </c:pt>
                <c:pt idx="53">
                  <c:v>0.03882788663949743</c:v>
                </c:pt>
                <c:pt idx="54">
                  <c:v>0.03879794734928958</c:v>
                </c:pt>
                <c:pt idx="55">
                  <c:v>0.038766080952331874</c:v>
                </c:pt>
                <c:pt idx="56">
                  <c:v>0.03873228744862431</c:v>
                </c:pt>
                <c:pt idx="57">
                  <c:v>0.03869656683816689</c:v>
                </c:pt>
                <c:pt idx="58">
                  <c:v>0.03865891912095957</c:v>
                </c:pt>
                <c:pt idx="59">
                  <c:v>0.0386193442970024</c:v>
                </c:pt>
                <c:pt idx="60">
                  <c:v>0.03857784236629536</c:v>
                </c:pt>
                <c:pt idx="61">
                  <c:v>0.038534413328838474</c:v>
                </c:pt>
                <c:pt idx="62">
                  <c:v>0.03848905718463173</c:v>
                </c:pt>
                <c:pt idx="63">
                  <c:v>0.03844177393367509</c:v>
                </c:pt>
                <c:pt idx="64">
                  <c:v>0.03839256357596861</c:v>
                </c:pt>
                <c:pt idx="65">
                  <c:v>0.03834142611151225</c:v>
                </c:pt>
                <c:pt idx="66">
                  <c:v>0.038288361540306036</c:v>
                </c:pt>
                <c:pt idx="67">
                  <c:v>0.038233369862349945</c:v>
                </c:pt>
                <c:pt idx="68">
                  <c:v>0.03817645107764401</c:v>
                </c:pt>
                <c:pt idx="69">
                  <c:v>0.03811760518618818</c:v>
                </c:pt>
                <c:pt idx="70">
                  <c:v>0.038056832187982524</c:v>
                </c:pt>
                <c:pt idx="71">
                  <c:v>0.03799413208302699</c:v>
                </c:pt>
                <c:pt idx="72">
                  <c:v>0.03792950487132157</c:v>
                </c:pt>
                <c:pt idx="73">
                  <c:v>0.037862950552866315</c:v>
                </c:pt>
                <c:pt idx="74">
                  <c:v>0.03779446912766118</c:v>
                </c:pt>
                <c:pt idx="75">
                  <c:v>0.03772406059570618</c:v>
                </c:pt>
                <c:pt idx="76">
                  <c:v>0.03765172495700133</c:v>
                </c:pt>
                <c:pt idx="77">
                  <c:v>0.03757746221154658</c:v>
                </c:pt>
                <c:pt idx="78">
                  <c:v>0.03750127235934201</c:v>
                </c:pt>
                <c:pt idx="79">
                  <c:v>0.037423155400387535</c:v>
                </c:pt>
                <c:pt idx="80">
                  <c:v>0.03734311133468321</c:v>
                </c:pt>
                <c:pt idx="81">
                  <c:v>0.03726114016222902</c:v>
                </c:pt>
                <c:pt idx="82">
                  <c:v>0.037177241883024986</c:v>
                </c:pt>
                <c:pt idx="83">
                  <c:v>0.03709141649707107</c:v>
                </c:pt>
                <c:pt idx="84">
                  <c:v>0.03700366400436729</c:v>
                </c:pt>
                <c:pt idx="85">
                  <c:v>0.036913984404913655</c:v>
                </c:pt>
                <c:pt idx="86">
                  <c:v>0.03682237769871014</c:v>
                </c:pt>
                <c:pt idx="87">
                  <c:v>0.036728843885756764</c:v>
                </c:pt>
                <c:pt idx="88">
                  <c:v>0.03663338296605352</c:v>
                </c:pt>
                <c:pt idx="89">
                  <c:v>0.03653599493960043</c:v>
                </c:pt>
                <c:pt idx="90">
                  <c:v>0.03643667980639746</c:v>
                </c:pt>
                <c:pt idx="91">
                  <c:v>0.03633543756644464</c:v>
                </c:pt>
                <c:pt idx="92">
                  <c:v>0.03623226821974193</c:v>
                </c:pt>
                <c:pt idx="93">
                  <c:v>0.03612717176628937</c:v>
                </c:pt>
                <c:pt idx="94">
                  <c:v>0.03602014820608695</c:v>
                </c:pt>
                <c:pt idx="95">
                  <c:v>0.035911197539134666</c:v>
                </c:pt>
                <c:pt idx="96">
                  <c:v>0.035800319765432506</c:v>
                </c:pt>
                <c:pt idx="97">
                  <c:v>0.0356875148849805</c:v>
                </c:pt>
                <c:pt idx="98">
                  <c:v>0.0355727828977786</c:v>
                </c:pt>
                <c:pt idx="99">
                  <c:v>0.03545612380382686</c:v>
                </c:pt>
                <c:pt idx="100">
                  <c:v>0.03533753760312525</c:v>
                </c:pt>
                <c:pt idx="101">
                  <c:v>0.03521702429567377</c:v>
                </c:pt>
                <c:pt idx="102">
                  <c:v>0.035094583881472435</c:v>
                </c:pt>
                <c:pt idx="103">
                  <c:v>0.03497021636052122</c:v>
                </c:pt>
                <c:pt idx="104">
                  <c:v>0.03484392173282015</c:v>
                </c:pt>
                <c:pt idx="105">
                  <c:v>0.03471569999836924</c:v>
                </c:pt>
                <c:pt idx="106">
                  <c:v>0.03458555115716842</c:v>
                </c:pt>
                <c:pt idx="107">
                  <c:v>0.034453475209217745</c:v>
                </c:pt>
                <c:pt idx="108">
                  <c:v>0.03431947215451724</c:v>
                </c:pt>
                <c:pt idx="109">
                  <c:v>0.034183541993066856</c:v>
                </c:pt>
                <c:pt idx="110">
                  <c:v>0.03404568472486659</c:v>
                </c:pt>
                <c:pt idx="111">
                  <c:v>0.03390590034991647</c:v>
                </c:pt>
                <c:pt idx="112">
                  <c:v>0.03376418886821648</c:v>
                </c:pt>
                <c:pt idx="113">
                  <c:v>0.033620550279766626</c:v>
                </c:pt>
                <c:pt idx="114">
                  <c:v>0.033474984584566915</c:v>
                </c:pt>
                <c:pt idx="115">
                  <c:v>0.03332749178261732</c:v>
                </c:pt>
                <c:pt idx="116">
                  <c:v>0.033178071873917886</c:v>
                </c:pt>
                <c:pt idx="117">
                  <c:v>0.033026724858468574</c:v>
                </c:pt>
                <c:pt idx="118">
                  <c:v>0.03287345073626941</c:v>
                </c:pt>
                <c:pt idx="119">
                  <c:v>0.03271824950732037</c:v>
                </c:pt>
                <c:pt idx="120">
                  <c:v>0.03256112117162148</c:v>
                </c:pt>
                <c:pt idx="121">
                  <c:v>0.0324020657291727</c:v>
                </c:pt>
                <c:pt idx="122">
                  <c:v>0.032241083179974074</c:v>
                </c:pt>
                <c:pt idx="123">
                  <c:v>0.03207817352402556</c:v>
                </c:pt>
                <c:pt idx="124">
                  <c:v>0.03191333676132723</c:v>
                </c:pt>
                <c:pt idx="125">
                  <c:v>0.031746572891878995</c:v>
                </c:pt>
                <c:pt idx="126">
                  <c:v>0.031577881915680915</c:v>
                </c:pt>
                <c:pt idx="127">
                  <c:v>0.03140726383273295</c:v>
                </c:pt>
                <c:pt idx="128">
                  <c:v>0.031234718643035158</c:v>
                </c:pt>
                <c:pt idx="129">
                  <c:v>0.031060246346587456</c:v>
                </c:pt>
                <c:pt idx="130">
                  <c:v>0.03088384694338991</c:v>
                </c:pt>
                <c:pt idx="131">
                  <c:v>0.030705520433442515</c:v>
                </c:pt>
                <c:pt idx="132">
                  <c:v>0.03052526681674524</c:v>
                </c:pt>
                <c:pt idx="133">
                  <c:v>0.030343086093298076</c:v>
                </c:pt>
                <c:pt idx="134">
                  <c:v>0.030158978263101082</c:v>
                </c:pt>
                <c:pt idx="135">
                  <c:v>0.029972943326154206</c:v>
                </c:pt>
                <c:pt idx="136">
                  <c:v>0.029784981282457483</c:v>
                </c:pt>
                <c:pt idx="137">
                  <c:v>0.029595092132010888</c:v>
                </c:pt>
                <c:pt idx="138">
                  <c:v>0.029403275874814398</c:v>
                </c:pt>
                <c:pt idx="139">
                  <c:v>0.02920953251086807</c:v>
                </c:pt>
                <c:pt idx="140">
                  <c:v>0.029013862040171895</c:v>
                </c:pt>
                <c:pt idx="141">
                  <c:v>0.02881626446272583</c:v>
                </c:pt>
                <c:pt idx="142">
                  <c:v>0.028616739778529906</c:v>
                </c:pt>
                <c:pt idx="143">
                  <c:v>0.028415287987584123</c:v>
                </c:pt>
                <c:pt idx="144">
                  <c:v>0.02821190908988847</c:v>
                </c:pt>
                <c:pt idx="145">
                  <c:v>0.028006603085442956</c:v>
                </c:pt>
                <c:pt idx="146">
                  <c:v>0.027799369974247593</c:v>
                </c:pt>
                <c:pt idx="147">
                  <c:v>0.027590209756302338</c:v>
                </c:pt>
                <c:pt idx="148">
                  <c:v>0.02737912243160723</c:v>
                </c:pt>
                <c:pt idx="149">
                  <c:v>0.02716610800016225</c:v>
                </c:pt>
                <c:pt idx="150">
                  <c:v>0.02695116646196742</c:v>
                </c:pt>
                <c:pt idx="151">
                  <c:v>0.02673429781702272</c:v>
                </c:pt>
                <c:pt idx="152">
                  <c:v>0.026515502065328152</c:v>
                </c:pt>
                <c:pt idx="153">
                  <c:v>0.026294779206883733</c:v>
                </c:pt>
                <c:pt idx="154">
                  <c:v>0.026072129241689425</c:v>
                </c:pt>
                <c:pt idx="155">
                  <c:v>0.025847552169745262</c:v>
                </c:pt>
                <c:pt idx="156">
                  <c:v>0.025621047991051246</c:v>
                </c:pt>
                <c:pt idx="157">
                  <c:v>0.025392616705607343</c:v>
                </c:pt>
                <c:pt idx="158">
                  <c:v>0.025162258313413594</c:v>
                </c:pt>
                <c:pt idx="159">
                  <c:v>0.024929972814469972</c:v>
                </c:pt>
                <c:pt idx="160">
                  <c:v>0.024695760208776493</c:v>
                </c:pt>
                <c:pt idx="161">
                  <c:v>0.024459620496333143</c:v>
                </c:pt>
                <c:pt idx="162">
                  <c:v>0.02422155367713993</c:v>
                </c:pt>
                <c:pt idx="163">
                  <c:v>0.02398155975119686</c:v>
                </c:pt>
                <c:pt idx="164">
                  <c:v>0.023739638718503927</c:v>
                </c:pt>
                <c:pt idx="165">
                  <c:v>0.023495790579061114</c:v>
                </c:pt>
                <c:pt idx="166">
                  <c:v>0.02325001533286845</c:v>
                </c:pt>
                <c:pt idx="167">
                  <c:v>0.023002312979925926</c:v>
                </c:pt>
                <c:pt idx="168">
                  <c:v>0.02275268352023351</c:v>
                </c:pt>
                <c:pt idx="169">
                  <c:v>0.022501126953791258</c:v>
                </c:pt>
                <c:pt idx="170">
                  <c:v>0.02224764328059912</c:v>
                </c:pt>
                <c:pt idx="171">
                  <c:v>0.021992232500657127</c:v>
                </c:pt>
                <c:pt idx="172">
                  <c:v>0.02173489461396527</c:v>
                </c:pt>
                <c:pt idx="173">
                  <c:v>0.021475629620523552</c:v>
                </c:pt>
                <c:pt idx="174">
                  <c:v>0.021214437520331964</c:v>
                </c:pt>
                <c:pt idx="175">
                  <c:v>0.020951318313390515</c:v>
                </c:pt>
                <c:pt idx="176">
                  <c:v>0.020686271999699194</c:v>
                </c:pt>
                <c:pt idx="177">
                  <c:v>0.020419298579258005</c:v>
                </c:pt>
                <c:pt idx="178">
                  <c:v>0.020150398052066976</c:v>
                </c:pt>
                <c:pt idx="179">
                  <c:v>0.019879570418126075</c:v>
                </c:pt>
                <c:pt idx="180">
                  <c:v>0.01960681567743529</c:v>
                </c:pt>
                <c:pt idx="181">
                  <c:v>0.019332133829994658</c:v>
                </c:pt>
                <c:pt idx="182">
                  <c:v>0.019055524875804163</c:v>
                </c:pt>
                <c:pt idx="183">
                  <c:v>0.01877698881486378</c:v>
                </c:pt>
                <c:pt idx="184">
                  <c:v>0.01849652564717354</c:v>
                </c:pt>
                <c:pt idx="185">
                  <c:v>0.01821413537273345</c:v>
                </c:pt>
                <c:pt idx="186">
                  <c:v>0.017929817991543483</c:v>
                </c:pt>
                <c:pt idx="187">
                  <c:v>0.01764357350360367</c:v>
                </c:pt>
                <c:pt idx="188">
                  <c:v>0.01735540190891398</c:v>
                </c:pt>
                <c:pt idx="189">
                  <c:v>0.017065303207474434</c:v>
                </c:pt>
                <c:pt idx="190">
                  <c:v>0.016773277399285004</c:v>
                </c:pt>
                <c:pt idx="191">
                  <c:v>0.016479324484345734</c:v>
                </c:pt>
                <c:pt idx="192">
                  <c:v>0.0161834444626566</c:v>
                </c:pt>
                <c:pt idx="193">
                  <c:v>0.015885637334217575</c:v>
                </c:pt>
                <c:pt idx="194">
                  <c:v>0.015585903099028705</c:v>
                </c:pt>
                <c:pt idx="195">
                  <c:v>0.015284241757089943</c:v>
                </c:pt>
                <c:pt idx="196">
                  <c:v>0.014980653308401337</c:v>
                </c:pt>
                <c:pt idx="197">
                  <c:v>0.014675137752962874</c:v>
                </c:pt>
                <c:pt idx="198">
                  <c:v>0.014367695090774542</c:v>
                </c:pt>
                <c:pt idx="199">
                  <c:v>0.01405832532183635</c:v>
                </c:pt>
                <c:pt idx="200">
                  <c:v>0.013747028446148274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(km/h)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Gia tốc j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Số 1</c:v>
          </c:tx>
          <c:marker>
            <c:symbol val="none"/>
          </c:marker>
          <c:xVal>
            <c:numRef>
              <c:f>Luc_keo!$E$2:$E$202</c:f>
              <c:numCache>
                <c:formatCode>General</c:formatCode>
                <c:ptCount val="201"/>
                <c:pt idx="0">
                  <c:v>4.639804639804639</c:v>
                </c:pt>
                <c:pt idx="1">
                  <c:v>4.692002442002441</c:v>
                </c:pt>
                <c:pt idx="2">
                  <c:v>4.744200244200244</c:v>
                </c:pt>
                <c:pt idx="3">
                  <c:v>4.796398046398046</c:v>
                </c:pt>
                <c:pt idx="4">
                  <c:v>4.848595848595849</c:v>
                </c:pt>
                <c:pt idx="5">
                  <c:v>4.900793650793651</c:v>
                </c:pt>
                <c:pt idx="6">
                  <c:v>4.952991452991452</c:v>
                </c:pt>
                <c:pt idx="7">
                  <c:v>5.005189255189254</c:v>
                </c:pt>
                <c:pt idx="8">
                  <c:v>5.057387057387056</c:v>
                </c:pt>
                <c:pt idx="9">
                  <c:v>5.109584859584859</c:v>
                </c:pt>
                <c:pt idx="10">
                  <c:v>5.161782661782661</c:v>
                </c:pt>
                <c:pt idx="11">
                  <c:v>5.213980463980464</c:v>
                </c:pt>
                <c:pt idx="12">
                  <c:v>5.266178266178266</c:v>
                </c:pt>
                <c:pt idx="13">
                  <c:v>5.318376068376068</c:v>
                </c:pt>
                <c:pt idx="14">
                  <c:v>5.37057387057387</c:v>
                </c:pt>
                <c:pt idx="15">
                  <c:v>5.422771672771673</c:v>
                </c:pt>
                <c:pt idx="16">
                  <c:v>5.474969474969475</c:v>
                </c:pt>
                <c:pt idx="17">
                  <c:v>5.527167277167278</c:v>
                </c:pt>
                <c:pt idx="18">
                  <c:v>5.57936507936508</c:v>
                </c:pt>
                <c:pt idx="19">
                  <c:v>5.631562881562882</c:v>
                </c:pt>
                <c:pt idx="20">
                  <c:v>5.683760683760684</c:v>
                </c:pt>
                <c:pt idx="21">
                  <c:v>5.735958485958485</c:v>
                </c:pt>
                <c:pt idx="22">
                  <c:v>5.788156288156289</c:v>
                </c:pt>
                <c:pt idx="23">
                  <c:v>5.84035409035409</c:v>
                </c:pt>
                <c:pt idx="24">
                  <c:v>5.892551892551892</c:v>
                </c:pt>
                <c:pt idx="25">
                  <c:v>5.944749694749694</c:v>
                </c:pt>
                <c:pt idx="26">
                  <c:v>5.996947496947497</c:v>
                </c:pt>
                <c:pt idx="27">
                  <c:v>6.049145299145299</c:v>
                </c:pt>
                <c:pt idx="28">
                  <c:v>6.101343101343102</c:v>
                </c:pt>
                <c:pt idx="29">
                  <c:v>6.153540903540904</c:v>
                </c:pt>
                <c:pt idx="30">
                  <c:v>6.205738705738706</c:v>
                </c:pt>
                <c:pt idx="31">
                  <c:v>6.257936507936508</c:v>
                </c:pt>
                <c:pt idx="32">
                  <c:v>6.310134310134311</c:v>
                </c:pt>
                <c:pt idx="33">
                  <c:v>6.362332112332113</c:v>
                </c:pt>
                <c:pt idx="34">
                  <c:v>6.414529914529915</c:v>
                </c:pt>
                <c:pt idx="35">
                  <c:v>6.466727716727717</c:v>
                </c:pt>
                <c:pt idx="36">
                  <c:v>6.518925518925519</c:v>
                </c:pt>
                <c:pt idx="37">
                  <c:v>6.571123321123321</c:v>
                </c:pt>
                <c:pt idx="38">
                  <c:v>6.623321123321123</c:v>
                </c:pt>
                <c:pt idx="39">
                  <c:v>6.675518925518925</c:v>
                </c:pt>
                <c:pt idx="40">
                  <c:v>6.727716727716727</c:v>
                </c:pt>
                <c:pt idx="41">
                  <c:v>6.779914529914531</c:v>
                </c:pt>
                <c:pt idx="42">
                  <c:v>6.832112332112331</c:v>
                </c:pt>
                <c:pt idx="43">
                  <c:v>6.884310134310134</c:v>
                </c:pt>
                <c:pt idx="44">
                  <c:v>6.936507936507936</c:v>
                </c:pt>
                <c:pt idx="45">
                  <c:v>6.988705738705738</c:v>
                </c:pt>
                <c:pt idx="46">
                  <c:v>7.040903540903541</c:v>
                </c:pt>
                <c:pt idx="47">
                  <c:v>7.093101343101343</c:v>
                </c:pt>
                <c:pt idx="48">
                  <c:v>7.145299145299145</c:v>
                </c:pt>
                <c:pt idx="49">
                  <c:v>7.197496947496947</c:v>
                </c:pt>
                <c:pt idx="50">
                  <c:v>7.24969474969475</c:v>
                </c:pt>
                <c:pt idx="51">
                  <c:v>7.301892551892552</c:v>
                </c:pt>
                <c:pt idx="52">
                  <c:v>7.354090354090354</c:v>
                </c:pt>
                <c:pt idx="53">
                  <c:v>7.406288156288156</c:v>
                </c:pt>
                <c:pt idx="54">
                  <c:v>7.458485958485958</c:v>
                </c:pt>
                <c:pt idx="55">
                  <c:v>7.51068376068376</c:v>
                </c:pt>
                <c:pt idx="56">
                  <c:v>7.562881562881562</c:v>
                </c:pt>
                <c:pt idx="57">
                  <c:v>7.615079365079366</c:v>
                </c:pt>
                <c:pt idx="58">
                  <c:v>7.667277167277168</c:v>
                </c:pt>
                <c:pt idx="59">
                  <c:v>7.719474969474968</c:v>
                </c:pt>
                <c:pt idx="60">
                  <c:v>7.771672771672772</c:v>
                </c:pt>
                <c:pt idx="61">
                  <c:v>7.823870573870574</c:v>
                </c:pt>
                <c:pt idx="62">
                  <c:v>7.876068376068377</c:v>
                </c:pt>
                <c:pt idx="63">
                  <c:v>7.928266178266178</c:v>
                </c:pt>
                <c:pt idx="64">
                  <c:v>7.98046398046398</c:v>
                </c:pt>
                <c:pt idx="65">
                  <c:v>8.032661782661782</c:v>
                </c:pt>
                <c:pt idx="66">
                  <c:v>8.084859584859585</c:v>
                </c:pt>
                <c:pt idx="67">
                  <c:v>8.137057387057386</c:v>
                </c:pt>
                <c:pt idx="68">
                  <c:v>8.189255189255189</c:v>
                </c:pt>
                <c:pt idx="69">
                  <c:v>8.241452991452991</c:v>
                </c:pt>
                <c:pt idx="70">
                  <c:v>8.293650793650793</c:v>
                </c:pt>
                <c:pt idx="71">
                  <c:v>8.345848595848596</c:v>
                </c:pt>
                <c:pt idx="72">
                  <c:v>8.398046398046397</c:v>
                </c:pt>
                <c:pt idx="73">
                  <c:v>8.450244200244201</c:v>
                </c:pt>
                <c:pt idx="74">
                  <c:v>8.502442002442</c:v>
                </c:pt>
                <c:pt idx="75">
                  <c:v>8.554639804639805</c:v>
                </c:pt>
                <c:pt idx="76">
                  <c:v>8.606837606837606</c:v>
                </c:pt>
                <c:pt idx="77">
                  <c:v>8.65903540903541</c:v>
                </c:pt>
                <c:pt idx="78">
                  <c:v>8.71123321123321</c:v>
                </c:pt>
                <c:pt idx="79">
                  <c:v>8.763431013431013</c:v>
                </c:pt>
                <c:pt idx="80">
                  <c:v>8.815628815628815</c:v>
                </c:pt>
                <c:pt idx="81">
                  <c:v>8.86782661782662</c:v>
                </c:pt>
                <c:pt idx="82">
                  <c:v>8.920024420024419</c:v>
                </c:pt>
                <c:pt idx="83">
                  <c:v>8.972222222222223</c:v>
                </c:pt>
                <c:pt idx="84">
                  <c:v>9.024420024420024</c:v>
                </c:pt>
                <c:pt idx="85">
                  <c:v>9.076617826617825</c:v>
                </c:pt>
                <c:pt idx="86">
                  <c:v>9.128815628815628</c:v>
                </c:pt>
                <c:pt idx="87">
                  <c:v>9.181013431013431</c:v>
                </c:pt>
                <c:pt idx="88">
                  <c:v>9.233211233211234</c:v>
                </c:pt>
                <c:pt idx="89">
                  <c:v>9.285409035409035</c:v>
                </c:pt>
                <c:pt idx="90">
                  <c:v>9.337606837606836</c:v>
                </c:pt>
                <c:pt idx="91">
                  <c:v>9.389804639804641</c:v>
                </c:pt>
                <c:pt idx="92">
                  <c:v>9.442002442002442</c:v>
                </c:pt>
                <c:pt idx="93">
                  <c:v>9.494200244200243</c:v>
                </c:pt>
                <c:pt idx="94">
                  <c:v>9.546398046398046</c:v>
                </c:pt>
                <c:pt idx="95">
                  <c:v>9.59859584859585</c:v>
                </c:pt>
                <c:pt idx="96">
                  <c:v>9.650793650793652</c:v>
                </c:pt>
                <c:pt idx="97">
                  <c:v>9.702991452991453</c:v>
                </c:pt>
                <c:pt idx="98">
                  <c:v>9.755189255189254</c:v>
                </c:pt>
                <c:pt idx="99">
                  <c:v>9.807387057387059</c:v>
                </c:pt>
                <c:pt idx="100">
                  <c:v>9.859584859584858</c:v>
                </c:pt>
                <c:pt idx="101">
                  <c:v>9.911782661782663</c:v>
                </c:pt>
                <c:pt idx="102">
                  <c:v>9.963980463980464</c:v>
                </c:pt>
                <c:pt idx="103">
                  <c:v>10.016178266178267</c:v>
                </c:pt>
                <c:pt idx="104">
                  <c:v>10.068376068376068</c:v>
                </c:pt>
                <c:pt idx="105">
                  <c:v>10.12057387057387</c:v>
                </c:pt>
                <c:pt idx="106">
                  <c:v>10.172771672771672</c:v>
                </c:pt>
                <c:pt idx="107">
                  <c:v>10.224969474969475</c:v>
                </c:pt>
                <c:pt idx="108">
                  <c:v>10.277167277167276</c:v>
                </c:pt>
                <c:pt idx="109">
                  <c:v>10.329365079365079</c:v>
                </c:pt>
                <c:pt idx="110">
                  <c:v>10.381562881562882</c:v>
                </c:pt>
                <c:pt idx="111">
                  <c:v>10.433760683760683</c:v>
                </c:pt>
                <c:pt idx="112">
                  <c:v>10.485958485958486</c:v>
                </c:pt>
                <c:pt idx="113">
                  <c:v>10.538156288156287</c:v>
                </c:pt>
                <c:pt idx="114">
                  <c:v>10.590354090354092</c:v>
                </c:pt>
                <c:pt idx="115">
                  <c:v>10.642551892551891</c:v>
                </c:pt>
                <c:pt idx="116">
                  <c:v>10.694749694749694</c:v>
                </c:pt>
                <c:pt idx="117">
                  <c:v>10.746947496947495</c:v>
                </c:pt>
                <c:pt idx="118">
                  <c:v>10.7991452991453</c:v>
                </c:pt>
                <c:pt idx="119">
                  <c:v>10.8513431013431</c:v>
                </c:pt>
                <c:pt idx="120">
                  <c:v>10.903540903540904</c:v>
                </c:pt>
                <c:pt idx="121">
                  <c:v>10.955738705738705</c:v>
                </c:pt>
                <c:pt idx="122">
                  <c:v>11.007936507936506</c:v>
                </c:pt>
                <c:pt idx="123">
                  <c:v>11.060134310134309</c:v>
                </c:pt>
                <c:pt idx="124">
                  <c:v>11.112332112332114</c:v>
                </c:pt>
                <c:pt idx="125">
                  <c:v>11.164529914529915</c:v>
                </c:pt>
                <c:pt idx="126">
                  <c:v>11.216727716727716</c:v>
                </c:pt>
                <c:pt idx="127">
                  <c:v>11.268925518925519</c:v>
                </c:pt>
                <c:pt idx="128">
                  <c:v>11.32112332112332</c:v>
                </c:pt>
                <c:pt idx="129">
                  <c:v>11.373321123321123</c:v>
                </c:pt>
                <c:pt idx="130">
                  <c:v>11.425518925518924</c:v>
                </c:pt>
                <c:pt idx="131">
                  <c:v>11.477716727716727</c:v>
                </c:pt>
                <c:pt idx="132">
                  <c:v>11.52991452991453</c:v>
                </c:pt>
                <c:pt idx="133">
                  <c:v>11.582112332112333</c:v>
                </c:pt>
                <c:pt idx="134">
                  <c:v>11.634310134310134</c:v>
                </c:pt>
                <c:pt idx="135">
                  <c:v>11.686507936507937</c:v>
                </c:pt>
                <c:pt idx="136">
                  <c:v>11.73870573870574</c:v>
                </c:pt>
                <c:pt idx="137">
                  <c:v>11.79090354090354</c:v>
                </c:pt>
                <c:pt idx="138">
                  <c:v>11.843101343101344</c:v>
                </c:pt>
                <c:pt idx="139">
                  <c:v>11.895299145299147</c:v>
                </c:pt>
                <c:pt idx="140">
                  <c:v>11.947496947496948</c:v>
                </c:pt>
                <c:pt idx="141">
                  <c:v>11.999694749694747</c:v>
                </c:pt>
                <c:pt idx="142">
                  <c:v>12.051892551892552</c:v>
                </c:pt>
                <c:pt idx="143">
                  <c:v>12.104090354090353</c:v>
                </c:pt>
                <c:pt idx="144">
                  <c:v>12.156288156288158</c:v>
                </c:pt>
                <c:pt idx="145">
                  <c:v>12.208485958485957</c:v>
                </c:pt>
                <c:pt idx="146">
                  <c:v>12.260683760683762</c:v>
                </c:pt>
                <c:pt idx="147">
                  <c:v>12.312881562881563</c:v>
                </c:pt>
                <c:pt idx="148">
                  <c:v>12.365079365079366</c:v>
                </c:pt>
                <c:pt idx="149">
                  <c:v>12.417277167277167</c:v>
                </c:pt>
                <c:pt idx="150">
                  <c:v>12.46947496947497</c:v>
                </c:pt>
                <c:pt idx="151">
                  <c:v>12.52167277167277</c:v>
                </c:pt>
                <c:pt idx="152">
                  <c:v>12.573870573870574</c:v>
                </c:pt>
                <c:pt idx="153">
                  <c:v>12.626068376068375</c:v>
                </c:pt>
                <c:pt idx="154">
                  <c:v>12.678266178266178</c:v>
                </c:pt>
                <c:pt idx="155">
                  <c:v>12.73046398046398</c:v>
                </c:pt>
                <c:pt idx="156">
                  <c:v>12.782661782661782</c:v>
                </c:pt>
                <c:pt idx="157">
                  <c:v>12.834859584859585</c:v>
                </c:pt>
                <c:pt idx="158">
                  <c:v>12.887057387057387</c:v>
                </c:pt>
                <c:pt idx="159">
                  <c:v>12.93925518925519</c:v>
                </c:pt>
                <c:pt idx="160">
                  <c:v>12.99145299145299</c:v>
                </c:pt>
                <c:pt idx="161">
                  <c:v>13.043650793650794</c:v>
                </c:pt>
                <c:pt idx="162">
                  <c:v>13.095848595848597</c:v>
                </c:pt>
                <c:pt idx="163">
                  <c:v>13.148046398046398</c:v>
                </c:pt>
                <c:pt idx="164">
                  <c:v>13.200244200244198</c:v>
                </c:pt>
                <c:pt idx="165">
                  <c:v>13.252442002442002</c:v>
                </c:pt>
                <c:pt idx="166">
                  <c:v>13.304639804639804</c:v>
                </c:pt>
                <c:pt idx="167">
                  <c:v>13.356837606837605</c:v>
                </c:pt>
                <c:pt idx="168">
                  <c:v>13.409035409035408</c:v>
                </c:pt>
                <c:pt idx="169">
                  <c:v>13.461233211233212</c:v>
                </c:pt>
                <c:pt idx="170">
                  <c:v>13.513431013431013</c:v>
                </c:pt>
                <c:pt idx="171">
                  <c:v>13.565628815628815</c:v>
                </c:pt>
                <c:pt idx="172">
                  <c:v>13.617826617826617</c:v>
                </c:pt>
                <c:pt idx="173">
                  <c:v>13.670024420024422</c:v>
                </c:pt>
                <c:pt idx="174">
                  <c:v>13.722222222222221</c:v>
                </c:pt>
                <c:pt idx="175">
                  <c:v>13.774420024420024</c:v>
                </c:pt>
                <c:pt idx="176">
                  <c:v>13.826617826617825</c:v>
                </c:pt>
                <c:pt idx="177">
                  <c:v>13.878815628815628</c:v>
                </c:pt>
                <c:pt idx="178">
                  <c:v>13.93101343101343</c:v>
                </c:pt>
                <c:pt idx="179">
                  <c:v>13.983211233211232</c:v>
                </c:pt>
                <c:pt idx="180">
                  <c:v>14.035409035409035</c:v>
                </c:pt>
                <c:pt idx="181">
                  <c:v>14.087606837606838</c:v>
                </c:pt>
                <c:pt idx="182">
                  <c:v>14.13980463980464</c:v>
                </c:pt>
                <c:pt idx="183">
                  <c:v>14.192002442002442</c:v>
                </c:pt>
                <c:pt idx="184">
                  <c:v>14.244200244200245</c:v>
                </c:pt>
                <c:pt idx="185">
                  <c:v>14.296398046398048</c:v>
                </c:pt>
                <c:pt idx="186">
                  <c:v>14.34859584859585</c:v>
                </c:pt>
                <c:pt idx="187">
                  <c:v>14.400793650793648</c:v>
                </c:pt>
                <c:pt idx="188">
                  <c:v>14.452991452991451</c:v>
                </c:pt>
                <c:pt idx="189">
                  <c:v>14.505189255189253</c:v>
                </c:pt>
                <c:pt idx="190">
                  <c:v>14.557387057387055</c:v>
                </c:pt>
                <c:pt idx="191">
                  <c:v>14.60958485958486</c:v>
                </c:pt>
                <c:pt idx="192">
                  <c:v>14.661782661782663</c:v>
                </c:pt>
                <c:pt idx="193">
                  <c:v>14.713980463980464</c:v>
                </c:pt>
                <c:pt idx="194">
                  <c:v>14.766178266178267</c:v>
                </c:pt>
                <c:pt idx="195">
                  <c:v>14.818376068376068</c:v>
                </c:pt>
                <c:pt idx="196">
                  <c:v>14.870573870573871</c:v>
                </c:pt>
                <c:pt idx="197">
                  <c:v>14.922771672771672</c:v>
                </c:pt>
                <c:pt idx="198">
                  <c:v>14.974969474969475</c:v>
                </c:pt>
                <c:pt idx="199">
                  <c:v>15.027167277167276</c:v>
                </c:pt>
                <c:pt idx="200">
                  <c:v>15.079365079365076</c:v>
                </c:pt>
              </c:numCache>
            </c:numRef>
          </c:xVal>
          <c:yVal>
            <c:numRef>
              <c:f>Luc_keo!$N$2:$N$202</c:f>
              <c:numCache>
                <c:formatCode>General</c:formatCode>
                <c:ptCount val="201"/>
                <c:pt idx="0">
                  <c:v>0.7585249940957781</c:v>
                </c:pt>
                <c:pt idx="1">
                  <c:v>0.7613384233099766</c:v>
                </c:pt>
                <c:pt idx="2">
                  <c:v>0.764129670100269</c:v>
                </c:pt>
                <c:pt idx="3">
                  <c:v>0.7668987344666556</c:v>
                </c:pt>
                <c:pt idx="4">
                  <c:v>0.7696456164091366</c:v>
                </c:pt>
                <c:pt idx="5">
                  <c:v>0.7723703159277109</c:v>
                </c:pt>
                <c:pt idx="6">
                  <c:v>0.7750728330223797</c:v>
                </c:pt>
                <c:pt idx="7">
                  <c:v>0.7777531676931422</c:v>
                </c:pt>
                <c:pt idx="8">
                  <c:v>0.7804113199399989</c:v>
                </c:pt>
                <c:pt idx="9">
                  <c:v>0.7830472897629494</c:v>
                </c:pt>
                <c:pt idx="10">
                  <c:v>0.7856610771619943</c:v>
                </c:pt>
                <c:pt idx="11">
                  <c:v>0.7882526821371332</c:v>
                </c:pt>
                <c:pt idx="12">
                  <c:v>0.7908221046883657</c:v>
                </c:pt>
                <c:pt idx="13">
                  <c:v>0.7933693448156927</c:v>
                </c:pt>
                <c:pt idx="14">
                  <c:v>0.7958944025191135</c:v>
                </c:pt>
                <c:pt idx="15">
                  <c:v>0.798397277798628</c:v>
                </c:pt>
                <c:pt idx="16">
                  <c:v>0.8008779706542373</c:v>
                </c:pt>
                <c:pt idx="17">
                  <c:v>0.80333648108594</c:v>
                </c:pt>
                <c:pt idx="18">
                  <c:v>0.8057728090937372</c:v>
                </c:pt>
                <c:pt idx="19">
                  <c:v>0.8081869546776278</c:v>
                </c:pt>
                <c:pt idx="20">
                  <c:v>0.8105789178376127</c:v>
                </c:pt>
                <c:pt idx="21">
                  <c:v>0.8129486985736919</c:v>
                </c:pt>
                <c:pt idx="22">
                  <c:v>0.8152962968858648</c:v>
                </c:pt>
                <c:pt idx="23">
                  <c:v>0.8176217127741319</c:v>
                </c:pt>
                <c:pt idx="24">
                  <c:v>0.819924946238493</c:v>
                </c:pt>
                <c:pt idx="25">
                  <c:v>0.8222059972789483</c:v>
                </c:pt>
                <c:pt idx="26">
                  <c:v>0.8244648658954971</c:v>
                </c:pt>
                <c:pt idx="27">
                  <c:v>0.82670155208814</c:v>
                </c:pt>
                <c:pt idx="28">
                  <c:v>0.8289160558568773</c:v>
                </c:pt>
                <c:pt idx="29">
                  <c:v>0.8311083772017086</c:v>
                </c:pt>
                <c:pt idx="30">
                  <c:v>0.8332785161226336</c:v>
                </c:pt>
                <c:pt idx="31">
                  <c:v>0.8354264726196529</c:v>
                </c:pt>
                <c:pt idx="32">
                  <c:v>0.8375522466927661</c:v>
                </c:pt>
                <c:pt idx="33">
                  <c:v>0.8396558383419734</c:v>
                </c:pt>
                <c:pt idx="34">
                  <c:v>0.8417372475672743</c:v>
                </c:pt>
                <c:pt idx="35">
                  <c:v>0.84379647436867</c:v>
                </c:pt>
                <c:pt idx="36">
                  <c:v>0.8458335187461594</c:v>
                </c:pt>
                <c:pt idx="37">
                  <c:v>0.8478483806997428</c:v>
                </c:pt>
                <c:pt idx="38">
                  <c:v>0.8498410602294201</c:v>
                </c:pt>
                <c:pt idx="39">
                  <c:v>0.8518115573351913</c:v>
                </c:pt>
                <c:pt idx="40">
                  <c:v>0.8537598720170569</c:v>
                </c:pt>
                <c:pt idx="41">
                  <c:v>0.8556860042750162</c:v>
                </c:pt>
                <c:pt idx="42">
                  <c:v>0.8575899541090697</c:v>
                </c:pt>
                <c:pt idx="43">
                  <c:v>0.8594717215192174</c:v>
                </c:pt>
                <c:pt idx="44">
                  <c:v>0.8613313065054583</c:v>
                </c:pt>
                <c:pt idx="45">
                  <c:v>0.8631687090677944</c:v>
                </c:pt>
                <c:pt idx="46">
                  <c:v>0.8649839292062239</c:v>
                </c:pt>
                <c:pt idx="47">
                  <c:v>0.8667769669207472</c:v>
                </c:pt>
                <c:pt idx="48">
                  <c:v>0.8685478222113651</c:v>
                </c:pt>
                <c:pt idx="49">
                  <c:v>0.8702964950780767</c:v>
                </c:pt>
                <c:pt idx="50">
                  <c:v>0.8720229855208826</c:v>
                </c:pt>
                <c:pt idx="51">
                  <c:v>0.8737272935397821</c:v>
                </c:pt>
                <c:pt idx="52">
                  <c:v>0.8754094191347757</c:v>
                </c:pt>
                <c:pt idx="53">
                  <c:v>0.8770693623058635</c:v>
                </c:pt>
                <c:pt idx="54">
                  <c:v>0.8787071230530452</c:v>
                </c:pt>
                <c:pt idx="55">
                  <c:v>0.8803227013763211</c:v>
                </c:pt>
                <c:pt idx="56">
                  <c:v>0.8819160972756906</c:v>
                </c:pt>
                <c:pt idx="57">
                  <c:v>0.8834873107511547</c:v>
                </c:pt>
                <c:pt idx="58">
                  <c:v>0.8850363418027125</c:v>
                </c:pt>
                <c:pt idx="59">
                  <c:v>0.8865631904303642</c:v>
                </c:pt>
                <c:pt idx="60">
                  <c:v>0.88806785663411</c:v>
                </c:pt>
                <c:pt idx="61">
                  <c:v>0.8895503404139499</c:v>
                </c:pt>
                <c:pt idx="62">
                  <c:v>0.8910106417698839</c:v>
                </c:pt>
                <c:pt idx="63">
                  <c:v>0.892448760701912</c:v>
                </c:pt>
                <c:pt idx="64">
                  <c:v>0.8938646972100339</c:v>
                </c:pt>
                <c:pt idx="65">
                  <c:v>0.8952584512942499</c:v>
                </c:pt>
                <c:pt idx="66">
                  <c:v>0.89663002295456</c:v>
                </c:pt>
                <c:pt idx="67">
                  <c:v>0.897979412190964</c:v>
                </c:pt>
                <c:pt idx="68">
                  <c:v>0.8993066190034621</c:v>
                </c:pt>
                <c:pt idx="69">
                  <c:v>0.900611643392054</c:v>
                </c:pt>
                <c:pt idx="70">
                  <c:v>0.9018944853567403</c:v>
                </c:pt>
                <c:pt idx="71">
                  <c:v>0.9031551448975205</c:v>
                </c:pt>
                <c:pt idx="72">
                  <c:v>0.9043936220143945</c:v>
                </c:pt>
                <c:pt idx="73">
                  <c:v>0.9056099167073628</c:v>
                </c:pt>
                <c:pt idx="74">
                  <c:v>0.9068040289764246</c:v>
                </c:pt>
                <c:pt idx="75">
                  <c:v>0.907975958821581</c:v>
                </c:pt>
                <c:pt idx="76">
                  <c:v>0.9091257062428316</c:v>
                </c:pt>
                <c:pt idx="77">
                  <c:v>0.9102532712401755</c:v>
                </c:pt>
                <c:pt idx="78">
                  <c:v>0.9113586538136137</c:v>
                </c:pt>
                <c:pt idx="79">
                  <c:v>0.9124418539631464</c:v>
                </c:pt>
                <c:pt idx="80">
                  <c:v>0.9135028716887724</c:v>
                </c:pt>
                <c:pt idx="81">
                  <c:v>0.9145417069904928</c:v>
                </c:pt>
                <c:pt idx="82">
                  <c:v>0.9155583598683075</c:v>
                </c:pt>
                <c:pt idx="83">
                  <c:v>0.9165528303222158</c:v>
                </c:pt>
                <c:pt idx="84">
                  <c:v>0.9175251183522183</c:v>
                </c:pt>
                <c:pt idx="85">
                  <c:v>0.9184752239583143</c:v>
                </c:pt>
                <c:pt idx="86">
                  <c:v>0.9194031471405052</c:v>
                </c:pt>
                <c:pt idx="87">
                  <c:v>0.9203088878987894</c:v>
                </c:pt>
                <c:pt idx="88">
                  <c:v>0.9211924462331681</c:v>
                </c:pt>
                <c:pt idx="89">
                  <c:v>0.9220538221436406</c:v>
                </c:pt>
                <c:pt idx="90">
                  <c:v>0.9228930156302069</c:v>
                </c:pt>
                <c:pt idx="91">
                  <c:v>0.923710026692868</c:v>
                </c:pt>
                <c:pt idx="92">
                  <c:v>0.9245048553316224</c:v>
                </c:pt>
                <c:pt idx="93">
                  <c:v>0.9252775015464713</c:v>
                </c:pt>
                <c:pt idx="94">
                  <c:v>0.9260279653374136</c:v>
                </c:pt>
                <c:pt idx="95">
                  <c:v>0.9267562467044502</c:v>
                </c:pt>
                <c:pt idx="96">
                  <c:v>0.9274623456475812</c:v>
                </c:pt>
                <c:pt idx="97">
                  <c:v>0.9281462621668061</c:v>
                </c:pt>
                <c:pt idx="98">
                  <c:v>0.9288079962621244</c:v>
                </c:pt>
                <c:pt idx="99">
                  <c:v>0.9294475479335372</c:v>
                </c:pt>
                <c:pt idx="100">
                  <c:v>0.9300649171810439</c:v>
                </c:pt>
                <c:pt idx="101">
                  <c:v>0.9306601040046449</c:v>
                </c:pt>
                <c:pt idx="102">
                  <c:v>0.93123310840434</c:v>
                </c:pt>
                <c:pt idx="103">
                  <c:v>0.9317839303801284</c:v>
                </c:pt>
                <c:pt idx="104">
                  <c:v>0.9323125699320114</c:v>
                </c:pt>
                <c:pt idx="105">
                  <c:v>0.9328190270599885</c:v>
                </c:pt>
                <c:pt idx="106">
                  <c:v>0.9333033017640593</c:v>
                </c:pt>
                <c:pt idx="107">
                  <c:v>0.9337653940442242</c:v>
                </c:pt>
                <c:pt idx="108">
                  <c:v>0.9342053039004834</c:v>
                </c:pt>
                <c:pt idx="109">
                  <c:v>0.9346230313328365</c:v>
                </c:pt>
                <c:pt idx="110">
                  <c:v>0.9350185763412834</c:v>
                </c:pt>
                <c:pt idx="111">
                  <c:v>0.9353919389258242</c:v>
                </c:pt>
                <c:pt idx="112">
                  <c:v>0.9357431190864596</c:v>
                </c:pt>
                <c:pt idx="113">
                  <c:v>0.9360721168231889</c:v>
                </c:pt>
                <c:pt idx="114">
                  <c:v>0.9363789321360115</c:v>
                </c:pt>
                <c:pt idx="115">
                  <c:v>0.9366635650249286</c:v>
                </c:pt>
                <c:pt idx="116">
                  <c:v>0.93692601548994</c:v>
                </c:pt>
                <c:pt idx="117">
                  <c:v>0.9371662835310456</c:v>
                </c:pt>
                <c:pt idx="118">
                  <c:v>0.9373843691482445</c:v>
                </c:pt>
                <c:pt idx="119">
                  <c:v>0.9375802723415378</c:v>
                </c:pt>
                <c:pt idx="120">
                  <c:v>0.937753993110925</c:v>
                </c:pt>
                <c:pt idx="121">
                  <c:v>0.9379055314564063</c:v>
                </c:pt>
                <c:pt idx="122">
                  <c:v>0.9380348873779815</c:v>
                </c:pt>
                <c:pt idx="123">
                  <c:v>0.9381420608756506</c:v>
                </c:pt>
                <c:pt idx="124">
                  <c:v>0.9382270519494142</c:v>
                </c:pt>
                <c:pt idx="125">
                  <c:v>0.9382898605992716</c:v>
                </c:pt>
                <c:pt idx="126">
                  <c:v>0.9383304868252232</c:v>
                </c:pt>
                <c:pt idx="127">
                  <c:v>0.9383489306272685</c:v>
                </c:pt>
                <c:pt idx="128">
                  <c:v>0.9383451920054079</c:v>
                </c:pt>
                <c:pt idx="129">
                  <c:v>0.9383192709596411</c:v>
                </c:pt>
                <c:pt idx="130">
                  <c:v>0.9382711674899689</c:v>
                </c:pt>
                <c:pt idx="131">
                  <c:v>0.9382008815963907</c:v>
                </c:pt>
                <c:pt idx="132">
                  <c:v>0.9381084132789059</c:v>
                </c:pt>
                <c:pt idx="133">
                  <c:v>0.9379937625375154</c:v>
                </c:pt>
                <c:pt idx="134">
                  <c:v>0.937856929372219</c:v>
                </c:pt>
                <c:pt idx="135">
                  <c:v>0.9376979137830164</c:v>
                </c:pt>
                <c:pt idx="136">
                  <c:v>0.9375167157699082</c:v>
                </c:pt>
                <c:pt idx="137">
                  <c:v>0.9373133353328941</c:v>
                </c:pt>
                <c:pt idx="138">
                  <c:v>0.9370877724719733</c:v>
                </c:pt>
                <c:pt idx="139">
                  <c:v>0.9368400271871472</c:v>
                </c:pt>
                <c:pt idx="140">
                  <c:v>0.936570099478415</c:v>
                </c:pt>
                <c:pt idx="141">
                  <c:v>0.9362779893457767</c:v>
                </c:pt>
                <c:pt idx="142">
                  <c:v>0.9359636967892322</c:v>
                </c:pt>
                <c:pt idx="143">
                  <c:v>0.9356272218087822</c:v>
                </c:pt>
                <c:pt idx="144">
                  <c:v>0.9352685644044259</c:v>
                </c:pt>
                <c:pt idx="145">
                  <c:v>0.9348877245761639</c:v>
                </c:pt>
                <c:pt idx="146">
                  <c:v>0.9344847023239956</c:v>
                </c:pt>
                <c:pt idx="147">
                  <c:v>0.9340594976479213</c:v>
                </c:pt>
                <c:pt idx="148">
                  <c:v>0.9336121105479415</c:v>
                </c:pt>
                <c:pt idx="149">
                  <c:v>0.9331425410240555</c:v>
                </c:pt>
                <c:pt idx="150">
                  <c:v>0.932650789076263</c:v>
                </c:pt>
                <c:pt idx="151">
                  <c:v>0.9321368547045653</c:v>
                </c:pt>
                <c:pt idx="152">
                  <c:v>0.9316007379089614</c:v>
                </c:pt>
                <c:pt idx="153">
                  <c:v>0.9310424386894514</c:v>
                </c:pt>
                <c:pt idx="154">
                  <c:v>0.9304619570460353</c:v>
                </c:pt>
                <c:pt idx="155">
                  <c:v>0.9298592929787134</c:v>
                </c:pt>
                <c:pt idx="156">
                  <c:v>0.9292344464874857</c:v>
                </c:pt>
                <c:pt idx="157">
                  <c:v>0.9285874175723514</c:v>
                </c:pt>
                <c:pt idx="158">
                  <c:v>0.9279182062333117</c:v>
                </c:pt>
                <c:pt idx="159">
                  <c:v>0.9272268124703659</c:v>
                </c:pt>
                <c:pt idx="160">
                  <c:v>0.9265132362835142</c:v>
                </c:pt>
                <c:pt idx="161">
                  <c:v>0.9257774776727563</c:v>
                </c:pt>
                <c:pt idx="162">
                  <c:v>0.9250195366380922</c:v>
                </c:pt>
                <c:pt idx="163">
                  <c:v>0.9242394131795227</c:v>
                </c:pt>
                <c:pt idx="164">
                  <c:v>0.9234371072970469</c:v>
                </c:pt>
                <c:pt idx="165">
                  <c:v>0.9226126189906653</c:v>
                </c:pt>
                <c:pt idx="166">
                  <c:v>0.9217659482603775</c:v>
                </c:pt>
                <c:pt idx="167">
                  <c:v>0.9208970951061839</c:v>
                </c:pt>
                <c:pt idx="168">
                  <c:v>0.9200060595280841</c:v>
                </c:pt>
                <c:pt idx="169">
                  <c:v>0.9190928415260788</c:v>
                </c:pt>
                <c:pt idx="170">
                  <c:v>0.9181574411001673</c:v>
                </c:pt>
                <c:pt idx="171">
                  <c:v>0.9171998582503494</c:v>
                </c:pt>
                <c:pt idx="172">
                  <c:v>0.9162200929766262</c:v>
                </c:pt>
                <c:pt idx="173">
                  <c:v>0.9152181452789965</c:v>
                </c:pt>
                <c:pt idx="174">
                  <c:v>0.9141940151574608</c:v>
                </c:pt>
                <c:pt idx="175">
                  <c:v>0.9131477026120196</c:v>
                </c:pt>
                <c:pt idx="176">
                  <c:v>0.9120792076426719</c:v>
                </c:pt>
                <c:pt idx="177">
                  <c:v>0.9109885302494183</c:v>
                </c:pt>
                <c:pt idx="178">
                  <c:v>0.9098756704322593</c:v>
                </c:pt>
                <c:pt idx="179">
                  <c:v>0.9087406281911938</c:v>
                </c:pt>
                <c:pt idx="180">
                  <c:v>0.9075834035262221</c:v>
                </c:pt>
                <c:pt idx="181">
                  <c:v>0.906403996437345</c:v>
                </c:pt>
                <c:pt idx="182">
                  <c:v>0.9052024069245614</c:v>
                </c:pt>
                <c:pt idx="183">
                  <c:v>0.9039786349878723</c:v>
                </c:pt>
                <c:pt idx="184">
                  <c:v>0.9027326806272769</c:v>
                </c:pt>
                <c:pt idx="185">
                  <c:v>0.9014645438427761</c:v>
                </c:pt>
                <c:pt idx="186">
                  <c:v>0.9001742246343685</c:v>
                </c:pt>
                <c:pt idx="187">
                  <c:v>0.8988617230020557</c:v>
                </c:pt>
                <c:pt idx="188">
                  <c:v>0.8975270389458361</c:v>
                </c:pt>
                <c:pt idx="189">
                  <c:v>0.8961701724657113</c:v>
                </c:pt>
                <c:pt idx="190">
                  <c:v>0.8947911235616798</c:v>
                </c:pt>
                <c:pt idx="191">
                  <c:v>0.893389892233743</c:v>
                </c:pt>
                <c:pt idx="192">
                  <c:v>0.8919664784818997</c:v>
                </c:pt>
                <c:pt idx="193">
                  <c:v>0.8905208823061505</c:v>
                </c:pt>
                <c:pt idx="194">
                  <c:v>0.8890531037064955</c:v>
                </c:pt>
                <c:pt idx="195">
                  <c:v>0.8875631426829348</c:v>
                </c:pt>
                <c:pt idx="196">
                  <c:v>0.8860509992354676</c:v>
                </c:pt>
                <c:pt idx="197">
                  <c:v>0.8845166733640949</c:v>
                </c:pt>
                <c:pt idx="198">
                  <c:v>0.8829601650688157</c:v>
                </c:pt>
                <c:pt idx="199">
                  <c:v>0.8813814743496309</c:v>
                </c:pt>
                <c:pt idx="200">
                  <c:v>0.87978060120654</c:v>
                </c:pt>
              </c:numCache>
            </c:numRef>
          </c:yVal>
        </c:ser>
        <c:ser>
          <c:idx val="1"/>
          <c:order val="1"/>
          <c:tx>
            <c:v>Số 2</c:v>
          </c:tx>
          <c:marker>
            <c:symbol val="none"/>
          </c:marker>
          <c:xVal>
            <c:numRef>
              <c:f>Luc_keo!$E$203:$E$403</c:f>
              <c:numCache>
                <c:formatCode>General</c:formatCode>
                <c:ptCount val="201"/>
                <c:pt idx="0">
                  <c:v>7.546997477962866</c:v>
                </c:pt>
                <c:pt idx="1">
                  <c:v>7.631901199589947</c:v>
                </c:pt>
                <c:pt idx="2">
                  <c:v>7.71680492121703</c:v>
                </c:pt>
                <c:pt idx="3">
                  <c:v>7.801708642844112</c:v>
                </c:pt>
                <c:pt idx="4">
                  <c:v>7.886612364471195</c:v>
                </c:pt>
                <c:pt idx="5">
                  <c:v>7.971516086098276</c:v>
                </c:pt>
                <c:pt idx="6">
                  <c:v>8.056419807725359</c:v>
                </c:pt>
                <c:pt idx="7">
                  <c:v>8.141323529352439</c:v>
                </c:pt>
                <c:pt idx="8">
                  <c:v>8.226227250979521</c:v>
                </c:pt>
                <c:pt idx="9">
                  <c:v>8.311130972606605</c:v>
                </c:pt>
                <c:pt idx="10">
                  <c:v>8.396034694233688</c:v>
                </c:pt>
                <c:pt idx="11">
                  <c:v>8.480938415860772</c:v>
                </c:pt>
                <c:pt idx="12">
                  <c:v>8.565842137487852</c:v>
                </c:pt>
                <c:pt idx="13">
                  <c:v>8.650745859114934</c:v>
                </c:pt>
                <c:pt idx="14">
                  <c:v>8.735649580742015</c:v>
                </c:pt>
                <c:pt idx="15">
                  <c:v>8.820553302369099</c:v>
                </c:pt>
                <c:pt idx="16">
                  <c:v>8.90545702399618</c:v>
                </c:pt>
                <c:pt idx="17">
                  <c:v>8.990360745623265</c:v>
                </c:pt>
                <c:pt idx="18">
                  <c:v>9.075264467250346</c:v>
                </c:pt>
                <c:pt idx="19">
                  <c:v>9.160168188877428</c:v>
                </c:pt>
                <c:pt idx="20">
                  <c:v>9.24507191050451</c:v>
                </c:pt>
                <c:pt idx="21">
                  <c:v>9.32997563213159</c:v>
                </c:pt>
                <c:pt idx="22">
                  <c:v>9.414879353758675</c:v>
                </c:pt>
                <c:pt idx="23">
                  <c:v>9.499783075385755</c:v>
                </c:pt>
                <c:pt idx="24">
                  <c:v>9.58468679701284</c:v>
                </c:pt>
                <c:pt idx="25">
                  <c:v>9.66959051863992</c:v>
                </c:pt>
                <c:pt idx="26">
                  <c:v>9.754494240267004</c:v>
                </c:pt>
                <c:pt idx="27">
                  <c:v>9.839397961894086</c:v>
                </c:pt>
                <c:pt idx="28">
                  <c:v>9.924301683521168</c:v>
                </c:pt>
                <c:pt idx="29">
                  <c:v>10.00920540514825</c:v>
                </c:pt>
                <c:pt idx="30">
                  <c:v>10.094109126775331</c:v>
                </c:pt>
                <c:pt idx="31">
                  <c:v>10.179012848402413</c:v>
                </c:pt>
                <c:pt idx="32">
                  <c:v>10.263916570029497</c:v>
                </c:pt>
                <c:pt idx="33">
                  <c:v>10.34882029165658</c:v>
                </c:pt>
                <c:pt idx="34">
                  <c:v>10.43372401328366</c:v>
                </c:pt>
                <c:pt idx="35">
                  <c:v>10.518627734910744</c:v>
                </c:pt>
                <c:pt idx="36">
                  <c:v>10.603531456537826</c:v>
                </c:pt>
                <c:pt idx="37">
                  <c:v>10.688435178164907</c:v>
                </c:pt>
                <c:pt idx="38">
                  <c:v>10.77333889979199</c:v>
                </c:pt>
                <c:pt idx="39">
                  <c:v>10.858242621419073</c:v>
                </c:pt>
                <c:pt idx="40">
                  <c:v>10.943146343046156</c:v>
                </c:pt>
                <c:pt idx="41">
                  <c:v>11.028050064673238</c:v>
                </c:pt>
                <c:pt idx="42">
                  <c:v>11.112953786300318</c:v>
                </c:pt>
                <c:pt idx="43">
                  <c:v>11.1978575079274</c:v>
                </c:pt>
                <c:pt idx="44">
                  <c:v>11.282761229554483</c:v>
                </c:pt>
                <c:pt idx="45">
                  <c:v>11.367664951181565</c:v>
                </c:pt>
                <c:pt idx="46">
                  <c:v>11.452568672808647</c:v>
                </c:pt>
                <c:pt idx="47">
                  <c:v>11.537472394435731</c:v>
                </c:pt>
                <c:pt idx="48">
                  <c:v>11.622376116062812</c:v>
                </c:pt>
                <c:pt idx="49">
                  <c:v>11.707279837689894</c:v>
                </c:pt>
                <c:pt idx="50">
                  <c:v>11.792183559316976</c:v>
                </c:pt>
                <c:pt idx="51">
                  <c:v>11.877087280944059</c:v>
                </c:pt>
                <c:pt idx="52">
                  <c:v>11.961991002571141</c:v>
                </c:pt>
                <c:pt idx="53">
                  <c:v>12.046894724198223</c:v>
                </c:pt>
                <c:pt idx="54">
                  <c:v>12.131798445825307</c:v>
                </c:pt>
                <c:pt idx="55">
                  <c:v>12.216702167452388</c:v>
                </c:pt>
                <c:pt idx="56">
                  <c:v>12.30160588907947</c:v>
                </c:pt>
                <c:pt idx="57">
                  <c:v>12.386509610706552</c:v>
                </c:pt>
                <c:pt idx="58">
                  <c:v>12.471413332333636</c:v>
                </c:pt>
                <c:pt idx="59">
                  <c:v>12.556317053960715</c:v>
                </c:pt>
                <c:pt idx="60">
                  <c:v>12.641220775587799</c:v>
                </c:pt>
                <c:pt idx="61">
                  <c:v>12.726124497214881</c:v>
                </c:pt>
                <c:pt idx="62">
                  <c:v>12.811028218841965</c:v>
                </c:pt>
                <c:pt idx="63">
                  <c:v>12.895931940469046</c:v>
                </c:pt>
                <c:pt idx="64">
                  <c:v>12.980835662096128</c:v>
                </c:pt>
                <c:pt idx="65">
                  <c:v>13.06573938372321</c:v>
                </c:pt>
                <c:pt idx="66">
                  <c:v>13.150643105350293</c:v>
                </c:pt>
                <c:pt idx="67">
                  <c:v>13.235546826977373</c:v>
                </c:pt>
                <c:pt idx="68">
                  <c:v>13.320450548604455</c:v>
                </c:pt>
                <c:pt idx="69">
                  <c:v>13.405354270231541</c:v>
                </c:pt>
                <c:pt idx="70">
                  <c:v>13.490257991858622</c:v>
                </c:pt>
                <c:pt idx="71">
                  <c:v>13.575161713485704</c:v>
                </c:pt>
                <c:pt idx="72">
                  <c:v>13.660065435112786</c:v>
                </c:pt>
                <c:pt idx="73">
                  <c:v>13.744969156739868</c:v>
                </c:pt>
                <c:pt idx="74">
                  <c:v>13.829872878366949</c:v>
                </c:pt>
                <c:pt idx="75">
                  <c:v>13.914776599994031</c:v>
                </c:pt>
                <c:pt idx="76">
                  <c:v>13.999680321621117</c:v>
                </c:pt>
                <c:pt idx="77">
                  <c:v>14.084584043248197</c:v>
                </c:pt>
                <c:pt idx="78">
                  <c:v>14.16948776487528</c:v>
                </c:pt>
                <c:pt idx="79">
                  <c:v>14.254391486502362</c:v>
                </c:pt>
                <c:pt idx="80">
                  <c:v>14.339295208129444</c:v>
                </c:pt>
                <c:pt idx="81">
                  <c:v>14.424198929756528</c:v>
                </c:pt>
                <c:pt idx="82">
                  <c:v>14.509102651383609</c:v>
                </c:pt>
                <c:pt idx="83">
                  <c:v>14.594006373010691</c:v>
                </c:pt>
                <c:pt idx="84">
                  <c:v>14.678910094637772</c:v>
                </c:pt>
                <c:pt idx="85">
                  <c:v>14.763813816264854</c:v>
                </c:pt>
                <c:pt idx="86">
                  <c:v>14.848717537891936</c:v>
                </c:pt>
                <c:pt idx="87">
                  <c:v>14.93362125951902</c:v>
                </c:pt>
                <c:pt idx="88">
                  <c:v>15.018524981146104</c:v>
                </c:pt>
                <c:pt idx="89">
                  <c:v>15.103428702773183</c:v>
                </c:pt>
                <c:pt idx="90">
                  <c:v>15.188332424400265</c:v>
                </c:pt>
                <c:pt idx="91">
                  <c:v>15.27323614602735</c:v>
                </c:pt>
                <c:pt idx="92">
                  <c:v>15.358139867654431</c:v>
                </c:pt>
                <c:pt idx="93">
                  <c:v>15.443043589281512</c:v>
                </c:pt>
                <c:pt idx="94">
                  <c:v>15.527947310908594</c:v>
                </c:pt>
                <c:pt idx="95">
                  <c:v>15.612851032535676</c:v>
                </c:pt>
                <c:pt idx="96">
                  <c:v>15.69775475416276</c:v>
                </c:pt>
                <c:pt idx="97">
                  <c:v>15.782658475789843</c:v>
                </c:pt>
                <c:pt idx="98">
                  <c:v>15.867562197416923</c:v>
                </c:pt>
                <c:pt idx="99">
                  <c:v>15.952465919044009</c:v>
                </c:pt>
                <c:pt idx="100">
                  <c:v>16.037369640671088</c:v>
                </c:pt>
                <c:pt idx="101">
                  <c:v>16.12227336229817</c:v>
                </c:pt>
                <c:pt idx="102">
                  <c:v>16.207177083925252</c:v>
                </c:pt>
                <c:pt idx="103">
                  <c:v>16.292080805552335</c:v>
                </c:pt>
                <c:pt idx="104">
                  <c:v>16.37698452717942</c:v>
                </c:pt>
                <c:pt idx="105">
                  <c:v>16.4618882488065</c:v>
                </c:pt>
                <c:pt idx="106">
                  <c:v>16.54679197043358</c:v>
                </c:pt>
                <c:pt idx="107">
                  <c:v>16.631695692060664</c:v>
                </c:pt>
                <c:pt idx="108">
                  <c:v>16.716599413687746</c:v>
                </c:pt>
                <c:pt idx="109">
                  <c:v>16.801503135314828</c:v>
                </c:pt>
                <c:pt idx="110">
                  <c:v>16.88640685694191</c:v>
                </c:pt>
                <c:pt idx="111">
                  <c:v>16.971310578568993</c:v>
                </c:pt>
                <c:pt idx="112">
                  <c:v>17.056214300196075</c:v>
                </c:pt>
                <c:pt idx="113">
                  <c:v>17.14111802182316</c:v>
                </c:pt>
                <c:pt idx="114">
                  <c:v>17.226021743450243</c:v>
                </c:pt>
                <c:pt idx="115">
                  <c:v>17.31092546507732</c:v>
                </c:pt>
                <c:pt idx="116">
                  <c:v>17.3958291867044</c:v>
                </c:pt>
                <c:pt idx="117">
                  <c:v>17.480732908331486</c:v>
                </c:pt>
                <c:pt idx="118">
                  <c:v>17.565636629958572</c:v>
                </c:pt>
                <c:pt idx="119">
                  <c:v>17.65054035158565</c:v>
                </c:pt>
                <c:pt idx="120">
                  <c:v>17.735444073212733</c:v>
                </c:pt>
                <c:pt idx="121">
                  <c:v>17.820347794839815</c:v>
                </c:pt>
                <c:pt idx="122">
                  <c:v>17.905251516466897</c:v>
                </c:pt>
                <c:pt idx="123">
                  <c:v>17.99015523809398</c:v>
                </c:pt>
                <c:pt idx="124">
                  <c:v>18.075058959721062</c:v>
                </c:pt>
                <c:pt idx="125">
                  <c:v>18.159962681348148</c:v>
                </c:pt>
                <c:pt idx="126">
                  <c:v>18.244866402975227</c:v>
                </c:pt>
                <c:pt idx="127">
                  <c:v>18.329770124602312</c:v>
                </c:pt>
                <c:pt idx="128">
                  <c:v>18.41467384622939</c:v>
                </c:pt>
                <c:pt idx="129">
                  <c:v>18.499577567856473</c:v>
                </c:pt>
                <c:pt idx="130">
                  <c:v>18.584481289483552</c:v>
                </c:pt>
                <c:pt idx="131">
                  <c:v>18.669385011110638</c:v>
                </c:pt>
                <c:pt idx="132">
                  <c:v>18.75428873273772</c:v>
                </c:pt>
                <c:pt idx="133">
                  <c:v>18.839192454364802</c:v>
                </c:pt>
                <c:pt idx="134">
                  <c:v>18.924096175991885</c:v>
                </c:pt>
                <c:pt idx="135">
                  <c:v>19.008999897618967</c:v>
                </c:pt>
                <c:pt idx="136">
                  <c:v>19.093903619246053</c:v>
                </c:pt>
                <c:pt idx="137">
                  <c:v>19.17880734087313</c:v>
                </c:pt>
                <c:pt idx="138">
                  <c:v>19.263711062500214</c:v>
                </c:pt>
                <c:pt idx="139">
                  <c:v>19.348614784127296</c:v>
                </c:pt>
                <c:pt idx="140">
                  <c:v>19.43351850575438</c:v>
                </c:pt>
                <c:pt idx="141">
                  <c:v>19.518422227381457</c:v>
                </c:pt>
                <c:pt idx="142">
                  <c:v>19.60332594900854</c:v>
                </c:pt>
                <c:pt idx="143">
                  <c:v>19.688229670635625</c:v>
                </c:pt>
                <c:pt idx="144">
                  <c:v>19.773133392262707</c:v>
                </c:pt>
                <c:pt idx="145">
                  <c:v>19.85803711388979</c:v>
                </c:pt>
                <c:pt idx="146">
                  <c:v>19.942940835516872</c:v>
                </c:pt>
                <c:pt idx="147">
                  <c:v>20.027844557143954</c:v>
                </c:pt>
                <c:pt idx="148">
                  <c:v>20.112748278771033</c:v>
                </c:pt>
                <c:pt idx="149">
                  <c:v>20.19765200039812</c:v>
                </c:pt>
                <c:pt idx="150">
                  <c:v>20.282555722025204</c:v>
                </c:pt>
                <c:pt idx="151">
                  <c:v>20.36745944365228</c:v>
                </c:pt>
                <c:pt idx="152">
                  <c:v>20.452363165279365</c:v>
                </c:pt>
                <c:pt idx="153">
                  <c:v>20.537266886906444</c:v>
                </c:pt>
                <c:pt idx="154">
                  <c:v>20.62217060853353</c:v>
                </c:pt>
                <c:pt idx="155">
                  <c:v>20.707074330160612</c:v>
                </c:pt>
                <c:pt idx="156">
                  <c:v>20.79197805178769</c:v>
                </c:pt>
                <c:pt idx="157">
                  <c:v>20.876881773414777</c:v>
                </c:pt>
                <c:pt idx="158">
                  <c:v>20.96178549504186</c:v>
                </c:pt>
                <c:pt idx="159">
                  <c:v>21.046689216668945</c:v>
                </c:pt>
                <c:pt idx="160">
                  <c:v>21.13159293829602</c:v>
                </c:pt>
                <c:pt idx="161">
                  <c:v>21.216496659923106</c:v>
                </c:pt>
                <c:pt idx="162">
                  <c:v>21.30140038155019</c:v>
                </c:pt>
                <c:pt idx="163">
                  <c:v>21.38630410317727</c:v>
                </c:pt>
                <c:pt idx="164">
                  <c:v>21.471207824804353</c:v>
                </c:pt>
                <c:pt idx="165">
                  <c:v>21.55611154643143</c:v>
                </c:pt>
                <c:pt idx="166">
                  <c:v>21.641015268058517</c:v>
                </c:pt>
                <c:pt idx="167">
                  <c:v>21.725918989685596</c:v>
                </c:pt>
                <c:pt idx="168">
                  <c:v>21.81082271131268</c:v>
                </c:pt>
                <c:pt idx="169">
                  <c:v>21.89572643293976</c:v>
                </c:pt>
                <c:pt idx="170">
                  <c:v>21.980630154566846</c:v>
                </c:pt>
                <c:pt idx="171">
                  <c:v>22.06553387619393</c:v>
                </c:pt>
                <c:pt idx="172">
                  <c:v>22.15043759782101</c:v>
                </c:pt>
                <c:pt idx="173">
                  <c:v>22.235341319448093</c:v>
                </c:pt>
                <c:pt idx="174">
                  <c:v>22.32024504107517</c:v>
                </c:pt>
                <c:pt idx="175">
                  <c:v>22.405148762702257</c:v>
                </c:pt>
                <c:pt idx="176">
                  <c:v>22.490052484329336</c:v>
                </c:pt>
                <c:pt idx="177">
                  <c:v>22.574956205956422</c:v>
                </c:pt>
                <c:pt idx="178">
                  <c:v>22.6598599275835</c:v>
                </c:pt>
                <c:pt idx="179">
                  <c:v>22.744763649210583</c:v>
                </c:pt>
                <c:pt idx="180">
                  <c:v>22.82966737083767</c:v>
                </c:pt>
                <c:pt idx="181">
                  <c:v>22.91457109246475</c:v>
                </c:pt>
                <c:pt idx="182">
                  <c:v>22.999474814091833</c:v>
                </c:pt>
                <c:pt idx="183">
                  <c:v>23.084378535718912</c:v>
                </c:pt>
                <c:pt idx="184">
                  <c:v>23.169282257345998</c:v>
                </c:pt>
                <c:pt idx="185">
                  <c:v>23.254185978973084</c:v>
                </c:pt>
                <c:pt idx="186">
                  <c:v>23.339089700600162</c:v>
                </c:pt>
                <c:pt idx="187">
                  <c:v>23.42399342222724</c:v>
                </c:pt>
                <c:pt idx="188">
                  <c:v>23.508897143854323</c:v>
                </c:pt>
                <c:pt idx="189">
                  <c:v>23.593800865481406</c:v>
                </c:pt>
                <c:pt idx="190">
                  <c:v>23.678704587108488</c:v>
                </c:pt>
                <c:pt idx="191">
                  <c:v>23.763608308735574</c:v>
                </c:pt>
                <c:pt idx="192">
                  <c:v>23.848512030362652</c:v>
                </c:pt>
                <c:pt idx="193">
                  <c:v>23.933415751989735</c:v>
                </c:pt>
                <c:pt idx="194">
                  <c:v>24.01831947361682</c:v>
                </c:pt>
                <c:pt idx="195">
                  <c:v>24.103223195243903</c:v>
                </c:pt>
                <c:pt idx="196">
                  <c:v>24.188126916870985</c:v>
                </c:pt>
                <c:pt idx="197">
                  <c:v>24.273030638498064</c:v>
                </c:pt>
                <c:pt idx="198">
                  <c:v>24.35793436012515</c:v>
                </c:pt>
                <c:pt idx="199">
                  <c:v>24.442838081752228</c:v>
                </c:pt>
                <c:pt idx="200">
                  <c:v>24.52774180337931</c:v>
                </c:pt>
              </c:numCache>
            </c:numRef>
          </c:xVal>
          <c:yVal>
            <c:numRef>
              <c:f>Luc_keo!$N$203:$N$403</c:f>
              <c:numCache>
                <c:formatCode>General</c:formatCode>
                <c:ptCount val="201"/>
                <c:pt idx="0">
                  <c:v>0.7966524182841221</c:v>
                </c:pt>
                <c:pt idx="1">
                  <c:v>0.7997013789628953</c:v>
                </c:pt>
                <c:pt idx="2">
                  <c:v>0.802726019947324</c:v>
                </c:pt>
                <c:pt idx="3">
                  <c:v>0.8057263412374082</c:v>
                </c:pt>
                <c:pt idx="4">
                  <c:v>0.808702342833148</c:v>
                </c:pt>
                <c:pt idx="5">
                  <c:v>0.8116540247345427</c:v>
                </c:pt>
                <c:pt idx="6">
                  <c:v>0.8145813869415935</c:v>
                </c:pt>
                <c:pt idx="7">
                  <c:v>0.8174844294542996</c:v>
                </c:pt>
                <c:pt idx="8">
                  <c:v>0.8203631522726615</c:v>
                </c:pt>
                <c:pt idx="9">
                  <c:v>0.8232175553966787</c:v>
                </c:pt>
                <c:pt idx="10">
                  <c:v>0.8260476388263518</c:v>
                </c:pt>
                <c:pt idx="11">
                  <c:v>0.8288534025616802</c:v>
                </c:pt>
                <c:pt idx="12">
                  <c:v>0.8316348466026642</c:v>
                </c:pt>
                <c:pt idx="13">
                  <c:v>0.8343919709493034</c:v>
                </c:pt>
                <c:pt idx="14">
                  <c:v>0.8371247756015984</c:v>
                </c:pt>
                <c:pt idx="15">
                  <c:v>0.8398332605595489</c:v>
                </c:pt>
                <c:pt idx="16">
                  <c:v>0.8425174258231548</c:v>
                </c:pt>
                <c:pt idx="17">
                  <c:v>0.8451772713924165</c:v>
                </c:pt>
                <c:pt idx="18">
                  <c:v>0.8478127972673337</c:v>
                </c:pt>
                <c:pt idx="19">
                  <c:v>0.8504240034479063</c:v>
                </c:pt>
                <c:pt idx="20">
                  <c:v>0.8530108899341345</c:v>
                </c:pt>
                <c:pt idx="21">
                  <c:v>0.8555734567260184</c:v>
                </c:pt>
                <c:pt idx="22">
                  <c:v>0.8581117038235576</c:v>
                </c:pt>
                <c:pt idx="23">
                  <c:v>0.8606256312267524</c:v>
                </c:pt>
                <c:pt idx="24">
                  <c:v>0.8631152389356025</c:v>
                </c:pt>
                <c:pt idx="25">
                  <c:v>0.8655805269501089</c:v>
                </c:pt>
                <c:pt idx="26">
                  <c:v>0.86802149527027</c:v>
                </c:pt>
                <c:pt idx="27">
                  <c:v>0.870438143896087</c:v>
                </c:pt>
                <c:pt idx="28">
                  <c:v>0.8728304728275591</c:v>
                </c:pt>
                <c:pt idx="29">
                  <c:v>0.875198482064687</c:v>
                </c:pt>
                <c:pt idx="30">
                  <c:v>0.8775421716074706</c:v>
                </c:pt>
                <c:pt idx="31">
                  <c:v>0.8798615414559099</c:v>
                </c:pt>
                <c:pt idx="32">
                  <c:v>0.8821565916100041</c:v>
                </c:pt>
                <c:pt idx="33">
                  <c:v>0.8844273220697544</c:v>
                </c:pt>
                <c:pt idx="34">
                  <c:v>0.8866737328351596</c:v>
                </c:pt>
                <c:pt idx="35">
                  <c:v>0.888895823906221</c:v>
                </c:pt>
                <c:pt idx="36">
                  <c:v>0.8910935952829381</c:v>
                </c:pt>
                <c:pt idx="37">
                  <c:v>0.8932670469653102</c:v>
                </c:pt>
                <c:pt idx="38">
                  <c:v>0.8954161789533378</c:v>
                </c:pt>
                <c:pt idx="39">
                  <c:v>0.8975409912470214</c:v>
                </c:pt>
                <c:pt idx="40">
                  <c:v>0.8996414838463602</c:v>
                </c:pt>
                <c:pt idx="41">
                  <c:v>0.9017176567513542</c:v>
                </c:pt>
                <c:pt idx="42">
                  <c:v>0.9037695099620041</c:v>
                </c:pt>
                <c:pt idx="43">
                  <c:v>0.9057970434783095</c:v>
                </c:pt>
                <c:pt idx="44">
                  <c:v>0.9078002573002704</c:v>
                </c:pt>
                <c:pt idx="45">
                  <c:v>0.9097791514278869</c:v>
                </c:pt>
                <c:pt idx="46">
                  <c:v>0.9117337258611593</c:v>
                </c:pt>
                <c:pt idx="47">
                  <c:v>0.9136639806000868</c:v>
                </c:pt>
                <c:pt idx="48">
                  <c:v>0.9155699156446699</c:v>
                </c:pt>
                <c:pt idx="49">
                  <c:v>0.9174515309949086</c:v>
                </c:pt>
                <c:pt idx="50">
                  <c:v>0.9193088266508026</c:v>
                </c:pt>
                <c:pt idx="51">
                  <c:v>0.9211418026123523</c:v>
                </c:pt>
                <c:pt idx="52">
                  <c:v>0.9229504588795576</c:v>
                </c:pt>
                <c:pt idx="53">
                  <c:v>0.9247347954524185</c:v>
                </c:pt>
                <c:pt idx="54">
                  <c:v>0.9264948123309348</c:v>
                </c:pt>
                <c:pt idx="55">
                  <c:v>0.9282305095151064</c:v>
                </c:pt>
                <c:pt idx="56">
                  <c:v>0.9299418870049339</c:v>
                </c:pt>
                <c:pt idx="57">
                  <c:v>0.9316289448004171</c:v>
                </c:pt>
                <c:pt idx="58">
                  <c:v>0.9332916829015553</c:v>
                </c:pt>
                <c:pt idx="59">
                  <c:v>0.9349301013083491</c:v>
                </c:pt>
                <c:pt idx="60">
                  <c:v>0.9365442000207985</c:v>
                </c:pt>
                <c:pt idx="61">
                  <c:v>0.9381339790389037</c:v>
                </c:pt>
                <c:pt idx="62">
                  <c:v>0.9396994383626646</c:v>
                </c:pt>
                <c:pt idx="63">
                  <c:v>0.9412405779920804</c:v>
                </c:pt>
                <c:pt idx="64">
                  <c:v>0.9427573979271521</c:v>
                </c:pt>
                <c:pt idx="65">
                  <c:v>0.9442498981678791</c:v>
                </c:pt>
                <c:pt idx="66">
                  <c:v>0.9457180787142617</c:v>
                </c:pt>
                <c:pt idx="67">
                  <c:v>0.9471619395663001</c:v>
                </c:pt>
                <c:pt idx="68">
                  <c:v>0.948581480723994</c:v>
                </c:pt>
                <c:pt idx="69">
                  <c:v>0.9499767021873429</c:v>
                </c:pt>
                <c:pt idx="70">
                  <c:v>0.951347603956348</c:v>
                </c:pt>
                <c:pt idx="71">
                  <c:v>0.9526941860310084</c:v>
                </c:pt>
                <c:pt idx="72">
                  <c:v>0.9540164484113242</c:v>
                </c:pt>
                <c:pt idx="73">
                  <c:v>0.9553143910972958</c:v>
                </c:pt>
                <c:pt idx="74">
                  <c:v>0.9565880140889226</c:v>
                </c:pt>
                <c:pt idx="75">
                  <c:v>0.9578373173862045</c:v>
                </c:pt>
                <c:pt idx="76">
                  <c:v>0.9590623009891436</c:v>
                </c:pt>
                <c:pt idx="77">
                  <c:v>0.9602629648977364</c:v>
                </c:pt>
                <c:pt idx="78">
                  <c:v>0.961439309111986</c:v>
                </c:pt>
                <c:pt idx="79">
                  <c:v>0.9625913336318901</c:v>
                </c:pt>
                <c:pt idx="80">
                  <c:v>0.9637190384574504</c:v>
                </c:pt>
                <c:pt idx="81">
                  <c:v>0.9648224235886661</c:v>
                </c:pt>
                <c:pt idx="82">
                  <c:v>0.9659014890255373</c:v>
                </c:pt>
                <c:pt idx="83">
                  <c:v>0.9669562347680641</c:v>
                </c:pt>
                <c:pt idx="84">
                  <c:v>0.9679866608162462</c:v>
                </c:pt>
                <c:pt idx="85">
                  <c:v>0.9689927671700841</c:v>
                </c:pt>
                <c:pt idx="86">
                  <c:v>0.9699745538295779</c:v>
                </c:pt>
                <c:pt idx="87">
                  <c:v>0.9709320207947262</c:v>
                </c:pt>
                <c:pt idx="88">
                  <c:v>0.9718651680655309</c:v>
                </c:pt>
                <c:pt idx="89">
                  <c:v>0.972773995641991</c:v>
                </c:pt>
                <c:pt idx="90">
                  <c:v>0.973658503524106</c:v>
                </c:pt>
                <c:pt idx="91">
                  <c:v>0.9745186917118773</c:v>
                </c:pt>
                <c:pt idx="92">
                  <c:v>0.9753545602053038</c:v>
                </c:pt>
                <c:pt idx="93">
                  <c:v>0.9761661090043858</c:v>
                </c:pt>
                <c:pt idx="94">
                  <c:v>0.9769533381091233</c:v>
                </c:pt>
                <c:pt idx="95">
                  <c:v>0.9777162475195166</c:v>
                </c:pt>
                <c:pt idx="96">
                  <c:v>0.978454837235565</c:v>
                </c:pt>
                <c:pt idx="97">
                  <c:v>0.9791691072572698</c:v>
                </c:pt>
                <c:pt idx="98">
                  <c:v>0.9798590575846291</c:v>
                </c:pt>
                <c:pt idx="99">
                  <c:v>0.9805246882176445</c:v>
                </c:pt>
                <c:pt idx="100">
                  <c:v>0.9811659991563156</c:v>
                </c:pt>
                <c:pt idx="101">
                  <c:v>0.9817829904006417</c:v>
                </c:pt>
                <c:pt idx="102">
                  <c:v>0.9823756619506234</c:v>
                </c:pt>
                <c:pt idx="103">
                  <c:v>0.9829440138062608</c:v>
                </c:pt>
                <c:pt idx="104">
                  <c:v>0.9834880459675537</c:v>
                </c:pt>
                <c:pt idx="105">
                  <c:v>0.9840077584345023</c:v>
                </c:pt>
                <c:pt idx="106">
                  <c:v>0.9845031512071063</c:v>
                </c:pt>
                <c:pt idx="107">
                  <c:v>0.9849742242853659</c:v>
                </c:pt>
                <c:pt idx="108">
                  <c:v>0.985420977669281</c:v>
                </c:pt>
                <c:pt idx="109">
                  <c:v>0.9858434113588519</c:v>
                </c:pt>
                <c:pt idx="110">
                  <c:v>0.9862415253540779</c:v>
                </c:pt>
                <c:pt idx="111">
                  <c:v>0.9866153196549595</c:v>
                </c:pt>
                <c:pt idx="112">
                  <c:v>0.9869647942614966</c:v>
                </c:pt>
                <c:pt idx="113">
                  <c:v>0.9872899491736896</c:v>
                </c:pt>
                <c:pt idx="114">
                  <c:v>0.9875907843915377</c:v>
                </c:pt>
                <c:pt idx="115">
                  <c:v>0.9878672999150412</c:v>
                </c:pt>
                <c:pt idx="116">
                  <c:v>0.9881194957442005</c:v>
                </c:pt>
                <c:pt idx="117">
                  <c:v>0.9883473718790156</c:v>
                </c:pt>
                <c:pt idx="118">
                  <c:v>0.9885509283194862</c:v>
                </c:pt>
                <c:pt idx="119">
                  <c:v>0.9887301650656116</c:v>
                </c:pt>
                <c:pt idx="120">
                  <c:v>0.9888850821173937</c:v>
                </c:pt>
                <c:pt idx="121">
                  <c:v>0.9890156794748306</c:v>
                </c:pt>
                <c:pt idx="122">
                  <c:v>0.989121957137923</c:v>
                </c:pt>
                <c:pt idx="123">
                  <c:v>0.9892039151066707</c:v>
                </c:pt>
                <c:pt idx="124">
                  <c:v>0.9892615533810744</c:v>
                </c:pt>
                <c:pt idx="125">
                  <c:v>0.9892948719611336</c:v>
                </c:pt>
                <c:pt idx="126">
                  <c:v>0.9893038708468487</c:v>
                </c:pt>
                <c:pt idx="127">
                  <c:v>0.9892885500382188</c:v>
                </c:pt>
                <c:pt idx="128">
                  <c:v>0.9892489095352448</c:v>
                </c:pt>
                <c:pt idx="129">
                  <c:v>0.9891849493379254</c:v>
                </c:pt>
                <c:pt idx="130">
                  <c:v>0.9890966694462623</c:v>
                </c:pt>
                <c:pt idx="131">
                  <c:v>0.9889840698602549</c:v>
                </c:pt>
                <c:pt idx="132">
                  <c:v>0.9888471505799031</c:v>
                </c:pt>
                <c:pt idx="133">
                  <c:v>0.9886859116052059</c:v>
                </c:pt>
                <c:pt idx="134">
                  <c:v>0.9885003529361652</c:v>
                </c:pt>
                <c:pt idx="135">
                  <c:v>0.9882904745727793</c:v>
                </c:pt>
                <c:pt idx="136">
                  <c:v>0.9880562765150497</c:v>
                </c:pt>
                <c:pt idx="137">
                  <c:v>0.9877977587629747</c:v>
                </c:pt>
                <c:pt idx="138">
                  <c:v>0.9875149213165556</c:v>
                </c:pt>
                <c:pt idx="139">
                  <c:v>0.9872077641757924</c:v>
                </c:pt>
                <c:pt idx="140">
                  <c:v>0.9868762873406848</c:v>
                </c:pt>
                <c:pt idx="141">
                  <c:v>0.9865204908112324</c:v>
                </c:pt>
                <c:pt idx="142">
                  <c:v>0.9861403745874356</c:v>
                </c:pt>
                <c:pt idx="143">
                  <c:v>0.9857359386692943</c:v>
                </c:pt>
                <c:pt idx="144">
                  <c:v>0.9853071830568089</c:v>
                </c:pt>
                <c:pt idx="145">
                  <c:v>0.9848541077499781</c:v>
                </c:pt>
                <c:pt idx="146">
                  <c:v>0.9843767127488037</c:v>
                </c:pt>
                <c:pt idx="147">
                  <c:v>0.9838749980532845</c:v>
                </c:pt>
                <c:pt idx="148">
                  <c:v>0.9833489636634207</c:v>
                </c:pt>
                <c:pt idx="149">
                  <c:v>0.9827986095792124</c:v>
                </c:pt>
                <c:pt idx="150">
                  <c:v>0.9822239358006604</c:v>
                </c:pt>
                <c:pt idx="151">
                  <c:v>0.9816249423277631</c:v>
                </c:pt>
                <c:pt idx="152">
                  <c:v>0.9810016291605217</c:v>
                </c:pt>
                <c:pt idx="153">
                  <c:v>0.9803539962989359</c:v>
                </c:pt>
                <c:pt idx="154">
                  <c:v>0.9796820437430055</c:v>
                </c:pt>
                <c:pt idx="155">
                  <c:v>0.9789857714927305</c:v>
                </c:pt>
                <c:pt idx="156">
                  <c:v>0.9782651795481111</c:v>
                </c:pt>
                <c:pt idx="157">
                  <c:v>0.9775202679091471</c:v>
                </c:pt>
                <c:pt idx="158">
                  <c:v>0.976751036575839</c:v>
                </c:pt>
                <c:pt idx="159">
                  <c:v>0.9759574855481862</c:v>
                </c:pt>
                <c:pt idx="160">
                  <c:v>0.9751396148261894</c:v>
                </c:pt>
                <c:pt idx="161">
                  <c:v>0.9742974244098473</c:v>
                </c:pt>
                <c:pt idx="162">
                  <c:v>0.9734309142991611</c:v>
                </c:pt>
                <c:pt idx="163">
                  <c:v>0.9725400844941307</c:v>
                </c:pt>
                <c:pt idx="164">
                  <c:v>0.9716249349947556</c:v>
                </c:pt>
                <c:pt idx="165">
                  <c:v>0.9706854658010359</c:v>
                </c:pt>
                <c:pt idx="166">
                  <c:v>0.9697216769129721</c:v>
                </c:pt>
                <c:pt idx="167">
                  <c:v>0.9687335683305635</c:v>
                </c:pt>
                <c:pt idx="168">
                  <c:v>0.9677211400538105</c:v>
                </c:pt>
                <c:pt idx="169">
                  <c:v>0.9666843920827133</c:v>
                </c:pt>
                <c:pt idx="170">
                  <c:v>0.9656233244172712</c:v>
                </c:pt>
                <c:pt idx="171">
                  <c:v>0.9645379370574847</c:v>
                </c:pt>
                <c:pt idx="172">
                  <c:v>0.9634282300033545</c:v>
                </c:pt>
                <c:pt idx="173">
                  <c:v>0.9622942032548787</c:v>
                </c:pt>
                <c:pt idx="174">
                  <c:v>0.9611358568120589</c:v>
                </c:pt>
                <c:pt idx="175">
                  <c:v>0.959953190674895</c:v>
                </c:pt>
                <c:pt idx="176">
                  <c:v>0.9587462048433862</c:v>
                </c:pt>
                <c:pt idx="177">
                  <c:v>0.957514899317533</c:v>
                </c:pt>
                <c:pt idx="178">
                  <c:v>0.9562592740973352</c:v>
                </c:pt>
                <c:pt idx="179">
                  <c:v>0.9549793291827934</c:v>
                </c:pt>
                <c:pt idx="180">
                  <c:v>0.9536750645739065</c:v>
                </c:pt>
                <c:pt idx="181">
                  <c:v>0.9523464802706756</c:v>
                </c:pt>
                <c:pt idx="182">
                  <c:v>0.9509935762731001</c:v>
                </c:pt>
                <c:pt idx="183">
                  <c:v>0.9496163525811802</c:v>
                </c:pt>
                <c:pt idx="184">
                  <c:v>0.9482148091949154</c:v>
                </c:pt>
                <c:pt idx="185">
                  <c:v>0.9467889461143069</c:v>
                </c:pt>
                <c:pt idx="186">
                  <c:v>0.9453387633393534</c:v>
                </c:pt>
                <c:pt idx="187">
                  <c:v>0.9438642608700557</c:v>
                </c:pt>
                <c:pt idx="188">
                  <c:v>0.9423654387064131</c:v>
                </c:pt>
                <c:pt idx="189">
                  <c:v>0.9408422968484265</c:v>
                </c:pt>
                <c:pt idx="190">
                  <c:v>0.9392948352960949</c:v>
                </c:pt>
                <c:pt idx="191">
                  <c:v>0.9377230540494197</c:v>
                </c:pt>
                <c:pt idx="192">
                  <c:v>0.9361269531083996</c:v>
                </c:pt>
                <c:pt idx="193">
                  <c:v>0.9345065324730348</c:v>
                </c:pt>
                <c:pt idx="194">
                  <c:v>0.9328617921433258</c:v>
                </c:pt>
                <c:pt idx="195">
                  <c:v>0.9311927321192721</c:v>
                </c:pt>
                <c:pt idx="196">
                  <c:v>0.929499352400874</c:v>
                </c:pt>
                <c:pt idx="197">
                  <c:v>0.9277816529881318</c:v>
                </c:pt>
                <c:pt idx="198">
                  <c:v>0.9260396338810446</c:v>
                </c:pt>
                <c:pt idx="199">
                  <c:v>0.9242732950796131</c:v>
                </c:pt>
                <c:pt idx="200">
                  <c:v>0.9224826365838373</c:v>
                </c:pt>
              </c:numCache>
            </c:numRef>
          </c:yVal>
        </c:ser>
        <c:ser>
          <c:idx val="2"/>
          <c:order val="2"/>
          <c:tx>
            <c:v>Số 3</c:v>
          </c:tx>
          <c:marker>
            <c:symbol val="none"/>
          </c:marker>
          <c:xVal>
            <c:numRef>
              <c:f>Luc_keo!$E$404:$E$604</c:f>
              <c:numCache>
                <c:formatCode>General</c:formatCode>
                <c:ptCount val="201"/>
                <c:pt idx="0">
                  <c:v>12.275769208846697</c:v>
                </c:pt>
                <c:pt idx="1">
                  <c:v>12.413871612446222</c:v>
                </c:pt>
                <c:pt idx="2">
                  <c:v>12.551974016045747</c:v>
                </c:pt>
                <c:pt idx="3">
                  <c:v>12.690076419645271</c:v>
                </c:pt>
                <c:pt idx="4">
                  <c:v>12.8281788232448</c:v>
                </c:pt>
                <c:pt idx="5">
                  <c:v>12.966281226844323</c:v>
                </c:pt>
                <c:pt idx="6">
                  <c:v>13.104383630443849</c:v>
                </c:pt>
                <c:pt idx="7">
                  <c:v>13.242486034043372</c:v>
                </c:pt>
                <c:pt idx="8">
                  <c:v>13.380588437642897</c:v>
                </c:pt>
                <c:pt idx="9">
                  <c:v>13.518690841242424</c:v>
                </c:pt>
                <c:pt idx="10">
                  <c:v>13.65679324484195</c:v>
                </c:pt>
                <c:pt idx="11">
                  <c:v>13.794895648441477</c:v>
                </c:pt>
                <c:pt idx="12">
                  <c:v>13.932998052041</c:v>
                </c:pt>
                <c:pt idx="13">
                  <c:v>14.071100455640526</c:v>
                </c:pt>
                <c:pt idx="14">
                  <c:v>14.20920285924005</c:v>
                </c:pt>
                <c:pt idx="15">
                  <c:v>14.347305262839578</c:v>
                </c:pt>
                <c:pt idx="16">
                  <c:v>14.485407666439103</c:v>
                </c:pt>
                <c:pt idx="17">
                  <c:v>14.623510070038629</c:v>
                </c:pt>
                <c:pt idx="18">
                  <c:v>14.761612473638154</c:v>
                </c:pt>
                <c:pt idx="19">
                  <c:v>14.899714877237678</c:v>
                </c:pt>
                <c:pt idx="20">
                  <c:v>15.037817280837203</c:v>
                </c:pt>
                <c:pt idx="21">
                  <c:v>15.175919684436728</c:v>
                </c:pt>
                <c:pt idx="22">
                  <c:v>15.314022088036253</c:v>
                </c:pt>
                <c:pt idx="23">
                  <c:v>15.452124491635779</c:v>
                </c:pt>
                <c:pt idx="24">
                  <c:v>15.590226895235302</c:v>
                </c:pt>
                <c:pt idx="25">
                  <c:v>15.728329298834828</c:v>
                </c:pt>
                <c:pt idx="26">
                  <c:v>15.866431702434356</c:v>
                </c:pt>
                <c:pt idx="27">
                  <c:v>16.00453410603388</c:v>
                </c:pt>
                <c:pt idx="28">
                  <c:v>16.14263650963341</c:v>
                </c:pt>
                <c:pt idx="29">
                  <c:v>16.28073891323293</c:v>
                </c:pt>
                <c:pt idx="30">
                  <c:v>16.418841316832456</c:v>
                </c:pt>
                <c:pt idx="31">
                  <c:v>16.55694372043198</c:v>
                </c:pt>
                <c:pt idx="32">
                  <c:v>16.695046124031506</c:v>
                </c:pt>
                <c:pt idx="33">
                  <c:v>16.83314852763103</c:v>
                </c:pt>
                <c:pt idx="34">
                  <c:v>16.971250931230557</c:v>
                </c:pt>
                <c:pt idx="35">
                  <c:v>17.109353334830086</c:v>
                </c:pt>
                <c:pt idx="36">
                  <c:v>17.24745573842961</c:v>
                </c:pt>
                <c:pt idx="37">
                  <c:v>17.385558142029133</c:v>
                </c:pt>
                <c:pt idx="38">
                  <c:v>17.52366054562866</c:v>
                </c:pt>
                <c:pt idx="39">
                  <c:v>17.661762949228184</c:v>
                </c:pt>
                <c:pt idx="40">
                  <c:v>17.79986535282771</c:v>
                </c:pt>
                <c:pt idx="41">
                  <c:v>17.937967756427238</c:v>
                </c:pt>
                <c:pt idx="42">
                  <c:v>18.076070160026756</c:v>
                </c:pt>
                <c:pt idx="43">
                  <c:v>18.214172563626285</c:v>
                </c:pt>
                <c:pt idx="44">
                  <c:v>18.352274967225814</c:v>
                </c:pt>
                <c:pt idx="45">
                  <c:v>18.490377370825335</c:v>
                </c:pt>
                <c:pt idx="46">
                  <c:v>18.628479774424864</c:v>
                </c:pt>
                <c:pt idx="47">
                  <c:v>18.766582178024386</c:v>
                </c:pt>
                <c:pt idx="48">
                  <c:v>18.90468458162391</c:v>
                </c:pt>
                <c:pt idx="49">
                  <c:v>19.042786985223437</c:v>
                </c:pt>
                <c:pt idx="50">
                  <c:v>19.180889388822962</c:v>
                </c:pt>
                <c:pt idx="51">
                  <c:v>19.318991792422487</c:v>
                </c:pt>
                <c:pt idx="52">
                  <c:v>19.457094196022013</c:v>
                </c:pt>
                <c:pt idx="53">
                  <c:v>19.59519659962154</c:v>
                </c:pt>
                <c:pt idx="54">
                  <c:v>19.733299003221067</c:v>
                </c:pt>
                <c:pt idx="55">
                  <c:v>19.87140140682059</c:v>
                </c:pt>
                <c:pt idx="56">
                  <c:v>20.009503810420114</c:v>
                </c:pt>
                <c:pt idx="57">
                  <c:v>20.14760621401964</c:v>
                </c:pt>
                <c:pt idx="58">
                  <c:v>20.285708617619168</c:v>
                </c:pt>
                <c:pt idx="59">
                  <c:v>20.42381102121869</c:v>
                </c:pt>
                <c:pt idx="60">
                  <c:v>20.561913424818215</c:v>
                </c:pt>
                <c:pt idx="61">
                  <c:v>20.70001582841774</c:v>
                </c:pt>
                <c:pt idx="62">
                  <c:v>20.83811823201727</c:v>
                </c:pt>
                <c:pt idx="63">
                  <c:v>20.97622063561679</c:v>
                </c:pt>
                <c:pt idx="64">
                  <c:v>21.11432303921632</c:v>
                </c:pt>
                <c:pt idx="65">
                  <c:v>21.25242544281584</c:v>
                </c:pt>
                <c:pt idx="66">
                  <c:v>21.39052784641537</c:v>
                </c:pt>
                <c:pt idx="67">
                  <c:v>21.528630250014892</c:v>
                </c:pt>
                <c:pt idx="68">
                  <c:v>21.666732653614417</c:v>
                </c:pt>
                <c:pt idx="69">
                  <c:v>21.804835057213946</c:v>
                </c:pt>
                <c:pt idx="70">
                  <c:v>21.942937460813468</c:v>
                </c:pt>
                <c:pt idx="71">
                  <c:v>22.081039864412997</c:v>
                </c:pt>
                <c:pt idx="72">
                  <c:v>22.21914226801252</c:v>
                </c:pt>
                <c:pt idx="73">
                  <c:v>22.357244671612047</c:v>
                </c:pt>
                <c:pt idx="74">
                  <c:v>22.49534707521157</c:v>
                </c:pt>
                <c:pt idx="75">
                  <c:v>22.633449478811094</c:v>
                </c:pt>
                <c:pt idx="76">
                  <c:v>22.771551882410623</c:v>
                </c:pt>
                <c:pt idx="77">
                  <c:v>22.909654286010145</c:v>
                </c:pt>
                <c:pt idx="78">
                  <c:v>23.04775668960967</c:v>
                </c:pt>
                <c:pt idx="79">
                  <c:v>23.185859093209196</c:v>
                </c:pt>
                <c:pt idx="80">
                  <c:v>23.323961496808725</c:v>
                </c:pt>
                <c:pt idx="81">
                  <c:v>23.462063900408253</c:v>
                </c:pt>
                <c:pt idx="82">
                  <c:v>23.600166304007775</c:v>
                </c:pt>
                <c:pt idx="83">
                  <c:v>23.7382687076073</c:v>
                </c:pt>
                <c:pt idx="84">
                  <c:v>23.876371111206826</c:v>
                </c:pt>
                <c:pt idx="85">
                  <c:v>24.014473514806344</c:v>
                </c:pt>
                <c:pt idx="86">
                  <c:v>24.152575918405873</c:v>
                </c:pt>
                <c:pt idx="87">
                  <c:v>24.2906783220054</c:v>
                </c:pt>
                <c:pt idx="88">
                  <c:v>24.428780725604927</c:v>
                </c:pt>
                <c:pt idx="89">
                  <c:v>24.566883129204452</c:v>
                </c:pt>
                <c:pt idx="90">
                  <c:v>24.704985532803974</c:v>
                </c:pt>
                <c:pt idx="91">
                  <c:v>24.843087936403503</c:v>
                </c:pt>
                <c:pt idx="92">
                  <c:v>24.981190340003028</c:v>
                </c:pt>
                <c:pt idx="93">
                  <c:v>25.11929274360255</c:v>
                </c:pt>
                <c:pt idx="94">
                  <c:v>25.25739514720208</c:v>
                </c:pt>
                <c:pt idx="95">
                  <c:v>25.3954975508016</c:v>
                </c:pt>
                <c:pt idx="96">
                  <c:v>25.53359995440113</c:v>
                </c:pt>
                <c:pt idx="97">
                  <c:v>25.67170235800065</c:v>
                </c:pt>
                <c:pt idx="98">
                  <c:v>25.80980476160018</c:v>
                </c:pt>
                <c:pt idx="99">
                  <c:v>25.94790716519971</c:v>
                </c:pt>
                <c:pt idx="100">
                  <c:v>26.086009568799227</c:v>
                </c:pt>
                <c:pt idx="101">
                  <c:v>26.224111972398756</c:v>
                </c:pt>
                <c:pt idx="102">
                  <c:v>26.362214375998285</c:v>
                </c:pt>
                <c:pt idx="103">
                  <c:v>26.500316779597803</c:v>
                </c:pt>
                <c:pt idx="104">
                  <c:v>26.638419183197332</c:v>
                </c:pt>
                <c:pt idx="105">
                  <c:v>26.776521586796854</c:v>
                </c:pt>
                <c:pt idx="106">
                  <c:v>26.91462399039638</c:v>
                </c:pt>
                <c:pt idx="107">
                  <c:v>27.052726393995908</c:v>
                </c:pt>
                <c:pt idx="108">
                  <c:v>27.19082879759543</c:v>
                </c:pt>
                <c:pt idx="109">
                  <c:v>27.32893120119496</c:v>
                </c:pt>
                <c:pt idx="110">
                  <c:v>27.467033604794484</c:v>
                </c:pt>
                <c:pt idx="111">
                  <c:v>27.605136008394005</c:v>
                </c:pt>
                <c:pt idx="112">
                  <c:v>27.743238411993534</c:v>
                </c:pt>
                <c:pt idx="113">
                  <c:v>27.88134081559306</c:v>
                </c:pt>
                <c:pt idx="114">
                  <c:v>28.01944321919259</c:v>
                </c:pt>
                <c:pt idx="115">
                  <c:v>28.157545622792107</c:v>
                </c:pt>
                <c:pt idx="116">
                  <c:v>28.295648026391632</c:v>
                </c:pt>
                <c:pt idx="117">
                  <c:v>28.43375042999116</c:v>
                </c:pt>
                <c:pt idx="118">
                  <c:v>28.571852833590686</c:v>
                </c:pt>
                <c:pt idx="119">
                  <c:v>28.709955237190208</c:v>
                </c:pt>
                <c:pt idx="120">
                  <c:v>28.848057640789737</c:v>
                </c:pt>
                <c:pt idx="121">
                  <c:v>28.986160044389266</c:v>
                </c:pt>
                <c:pt idx="122">
                  <c:v>29.12426244798878</c:v>
                </c:pt>
                <c:pt idx="123">
                  <c:v>29.26236485158831</c:v>
                </c:pt>
                <c:pt idx="124">
                  <c:v>29.400467255187838</c:v>
                </c:pt>
                <c:pt idx="125">
                  <c:v>29.538569658787367</c:v>
                </c:pt>
                <c:pt idx="126">
                  <c:v>29.676672062386892</c:v>
                </c:pt>
                <c:pt idx="127">
                  <c:v>29.814774465986414</c:v>
                </c:pt>
                <c:pt idx="128">
                  <c:v>29.952876869585936</c:v>
                </c:pt>
                <c:pt idx="129">
                  <c:v>30.090979273185464</c:v>
                </c:pt>
                <c:pt idx="130">
                  <c:v>30.229081676784986</c:v>
                </c:pt>
                <c:pt idx="131">
                  <c:v>30.367184080384515</c:v>
                </c:pt>
                <c:pt idx="132">
                  <c:v>30.505286483984037</c:v>
                </c:pt>
                <c:pt idx="133">
                  <c:v>30.643388887583566</c:v>
                </c:pt>
                <c:pt idx="134">
                  <c:v>30.78149129118309</c:v>
                </c:pt>
                <c:pt idx="135">
                  <c:v>30.91959369478262</c:v>
                </c:pt>
                <c:pt idx="136">
                  <c:v>31.05769609838215</c:v>
                </c:pt>
                <c:pt idx="137">
                  <c:v>31.195798501981663</c:v>
                </c:pt>
                <c:pt idx="138">
                  <c:v>31.333900905581192</c:v>
                </c:pt>
                <c:pt idx="139">
                  <c:v>31.47200330918072</c:v>
                </c:pt>
                <c:pt idx="140">
                  <c:v>31.610105712780243</c:v>
                </c:pt>
                <c:pt idx="141">
                  <c:v>31.748208116379764</c:v>
                </c:pt>
                <c:pt idx="142">
                  <c:v>31.88631051997929</c:v>
                </c:pt>
                <c:pt idx="143">
                  <c:v>32.024412923578815</c:v>
                </c:pt>
                <c:pt idx="144">
                  <c:v>32.16251532717835</c:v>
                </c:pt>
                <c:pt idx="145">
                  <c:v>32.300617730777866</c:v>
                </c:pt>
                <c:pt idx="146">
                  <c:v>32.4387201343774</c:v>
                </c:pt>
                <c:pt idx="147">
                  <c:v>32.57682253797692</c:v>
                </c:pt>
                <c:pt idx="148">
                  <c:v>32.71492494157644</c:v>
                </c:pt>
                <c:pt idx="149">
                  <c:v>32.853027345175974</c:v>
                </c:pt>
                <c:pt idx="150">
                  <c:v>32.9911297487755</c:v>
                </c:pt>
                <c:pt idx="151">
                  <c:v>33.129232152375025</c:v>
                </c:pt>
                <c:pt idx="152">
                  <c:v>33.26733455597454</c:v>
                </c:pt>
                <c:pt idx="153">
                  <c:v>33.40543695957407</c:v>
                </c:pt>
                <c:pt idx="154">
                  <c:v>33.54353936317359</c:v>
                </c:pt>
                <c:pt idx="155">
                  <c:v>33.681641766773126</c:v>
                </c:pt>
                <c:pt idx="156">
                  <c:v>33.81974417037265</c:v>
                </c:pt>
                <c:pt idx="157">
                  <c:v>33.95784657397217</c:v>
                </c:pt>
                <c:pt idx="158">
                  <c:v>34.0959489775717</c:v>
                </c:pt>
                <c:pt idx="159">
                  <c:v>34.23405138117123</c:v>
                </c:pt>
                <c:pt idx="160">
                  <c:v>34.37215378477075</c:v>
                </c:pt>
                <c:pt idx="161">
                  <c:v>34.51025618837028</c:v>
                </c:pt>
                <c:pt idx="162">
                  <c:v>34.6483585919698</c:v>
                </c:pt>
                <c:pt idx="163">
                  <c:v>34.78646099556932</c:v>
                </c:pt>
                <c:pt idx="164">
                  <c:v>34.924563399168846</c:v>
                </c:pt>
                <c:pt idx="165">
                  <c:v>35.06266580276838</c:v>
                </c:pt>
                <c:pt idx="166">
                  <c:v>35.200768206367904</c:v>
                </c:pt>
                <c:pt idx="167">
                  <c:v>35.33887060996743</c:v>
                </c:pt>
                <c:pt idx="168">
                  <c:v>35.47697301356695</c:v>
                </c:pt>
                <c:pt idx="169">
                  <c:v>35.61507541716648</c:v>
                </c:pt>
                <c:pt idx="170">
                  <c:v>35.753177820766005</c:v>
                </c:pt>
                <c:pt idx="171">
                  <c:v>35.89128022436553</c:v>
                </c:pt>
                <c:pt idx="172">
                  <c:v>36.02938262796505</c:v>
                </c:pt>
                <c:pt idx="173">
                  <c:v>36.16748503156458</c:v>
                </c:pt>
                <c:pt idx="174">
                  <c:v>36.30558743516411</c:v>
                </c:pt>
                <c:pt idx="175">
                  <c:v>36.44368983876363</c:v>
                </c:pt>
                <c:pt idx="176">
                  <c:v>36.58179224236316</c:v>
                </c:pt>
                <c:pt idx="177">
                  <c:v>36.719894645962675</c:v>
                </c:pt>
                <c:pt idx="178">
                  <c:v>36.8579970495622</c:v>
                </c:pt>
                <c:pt idx="179">
                  <c:v>36.996099453161726</c:v>
                </c:pt>
                <c:pt idx="180">
                  <c:v>37.13420185676126</c:v>
                </c:pt>
                <c:pt idx="181">
                  <c:v>37.272304260360784</c:v>
                </c:pt>
                <c:pt idx="182">
                  <c:v>37.41040666396031</c:v>
                </c:pt>
                <c:pt idx="183">
                  <c:v>37.548509067559834</c:v>
                </c:pt>
                <c:pt idx="184">
                  <c:v>37.68661147115936</c:v>
                </c:pt>
                <c:pt idx="185">
                  <c:v>37.82471387475889</c:v>
                </c:pt>
                <c:pt idx="186">
                  <c:v>37.96281627835841</c:v>
                </c:pt>
                <c:pt idx="187">
                  <c:v>38.100918681957936</c:v>
                </c:pt>
                <c:pt idx="188">
                  <c:v>38.239021085557454</c:v>
                </c:pt>
                <c:pt idx="189">
                  <c:v>38.37712348915698</c:v>
                </c:pt>
                <c:pt idx="190">
                  <c:v>38.515225892756504</c:v>
                </c:pt>
                <c:pt idx="191">
                  <c:v>38.65332829635604</c:v>
                </c:pt>
                <c:pt idx="192">
                  <c:v>38.79143069995556</c:v>
                </c:pt>
                <c:pt idx="193">
                  <c:v>38.92953310355508</c:v>
                </c:pt>
                <c:pt idx="194">
                  <c:v>39.06763550715461</c:v>
                </c:pt>
                <c:pt idx="195">
                  <c:v>39.20573791075414</c:v>
                </c:pt>
                <c:pt idx="196">
                  <c:v>39.34384031435367</c:v>
                </c:pt>
                <c:pt idx="197">
                  <c:v>39.48194271795319</c:v>
                </c:pt>
                <c:pt idx="198">
                  <c:v>39.620045121552714</c:v>
                </c:pt>
                <c:pt idx="199">
                  <c:v>39.75814752515223</c:v>
                </c:pt>
                <c:pt idx="200">
                  <c:v>39.89624992875176</c:v>
                </c:pt>
              </c:numCache>
            </c:numRef>
          </c:xVal>
          <c:yVal>
            <c:numRef>
              <c:f>Luc_keo!$N$404:$N$604</c:f>
              <c:numCache>
                <c:formatCode>General</c:formatCode>
                <c:ptCount val="201"/>
                <c:pt idx="0">
                  <c:v>0.6483698437314175</c:v>
                </c:pt>
                <c:pt idx="1">
                  <c:v>0.650960664332179</c:v>
                </c:pt>
                <c:pt idx="2">
                  <c:v>0.6535297680412815</c:v>
                </c:pt>
                <c:pt idx="3">
                  <c:v>0.6560771548587244</c:v>
                </c:pt>
                <c:pt idx="4">
                  <c:v>0.6586028247845082</c:v>
                </c:pt>
                <c:pt idx="5">
                  <c:v>0.6611067778186324</c:v>
                </c:pt>
                <c:pt idx="6">
                  <c:v>0.6635890139610974</c:v>
                </c:pt>
                <c:pt idx="7">
                  <c:v>0.6660495332119029</c:v>
                </c:pt>
                <c:pt idx="8">
                  <c:v>0.6684883355710494</c:v>
                </c:pt>
                <c:pt idx="9">
                  <c:v>0.6709054210385362</c:v>
                </c:pt>
                <c:pt idx="10">
                  <c:v>0.6733007896143637</c:v>
                </c:pt>
                <c:pt idx="11">
                  <c:v>0.6756744412985324</c:v>
                </c:pt>
                <c:pt idx="12">
                  <c:v>0.6780263760910408</c:v>
                </c:pt>
                <c:pt idx="13">
                  <c:v>0.6803565939918903</c:v>
                </c:pt>
                <c:pt idx="14">
                  <c:v>0.6826650950010805</c:v>
                </c:pt>
                <c:pt idx="15">
                  <c:v>0.6849518791186113</c:v>
                </c:pt>
                <c:pt idx="16">
                  <c:v>0.6872169463444829</c:v>
                </c:pt>
                <c:pt idx="17">
                  <c:v>0.6894602966786951</c:v>
                </c:pt>
                <c:pt idx="18">
                  <c:v>0.6916819301212479</c:v>
                </c:pt>
                <c:pt idx="19">
                  <c:v>0.6938818466721413</c:v>
                </c:pt>
                <c:pt idx="20">
                  <c:v>0.6960600463313756</c:v>
                </c:pt>
                <c:pt idx="21">
                  <c:v>0.6982165290989504</c:v>
                </c:pt>
                <c:pt idx="22">
                  <c:v>0.7003512949748658</c:v>
                </c:pt>
                <c:pt idx="23">
                  <c:v>0.7024643439591218</c:v>
                </c:pt>
                <c:pt idx="24">
                  <c:v>0.7045556760517185</c:v>
                </c:pt>
                <c:pt idx="25">
                  <c:v>0.7066252912526559</c:v>
                </c:pt>
                <c:pt idx="26">
                  <c:v>0.7086731895619338</c:v>
                </c:pt>
                <c:pt idx="27">
                  <c:v>0.7106993709795527</c:v>
                </c:pt>
                <c:pt idx="28">
                  <c:v>0.7127038355055124</c:v>
                </c:pt>
                <c:pt idx="29">
                  <c:v>0.714686583139812</c:v>
                </c:pt>
                <c:pt idx="30">
                  <c:v>0.7166476138824528</c:v>
                </c:pt>
                <c:pt idx="31">
                  <c:v>0.7185869277334341</c:v>
                </c:pt>
                <c:pt idx="32">
                  <c:v>0.7205045246927559</c:v>
                </c:pt>
                <c:pt idx="33">
                  <c:v>0.7224004047604187</c:v>
                </c:pt>
                <c:pt idx="34">
                  <c:v>0.7242745679364218</c:v>
                </c:pt>
                <c:pt idx="35">
                  <c:v>0.726127014220766</c:v>
                </c:pt>
                <c:pt idx="36">
                  <c:v>0.7279577436134504</c:v>
                </c:pt>
                <c:pt idx="37">
                  <c:v>0.7297667561144758</c:v>
                </c:pt>
                <c:pt idx="38">
                  <c:v>0.731554051723842</c:v>
                </c:pt>
                <c:pt idx="39">
                  <c:v>0.7333196304415485</c:v>
                </c:pt>
                <c:pt idx="40">
                  <c:v>0.7350634922675958</c:v>
                </c:pt>
                <c:pt idx="41">
                  <c:v>0.7367856372019834</c:v>
                </c:pt>
                <c:pt idx="42">
                  <c:v>0.7384860652447119</c:v>
                </c:pt>
                <c:pt idx="43">
                  <c:v>0.7401647763957814</c:v>
                </c:pt>
                <c:pt idx="44">
                  <c:v>0.7418217706551912</c:v>
                </c:pt>
                <c:pt idx="45">
                  <c:v>0.7434570480229417</c:v>
                </c:pt>
                <c:pt idx="46">
                  <c:v>0.7450706084990327</c:v>
                </c:pt>
                <c:pt idx="47">
                  <c:v>0.7466624520834646</c:v>
                </c:pt>
                <c:pt idx="48">
                  <c:v>0.7482325787762372</c:v>
                </c:pt>
                <c:pt idx="49">
                  <c:v>0.7497809885773501</c:v>
                </c:pt>
                <c:pt idx="50">
                  <c:v>0.7513076814868042</c:v>
                </c:pt>
                <c:pt idx="51">
                  <c:v>0.7528126575045982</c:v>
                </c:pt>
                <c:pt idx="52">
                  <c:v>0.7542959166307335</c:v>
                </c:pt>
                <c:pt idx="53">
                  <c:v>0.7557574588652091</c:v>
                </c:pt>
                <c:pt idx="54">
                  <c:v>0.7571972842080257</c:v>
                </c:pt>
                <c:pt idx="55">
                  <c:v>0.7586153926591827</c:v>
                </c:pt>
                <c:pt idx="56">
                  <c:v>0.7600117842186804</c:v>
                </c:pt>
                <c:pt idx="57">
                  <c:v>0.7613864588865191</c:v>
                </c:pt>
                <c:pt idx="58">
                  <c:v>0.762739416662698</c:v>
                </c:pt>
                <c:pt idx="59">
                  <c:v>0.7640706575472174</c:v>
                </c:pt>
                <c:pt idx="60">
                  <c:v>0.7653801815400779</c:v>
                </c:pt>
                <c:pt idx="61">
                  <c:v>0.7666679886412786</c:v>
                </c:pt>
                <c:pt idx="62">
                  <c:v>0.7679340788508205</c:v>
                </c:pt>
                <c:pt idx="63">
                  <c:v>0.7691784521687028</c:v>
                </c:pt>
                <c:pt idx="64">
                  <c:v>0.7704011085949255</c:v>
                </c:pt>
                <c:pt idx="65">
                  <c:v>0.7716020481294892</c:v>
                </c:pt>
                <c:pt idx="66">
                  <c:v>0.7727812707723937</c:v>
                </c:pt>
                <c:pt idx="67">
                  <c:v>0.7739387765236387</c:v>
                </c:pt>
                <c:pt idx="68">
                  <c:v>0.7750745653832241</c:v>
                </c:pt>
                <c:pt idx="69">
                  <c:v>0.7761886373511502</c:v>
                </c:pt>
                <c:pt idx="70">
                  <c:v>0.7772809924274174</c:v>
                </c:pt>
                <c:pt idx="71">
                  <c:v>0.7783516306120248</c:v>
                </c:pt>
                <c:pt idx="72">
                  <c:v>0.7794005519049729</c:v>
                </c:pt>
                <c:pt idx="73">
                  <c:v>0.7804277563062618</c:v>
                </c:pt>
                <c:pt idx="74">
                  <c:v>0.7814332438158915</c:v>
                </c:pt>
                <c:pt idx="75">
                  <c:v>0.7824170144338614</c:v>
                </c:pt>
                <c:pt idx="76">
                  <c:v>0.7833790681601722</c:v>
                </c:pt>
                <c:pt idx="77">
                  <c:v>0.7843194049948233</c:v>
                </c:pt>
                <c:pt idx="78">
                  <c:v>0.7852380249378159</c:v>
                </c:pt>
                <c:pt idx="79">
                  <c:v>0.7861349279891485</c:v>
                </c:pt>
                <c:pt idx="80">
                  <c:v>0.7870101141488219</c:v>
                </c:pt>
                <c:pt idx="81">
                  <c:v>0.7878635834168358</c:v>
                </c:pt>
                <c:pt idx="82">
                  <c:v>0.7886953357931907</c:v>
                </c:pt>
                <c:pt idx="83">
                  <c:v>0.7895053712778862</c:v>
                </c:pt>
                <c:pt idx="84">
                  <c:v>0.7902936898709219</c:v>
                </c:pt>
                <c:pt idx="85">
                  <c:v>0.7910602915722987</c:v>
                </c:pt>
                <c:pt idx="86">
                  <c:v>0.7918051763820165</c:v>
                </c:pt>
                <c:pt idx="87">
                  <c:v>0.7925283443000742</c:v>
                </c:pt>
                <c:pt idx="88">
                  <c:v>0.7932297953264731</c:v>
                </c:pt>
                <c:pt idx="89">
                  <c:v>0.7939095294612122</c:v>
                </c:pt>
                <c:pt idx="90">
                  <c:v>0.7945675467042921</c:v>
                </c:pt>
                <c:pt idx="91">
                  <c:v>0.7952038470557129</c:v>
                </c:pt>
                <c:pt idx="92">
                  <c:v>0.7958184305154742</c:v>
                </c:pt>
                <c:pt idx="93">
                  <c:v>0.7964112970835759</c:v>
                </c:pt>
                <c:pt idx="94">
                  <c:v>0.7969824467600186</c:v>
                </c:pt>
                <c:pt idx="95">
                  <c:v>0.7975318795448021</c:v>
                </c:pt>
                <c:pt idx="96">
                  <c:v>0.798059595437926</c:v>
                </c:pt>
                <c:pt idx="97">
                  <c:v>0.7985655944393905</c:v>
                </c:pt>
                <c:pt idx="98">
                  <c:v>0.7990498765491957</c:v>
                </c:pt>
                <c:pt idx="99">
                  <c:v>0.7995124417673414</c:v>
                </c:pt>
                <c:pt idx="100">
                  <c:v>0.7999532900938282</c:v>
                </c:pt>
                <c:pt idx="101">
                  <c:v>0.8003724215286553</c:v>
                </c:pt>
                <c:pt idx="102">
                  <c:v>0.8007698360718232</c:v>
                </c:pt>
                <c:pt idx="103">
                  <c:v>0.8011455337233315</c:v>
                </c:pt>
                <c:pt idx="104">
                  <c:v>0.8014995144831805</c:v>
                </c:pt>
                <c:pt idx="105">
                  <c:v>0.8018317783513705</c:v>
                </c:pt>
                <c:pt idx="106">
                  <c:v>0.8021423253279009</c:v>
                </c:pt>
                <c:pt idx="107">
                  <c:v>0.8024311554127719</c:v>
                </c:pt>
                <c:pt idx="108">
                  <c:v>0.8026982686059839</c:v>
                </c:pt>
                <c:pt idx="109">
                  <c:v>0.8029436649075363</c:v>
                </c:pt>
                <c:pt idx="110">
                  <c:v>0.8031673443174292</c:v>
                </c:pt>
                <c:pt idx="111">
                  <c:v>0.803369306835663</c:v>
                </c:pt>
                <c:pt idx="112">
                  <c:v>0.8035495524622375</c:v>
                </c:pt>
                <c:pt idx="113">
                  <c:v>0.8037080811971524</c:v>
                </c:pt>
                <c:pt idx="114">
                  <c:v>0.8038448930404081</c:v>
                </c:pt>
                <c:pt idx="115">
                  <c:v>0.8039599879920043</c:v>
                </c:pt>
                <c:pt idx="116">
                  <c:v>0.8040533660519412</c:v>
                </c:pt>
                <c:pt idx="117">
                  <c:v>0.8041250272202193</c:v>
                </c:pt>
                <c:pt idx="118">
                  <c:v>0.8041749714968376</c:v>
                </c:pt>
                <c:pt idx="119">
                  <c:v>0.8042031988817968</c:v>
                </c:pt>
                <c:pt idx="120">
                  <c:v>0.8042097093750961</c:v>
                </c:pt>
                <c:pt idx="121">
                  <c:v>0.8041945029767361</c:v>
                </c:pt>
                <c:pt idx="122">
                  <c:v>0.8041575796867173</c:v>
                </c:pt>
                <c:pt idx="123">
                  <c:v>0.8040989395050385</c:v>
                </c:pt>
                <c:pt idx="124">
                  <c:v>0.8040185824317012</c:v>
                </c:pt>
                <c:pt idx="125">
                  <c:v>0.8039165084667043</c:v>
                </c:pt>
                <c:pt idx="126">
                  <c:v>0.8037927176100476</c:v>
                </c:pt>
                <c:pt idx="127">
                  <c:v>0.803647209861732</c:v>
                </c:pt>
                <c:pt idx="128">
                  <c:v>0.8034799852217569</c:v>
                </c:pt>
                <c:pt idx="129">
                  <c:v>0.803291043690122</c:v>
                </c:pt>
                <c:pt idx="130">
                  <c:v>0.8030803852668287</c:v>
                </c:pt>
                <c:pt idx="131">
                  <c:v>0.8028480099518757</c:v>
                </c:pt>
                <c:pt idx="132">
                  <c:v>0.8025939177452629</c:v>
                </c:pt>
                <c:pt idx="133">
                  <c:v>0.8023181086469909</c:v>
                </c:pt>
                <c:pt idx="134">
                  <c:v>0.8020205826570597</c:v>
                </c:pt>
                <c:pt idx="135">
                  <c:v>0.8017013397754691</c:v>
                </c:pt>
                <c:pt idx="136">
                  <c:v>0.8013603800022192</c:v>
                </c:pt>
                <c:pt idx="137">
                  <c:v>0.8009977033373105</c:v>
                </c:pt>
                <c:pt idx="138">
                  <c:v>0.8006133097807413</c:v>
                </c:pt>
                <c:pt idx="139">
                  <c:v>0.8002071993325134</c:v>
                </c:pt>
                <c:pt idx="140">
                  <c:v>0.7997793719926262</c:v>
                </c:pt>
                <c:pt idx="141">
                  <c:v>0.7993298277610794</c:v>
                </c:pt>
                <c:pt idx="142">
                  <c:v>0.7988585666378735</c:v>
                </c:pt>
                <c:pt idx="143">
                  <c:v>0.7983655886230082</c:v>
                </c:pt>
                <c:pt idx="144">
                  <c:v>0.7978508937164838</c:v>
                </c:pt>
                <c:pt idx="145">
                  <c:v>0.7973144819182993</c:v>
                </c:pt>
                <c:pt idx="146">
                  <c:v>0.7967563532284563</c:v>
                </c:pt>
                <c:pt idx="147">
                  <c:v>0.7961765076469535</c:v>
                </c:pt>
                <c:pt idx="148">
                  <c:v>0.7955749451737916</c:v>
                </c:pt>
                <c:pt idx="149">
                  <c:v>0.7949516658089703</c:v>
                </c:pt>
                <c:pt idx="150">
                  <c:v>0.7943066695524892</c:v>
                </c:pt>
                <c:pt idx="151">
                  <c:v>0.7936399564043495</c:v>
                </c:pt>
                <c:pt idx="152">
                  <c:v>0.7929515263645499</c:v>
                </c:pt>
                <c:pt idx="153">
                  <c:v>0.7922413794330911</c:v>
                </c:pt>
                <c:pt idx="154">
                  <c:v>0.7915095156099731</c:v>
                </c:pt>
                <c:pt idx="155">
                  <c:v>0.7907559348951956</c:v>
                </c:pt>
                <c:pt idx="156">
                  <c:v>0.789980637288759</c:v>
                </c:pt>
                <c:pt idx="157">
                  <c:v>0.7891836227906626</c:v>
                </c:pt>
                <c:pt idx="158">
                  <c:v>0.788364891400907</c:v>
                </c:pt>
                <c:pt idx="159">
                  <c:v>0.7875244431194923</c:v>
                </c:pt>
                <c:pt idx="160">
                  <c:v>0.7866622779464183</c:v>
                </c:pt>
                <c:pt idx="161">
                  <c:v>0.7857783958816847</c:v>
                </c:pt>
                <c:pt idx="162">
                  <c:v>0.7848727969252917</c:v>
                </c:pt>
                <c:pt idx="163">
                  <c:v>0.7839454810772398</c:v>
                </c:pt>
                <c:pt idx="164">
                  <c:v>0.7829964483375281</c:v>
                </c:pt>
                <c:pt idx="165">
                  <c:v>0.7820256987061572</c:v>
                </c:pt>
                <c:pt idx="166">
                  <c:v>0.7810332321831269</c:v>
                </c:pt>
                <c:pt idx="167">
                  <c:v>0.7800190487684374</c:v>
                </c:pt>
                <c:pt idx="168">
                  <c:v>0.7789831484620884</c:v>
                </c:pt>
                <c:pt idx="169">
                  <c:v>0.7779255312640802</c:v>
                </c:pt>
                <c:pt idx="170">
                  <c:v>0.7768461971744125</c:v>
                </c:pt>
                <c:pt idx="171">
                  <c:v>0.7757451461930854</c:v>
                </c:pt>
                <c:pt idx="172">
                  <c:v>0.7746223783200995</c:v>
                </c:pt>
                <c:pt idx="173">
                  <c:v>0.7734778935554536</c:v>
                </c:pt>
                <c:pt idx="174">
                  <c:v>0.7723116918991484</c:v>
                </c:pt>
                <c:pt idx="175">
                  <c:v>0.7711237733511841</c:v>
                </c:pt>
                <c:pt idx="176">
                  <c:v>0.7699141379115604</c:v>
                </c:pt>
                <c:pt idx="177">
                  <c:v>0.7686827855802776</c:v>
                </c:pt>
                <c:pt idx="178">
                  <c:v>0.7674297163573351</c:v>
                </c:pt>
                <c:pt idx="179">
                  <c:v>0.7661549302427334</c:v>
                </c:pt>
                <c:pt idx="180">
                  <c:v>0.7648584272364721</c:v>
                </c:pt>
                <c:pt idx="181">
                  <c:v>0.763540207338552</c:v>
                </c:pt>
                <c:pt idx="182">
                  <c:v>0.7622002705489719</c:v>
                </c:pt>
                <c:pt idx="183">
                  <c:v>0.7608386168677329</c:v>
                </c:pt>
                <c:pt idx="184">
                  <c:v>0.7594552462948342</c:v>
                </c:pt>
                <c:pt idx="185">
                  <c:v>0.7580501588302767</c:v>
                </c:pt>
                <c:pt idx="186">
                  <c:v>0.7566233544740595</c:v>
                </c:pt>
                <c:pt idx="187">
                  <c:v>0.7551748332261828</c:v>
                </c:pt>
                <c:pt idx="188">
                  <c:v>0.7537045950866471</c:v>
                </c:pt>
                <c:pt idx="189">
                  <c:v>0.752212640055452</c:v>
                </c:pt>
                <c:pt idx="190">
                  <c:v>0.7506989681325975</c:v>
                </c:pt>
                <c:pt idx="191">
                  <c:v>0.7491635793180839</c:v>
                </c:pt>
                <c:pt idx="192">
                  <c:v>0.7476064736119102</c:v>
                </c:pt>
                <c:pt idx="193">
                  <c:v>0.7460276510140776</c:v>
                </c:pt>
                <c:pt idx="194">
                  <c:v>0.7444271115245858</c:v>
                </c:pt>
                <c:pt idx="195">
                  <c:v>0.7428048551434346</c:v>
                </c:pt>
                <c:pt idx="196">
                  <c:v>0.741160881870624</c:v>
                </c:pt>
                <c:pt idx="197">
                  <c:v>0.7394951917061541</c:v>
                </c:pt>
                <c:pt idx="198">
                  <c:v>0.737807784650025</c:v>
                </c:pt>
                <c:pt idx="199">
                  <c:v>0.7360986607022362</c:v>
                </c:pt>
                <c:pt idx="200">
                  <c:v>0.7343678198627881</c:v>
                </c:pt>
              </c:numCache>
            </c:numRef>
          </c:yVal>
        </c:ser>
        <c:ser>
          <c:idx val="3"/>
          <c:order val="3"/>
          <c:tx>
            <c:v>Số 4</c:v>
          </c:tx>
          <c:marker>
            <c:symbol val="none"/>
          </c:marker>
          <c:xVal>
            <c:numRef>
              <c:f>Luc_keo!$E$605:$E$805</c:f>
              <c:numCache>
                <c:formatCode>General</c:formatCode>
                <c:ptCount val="201"/>
                <c:pt idx="0">
                  <c:v>19.967478471921407</c:v>
                </c:pt>
                <c:pt idx="1">
                  <c:v>20.19211260473052</c:v>
                </c:pt>
                <c:pt idx="2">
                  <c:v>20.416746737539636</c:v>
                </c:pt>
                <c:pt idx="3">
                  <c:v>20.64138087034875</c:v>
                </c:pt>
                <c:pt idx="4">
                  <c:v>20.86601500315787</c:v>
                </c:pt>
                <c:pt idx="5">
                  <c:v>21.090649135966988</c:v>
                </c:pt>
                <c:pt idx="6">
                  <c:v>21.3152832687761</c:v>
                </c:pt>
                <c:pt idx="7">
                  <c:v>21.539917401585214</c:v>
                </c:pt>
                <c:pt idx="8">
                  <c:v>21.76455153439433</c:v>
                </c:pt>
                <c:pt idx="9">
                  <c:v>21.989185667203447</c:v>
                </c:pt>
                <c:pt idx="10">
                  <c:v>22.213819800012562</c:v>
                </c:pt>
                <c:pt idx="11">
                  <c:v>22.43845393282168</c:v>
                </c:pt>
                <c:pt idx="12">
                  <c:v>22.663088065630795</c:v>
                </c:pt>
                <c:pt idx="13">
                  <c:v>22.88772219843991</c:v>
                </c:pt>
                <c:pt idx="14">
                  <c:v>23.11235633124902</c:v>
                </c:pt>
                <c:pt idx="15">
                  <c:v>23.336990464058143</c:v>
                </c:pt>
                <c:pt idx="16">
                  <c:v>23.561624596867258</c:v>
                </c:pt>
                <c:pt idx="17">
                  <c:v>23.786258729676376</c:v>
                </c:pt>
                <c:pt idx="18">
                  <c:v>24.01089286248549</c:v>
                </c:pt>
                <c:pt idx="19">
                  <c:v>24.235526995294606</c:v>
                </c:pt>
                <c:pt idx="20">
                  <c:v>24.46016112810372</c:v>
                </c:pt>
                <c:pt idx="21">
                  <c:v>24.684795260912836</c:v>
                </c:pt>
                <c:pt idx="22">
                  <c:v>24.909429393721954</c:v>
                </c:pt>
                <c:pt idx="23">
                  <c:v>25.13406352653107</c:v>
                </c:pt>
                <c:pt idx="24">
                  <c:v>25.358697659340184</c:v>
                </c:pt>
                <c:pt idx="25">
                  <c:v>25.5833317921493</c:v>
                </c:pt>
                <c:pt idx="26">
                  <c:v>25.807965924958413</c:v>
                </c:pt>
                <c:pt idx="27">
                  <c:v>26.03260005776753</c:v>
                </c:pt>
                <c:pt idx="28">
                  <c:v>26.25723419057665</c:v>
                </c:pt>
                <c:pt idx="29">
                  <c:v>26.481868323385765</c:v>
                </c:pt>
                <c:pt idx="30">
                  <c:v>26.706502456194876</c:v>
                </c:pt>
                <c:pt idx="31">
                  <c:v>26.93113658900399</c:v>
                </c:pt>
                <c:pt idx="32">
                  <c:v>27.155770721813113</c:v>
                </c:pt>
                <c:pt idx="33">
                  <c:v>27.380404854622228</c:v>
                </c:pt>
                <c:pt idx="34">
                  <c:v>27.60503898743134</c:v>
                </c:pt>
                <c:pt idx="35">
                  <c:v>27.82967312024046</c:v>
                </c:pt>
                <c:pt idx="36">
                  <c:v>28.054307253049576</c:v>
                </c:pt>
                <c:pt idx="37">
                  <c:v>28.27894138585869</c:v>
                </c:pt>
                <c:pt idx="38">
                  <c:v>28.5035755186678</c:v>
                </c:pt>
                <c:pt idx="39">
                  <c:v>28.728209651476924</c:v>
                </c:pt>
                <c:pt idx="40">
                  <c:v>28.95284378428604</c:v>
                </c:pt>
                <c:pt idx="41">
                  <c:v>29.177477917095157</c:v>
                </c:pt>
                <c:pt idx="42">
                  <c:v>29.402112049904265</c:v>
                </c:pt>
                <c:pt idx="43">
                  <c:v>29.626746182713386</c:v>
                </c:pt>
                <c:pt idx="44">
                  <c:v>29.8513803155225</c:v>
                </c:pt>
                <c:pt idx="45">
                  <c:v>30.076014448331616</c:v>
                </c:pt>
                <c:pt idx="46">
                  <c:v>30.300648581140734</c:v>
                </c:pt>
                <c:pt idx="47">
                  <c:v>30.52528271394985</c:v>
                </c:pt>
                <c:pt idx="48">
                  <c:v>30.749916846758964</c:v>
                </c:pt>
                <c:pt idx="49">
                  <c:v>30.97455097956808</c:v>
                </c:pt>
                <c:pt idx="50">
                  <c:v>31.199185112377197</c:v>
                </c:pt>
                <c:pt idx="51">
                  <c:v>31.423819245186312</c:v>
                </c:pt>
                <c:pt idx="52">
                  <c:v>31.648453377995427</c:v>
                </c:pt>
                <c:pt idx="53">
                  <c:v>31.87308751080454</c:v>
                </c:pt>
                <c:pt idx="54">
                  <c:v>32.09772164361365</c:v>
                </c:pt>
                <c:pt idx="55">
                  <c:v>32.322355776422775</c:v>
                </c:pt>
                <c:pt idx="56">
                  <c:v>32.54698990923189</c:v>
                </c:pt>
                <c:pt idx="57">
                  <c:v>32.771624042041005</c:v>
                </c:pt>
                <c:pt idx="58">
                  <c:v>32.99625817485013</c:v>
                </c:pt>
                <c:pt idx="59">
                  <c:v>33.220892307659234</c:v>
                </c:pt>
                <c:pt idx="60">
                  <c:v>33.44552644046835</c:v>
                </c:pt>
                <c:pt idx="61">
                  <c:v>33.670160573277464</c:v>
                </c:pt>
                <c:pt idx="62">
                  <c:v>33.894794706086586</c:v>
                </c:pt>
                <c:pt idx="63">
                  <c:v>34.11942883889569</c:v>
                </c:pt>
                <c:pt idx="64">
                  <c:v>34.344062971704815</c:v>
                </c:pt>
                <c:pt idx="65">
                  <c:v>34.56869710451393</c:v>
                </c:pt>
                <c:pt idx="66">
                  <c:v>34.79333123732305</c:v>
                </c:pt>
                <c:pt idx="67">
                  <c:v>35.01796537013216</c:v>
                </c:pt>
                <c:pt idx="68">
                  <c:v>35.242599502941275</c:v>
                </c:pt>
                <c:pt idx="69">
                  <c:v>35.4672336357504</c:v>
                </c:pt>
                <c:pt idx="70">
                  <c:v>35.69186776855951</c:v>
                </c:pt>
                <c:pt idx="71">
                  <c:v>35.916501901368626</c:v>
                </c:pt>
                <c:pt idx="72">
                  <c:v>36.14113603417774</c:v>
                </c:pt>
                <c:pt idx="73">
                  <c:v>36.36577016698686</c:v>
                </c:pt>
                <c:pt idx="74">
                  <c:v>36.59040429979597</c:v>
                </c:pt>
                <c:pt idx="75">
                  <c:v>36.81503843260509</c:v>
                </c:pt>
                <c:pt idx="76">
                  <c:v>37.03967256541421</c:v>
                </c:pt>
                <c:pt idx="77">
                  <c:v>37.26430669822332</c:v>
                </c:pt>
                <c:pt idx="78">
                  <c:v>37.48894083103244</c:v>
                </c:pt>
                <c:pt idx="79">
                  <c:v>37.71357496384155</c:v>
                </c:pt>
                <c:pt idx="80">
                  <c:v>37.938209096650674</c:v>
                </c:pt>
                <c:pt idx="81">
                  <c:v>38.16284322945979</c:v>
                </c:pt>
                <c:pt idx="82">
                  <c:v>38.3874773622689</c:v>
                </c:pt>
                <c:pt idx="83">
                  <c:v>38.61211149507802</c:v>
                </c:pt>
                <c:pt idx="84">
                  <c:v>38.83674562788713</c:v>
                </c:pt>
                <c:pt idx="85">
                  <c:v>39.06137976069624</c:v>
                </c:pt>
                <c:pt idx="86">
                  <c:v>39.28601389350536</c:v>
                </c:pt>
                <c:pt idx="87">
                  <c:v>39.51064802631448</c:v>
                </c:pt>
                <c:pt idx="88">
                  <c:v>39.7352821591236</c:v>
                </c:pt>
                <c:pt idx="89">
                  <c:v>39.959916291932714</c:v>
                </c:pt>
                <c:pt idx="90">
                  <c:v>40.18455042474183</c:v>
                </c:pt>
                <c:pt idx="91">
                  <c:v>40.409184557550944</c:v>
                </c:pt>
                <c:pt idx="92">
                  <c:v>40.63381869036006</c:v>
                </c:pt>
                <c:pt idx="93">
                  <c:v>40.85845282316917</c:v>
                </c:pt>
                <c:pt idx="94">
                  <c:v>41.08308695597829</c:v>
                </c:pt>
                <c:pt idx="95">
                  <c:v>41.3077210887874</c:v>
                </c:pt>
                <c:pt idx="96">
                  <c:v>41.532355221596525</c:v>
                </c:pt>
                <c:pt idx="97">
                  <c:v>41.75698935440563</c:v>
                </c:pt>
                <c:pt idx="98">
                  <c:v>41.981623487214755</c:v>
                </c:pt>
                <c:pt idx="99">
                  <c:v>42.20625762002387</c:v>
                </c:pt>
                <c:pt idx="100">
                  <c:v>42.43089175283298</c:v>
                </c:pt>
                <c:pt idx="101">
                  <c:v>42.6555258856421</c:v>
                </c:pt>
                <c:pt idx="102">
                  <c:v>42.88016001845122</c:v>
                </c:pt>
                <c:pt idx="103">
                  <c:v>43.10479415126033</c:v>
                </c:pt>
                <c:pt idx="104">
                  <c:v>43.32942828406945</c:v>
                </c:pt>
                <c:pt idx="105">
                  <c:v>43.55406241687856</c:v>
                </c:pt>
                <c:pt idx="106">
                  <c:v>43.77869654968768</c:v>
                </c:pt>
                <c:pt idx="107">
                  <c:v>44.003330682496795</c:v>
                </c:pt>
                <c:pt idx="108">
                  <c:v>44.2279648153059</c:v>
                </c:pt>
                <c:pt idx="109">
                  <c:v>44.452598948115025</c:v>
                </c:pt>
                <c:pt idx="110">
                  <c:v>44.67723308092415</c:v>
                </c:pt>
                <c:pt idx="111">
                  <c:v>44.901867213733254</c:v>
                </c:pt>
                <c:pt idx="112">
                  <c:v>45.126501346542376</c:v>
                </c:pt>
                <c:pt idx="113">
                  <c:v>45.3511354793515</c:v>
                </c:pt>
                <c:pt idx="114">
                  <c:v>45.57576961216061</c:v>
                </c:pt>
                <c:pt idx="115">
                  <c:v>45.80040374496972</c:v>
                </c:pt>
                <c:pt idx="116">
                  <c:v>46.02503787777883</c:v>
                </c:pt>
                <c:pt idx="117">
                  <c:v>46.24967201058795</c:v>
                </c:pt>
                <c:pt idx="118">
                  <c:v>46.47430614339707</c:v>
                </c:pt>
                <c:pt idx="119">
                  <c:v>46.69894027620618</c:v>
                </c:pt>
                <c:pt idx="120">
                  <c:v>46.9235744090153</c:v>
                </c:pt>
                <c:pt idx="121">
                  <c:v>47.148208541824424</c:v>
                </c:pt>
                <c:pt idx="122">
                  <c:v>47.37284267463353</c:v>
                </c:pt>
                <c:pt idx="123">
                  <c:v>47.597476807442646</c:v>
                </c:pt>
                <c:pt idx="124">
                  <c:v>47.82211094025176</c:v>
                </c:pt>
                <c:pt idx="125">
                  <c:v>48.04674507306088</c:v>
                </c:pt>
                <c:pt idx="126">
                  <c:v>48.27137920587</c:v>
                </c:pt>
                <c:pt idx="127">
                  <c:v>48.49601333867911</c:v>
                </c:pt>
                <c:pt idx="128">
                  <c:v>48.72064747148823</c:v>
                </c:pt>
                <c:pt idx="129">
                  <c:v>48.94528160429734</c:v>
                </c:pt>
                <c:pt idx="130">
                  <c:v>49.16991573710646</c:v>
                </c:pt>
                <c:pt idx="131">
                  <c:v>49.39454986991557</c:v>
                </c:pt>
                <c:pt idx="132">
                  <c:v>49.61918400272469</c:v>
                </c:pt>
                <c:pt idx="133">
                  <c:v>49.84381813553381</c:v>
                </c:pt>
                <c:pt idx="134">
                  <c:v>50.06845226834292</c:v>
                </c:pt>
                <c:pt idx="135">
                  <c:v>50.29308640115204</c:v>
                </c:pt>
                <c:pt idx="136">
                  <c:v>50.51772053396116</c:v>
                </c:pt>
                <c:pt idx="137">
                  <c:v>50.74235466677027</c:v>
                </c:pt>
                <c:pt idx="138">
                  <c:v>50.96698879957939</c:v>
                </c:pt>
                <c:pt idx="139">
                  <c:v>51.191622932388505</c:v>
                </c:pt>
                <c:pt idx="140">
                  <c:v>51.41625706519761</c:v>
                </c:pt>
                <c:pt idx="141">
                  <c:v>51.64089119800672</c:v>
                </c:pt>
                <c:pt idx="142">
                  <c:v>51.86552533081584</c:v>
                </c:pt>
                <c:pt idx="143">
                  <c:v>52.090159463624964</c:v>
                </c:pt>
                <c:pt idx="144">
                  <c:v>52.314793596434086</c:v>
                </c:pt>
                <c:pt idx="145">
                  <c:v>52.539427729243194</c:v>
                </c:pt>
                <c:pt idx="146">
                  <c:v>52.764061862052316</c:v>
                </c:pt>
                <c:pt idx="147">
                  <c:v>52.98869599486143</c:v>
                </c:pt>
                <c:pt idx="148">
                  <c:v>53.21333012767054</c:v>
                </c:pt>
                <c:pt idx="149">
                  <c:v>53.43796426047966</c:v>
                </c:pt>
                <c:pt idx="150">
                  <c:v>53.66259839328878</c:v>
                </c:pt>
                <c:pt idx="151">
                  <c:v>53.88723252609789</c:v>
                </c:pt>
                <c:pt idx="152">
                  <c:v>54.11186665890701</c:v>
                </c:pt>
                <c:pt idx="153">
                  <c:v>54.33650079171612</c:v>
                </c:pt>
                <c:pt idx="154">
                  <c:v>54.56113492452524</c:v>
                </c:pt>
                <c:pt idx="155">
                  <c:v>54.785769057334356</c:v>
                </c:pt>
                <c:pt idx="156">
                  <c:v>55.010403190143464</c:v>
                </c:pt>
                <c:pt idx="157">
                  <c:v>55.235037322952586</c:v>
                </c:pt>
                <c:pt idx="158">
                  <c:v>55.4596714557617</c:v>
                </c:pt>
                <c:pt idx="159">
                  <c:v>55.68430558857082</c:v>
                </c:pt>
                <c:pt idx="160">
                  <c:v>55.90893972137994</c:v>
                </c:pt>
                <c:pt idx="161">
                  <c:v>56.13357385418905</c:v>
                </c:pt>
                <c:pt idx="162">
                  <c:v>56.35820798699817</c:v>
                </c:pt>
                <c:pt idx="163">
                  <c:v>56.582842119807275</c:v>
                </c:pt>
                <c:pt idx="164">
                  <c:v>56.80747625261639</c:v>
                </c:pt>
                <c:pt idx="165">
                  <c:v>57.03211038542551</c:v>
                </c:pt>
                <c:pt idx="166">
                  <c:v>57.256744518234626</c:v>
                </c:pt>
                <c:pt idx="167">
                  <c:v>57.48137865104374</c:v>
                </c:pt>
                <c:pt idx="168">
                  <c:v>57.70601278385286</c:v>
                </c:pt>
                <c:pt idx="169">
                  <c:v>57.930646916661985</c:v>
                </c:pt>
                <c:pt idx="170">
                  <c:v>58.15528104947109</c:v>
                </c:pt>
                <c:pt idx="171">
                  <c:v>58.37991518228021</c:v>
                </c:pt>
                <c:pt idx="172">
                  <c:v>58.60454931508933</c:v>
                </c:pt>
                <c:pt idx="173">
                  <c:v>58.82918344789844</c:v>
                </c:pt>
                <c:pt idx="174">
                  <c:v>59.05381758070756</c:v>
                </c:pt>
                <c:pt idx="175">
                  <c:v>59.27845171351667</c:v>
                </c:pt>
                <c:pt idx="176">
                  <c:v>59.50308584632579</c:v>
                </c:pt>
                <c:pt idx="177">
                  <c:v>59.72771997913491</c:v>
                </c:pt>
                <c:pt idx="178">
                  <c:v>59.95235411194402</c:v>
                </c:pt>
                <c:pt idx="179">
                  <c:v>60.17698824475313</c:v>
                </c:pt>
                <c:pt idx="180">
                  <c:v>60.40162237756224</c:v>
                </c:pt>
                <c:pt idx="181">
                  <c:v>60.62625651037136</c:v>
                </c:pt>
                <c:pt idx="182">
                  <c:v>60.850890643180485</c:v>
                </c:pt>
                <c:pt idx="183">
                  <c:v>61.07552477598959</c:v>
                </c:pt>
                <c:pt idx="184">
                  <c:v>61.300158908798714</c:v>
                </c:pt>
                <c:pt idx="185">
                  <c:v>61.524793041607836</c:v>
                </c:pt>
                <c:pt idx="186">
                  <c:v>61.749427174416944</c:v>
                </c:pt>
                <c:pt idx="187">
                  <c:v>61.97406130722606</c:v>
                </c:pt>
                <c:pt idx="188">
                  <c:v>62.198695440035166</c:v>
                </c:pt>
                <c:pt idx="189">
                  <c:v>62.42332957284429</c:v>
                </c:pt>
                <c:pt idx="190">
                  <c:v>62.647963705653396</c:v>
                </c:pt>
                <c:pt idx="191">
                  <c:v>62.87259783846252</c:v>
                </c:pt>
                <c:pt idx="192">
                  <c:v>63.09723197127164</c:v>
                </c:pt>
                <c:pt idx="193">
                  <c:v>63.32186610408075</c:v>
                </c:pt>
                <c:pt idx="194">
                  <c:v>63.54650023688987</c:v>
                </c:pt>
                <c:pt idx="195">
                  <c:v>63.771134369698984</c:v>
                </c:pt>
                <c:pt idx="196">
                  <c:v>63.995768502508106</c:v>
                </c:pt>
                <c:pt idx="197">
                  <c:v>64.22040263531721</c:v>
                </c:pt>
                <c:pt idx="198">
                  <c:v>64.44503676812634</c:v>
                </c:pt>
                <c:pt idx="199">
                  <c:v>64.66967090093544</c:v>
                </c:pt>
                <c:pt idx="200">
                  <c:v>64.89430503374456</c:v>
                </c:pt>
              </c:numCache>
            </c:numRef>
          </c:xVal>
          <c:yVal>
            <c:numRef>
              <c:f>Luc_keo!$N$605:$N$805</c:f>
              <c:numCache>
                <c:formatCode>General</c:formatCode>
                <c:ptCount val="201"/>
                <c:pt idx="0">
                  <c:v>0.41647040517674333</c:v>
                </c:pt>
                <c:pt idx="1">
                  <c:v>0.4181846129596802</c:v>
                </c:pt>
                <c:pt idx="2">
                  <c:v>0.4198810877630509</c:v>
                </c:pt>
                <c:pt idx="3">
                  <c:v>0.42155982958685567</c:v>
                </c:pt>
                <c:pt idx="4">
                  <c:v>0.42322083843109454</c:v>
                </c:pt>
                <c:pt idx="5">
                  <c:v>0.42486411429576737</c:v>
                </c:pt>
                <c:pt idx="6">
                  <c:v>0.42648965718087406</c:v>
                </c:pt>
                <c:pt idx="7">
                  <c:v>0.428097467086415</c:v>
                </c:pt>
                <c:pt idx="8">
                  <c:v>0.42968754401238984</c:v>
                </c:pt>
                <c:pt idx="9">
                  <c:v>0.4312598879587987</c:v>
                </c:pt>
                <c:pt idx="10">
                  <c:v>0.43281449892564167</c:v>
                </c:pt>
                <c:pt idx="11">
                  <c:v>0.43435137691291864</c:v>
                </c:pt>
                <c:pt idx="12">
                  <c:v>0.4358705219206296</c:v>
                </c:pt>
                <c:pt idx="13">
                  <c:v>0.43737193394877444</c:v>
                </c:pt>
                <c:pt idx="14">
                  <c:v>0.4388556129973533</c:v>
                </c:pt>
                <c:pt idx="15">
                  <c:v>0.4403215590663663</c:v>
                </c:pt>
                <c:pt idx="16">
                  <c:v>0.4417697721558135</c:v>
                </c:pt>
                <c:pt idx="17">
                  <c:v>0.4432002522656944</c:v>
                </c:pt>
                <c:pt idx="18">
                  <c:v>0.4446129993960094</c:v>
                </c:pt>
                <c:pt idx="19">
                  <c:v>0.44600801354675834</c:v>
                </c:pt>
                <c:pt idx="20">
                  <c:v>0.44738529471794153</c:v>
                </c:pt>
                <c:pt idx="21">
                  <c:v>0.44874484290955857</c:v>
                </c:pt>
                <c:pt idx="22">
                  <c:v>0.45008665812160975</c:v>
                </c:pt>
                <c:pt idx="23">
                  <c:v>0.451410740354095</c:v>
                </c:pt>
                <c:pt idx="24">
                  <c:v>0.452717089607014</c:v>
                </c:pt>
                <c:pt idx="25">
                  <c:v>0.4540057058803672</c:v>
                </c:pt>
                <c:pt idx="26">
                  <c:v>0.4552765891741543</c:v>
                </c:pt>
                <c:pt idx="27">
                  <c:v>0.4565297394883754</c:v>
                </c:pt>
                <c:pt idx="28">
                  <c:v>0.4577651568230305</c:v>
                </c:pt>
                <c:pt idx="29">
                  <c:v>0.4589828411781198</c:v>
                </c:pt>
                <c:pt idx="30">
                  <c:v>0.46018279255364297</c:v>
                </c:pt>
                <c:pt idx="31">
                  <c:v>0.4613650109496002</c:v>
                </c:pt>
                <c:pt idx="32">
                  <c:v>0.4625294963659916</c:v>
                </c:pt>
                <c:pt idx="33">
                  <c:v>0.46367624880281677</c:v>
                </c:pt>
                <c:pt idx="34">
                  <c:v>0.46480526826007584</c:v>
                </c:pt>
                <c:pt idx="35">
                  <c:v>0.46591655473776933</c:v>
                </c:pt>
                <c:pt idx="36">
                  <c:v>0.4670101082358967</c:v>
                </c:pt>
                <c:pt idx="37">
                  <c:v>0.4680859287544581</c:v>
                </c:pt>
                <c:pt idx="38">
                  <c:v>0.4691440162934535</c:v>
                </c:pt>
                <c:pt idx="39">
                  <c:v>0.47018437085288267</c:v>
                </c:pt>
                <c:pt idx="40">
                  <c:v>0.4712069924327463</c:v>
                </c:pt>
                <c:pt idx="41">
                  <c:v>0.4722118810330436</c:v>
                </c:pt>
                <c:pt idx="42">
                  <c:v>0.4731990366537749</c:v>
                </c:pt>
                <c:pt idx="43">
                  <c:v>0.4741684592949404</c:v>
                </c:pt>
                <c:pt idx="44">
                  <c:v>0.47512014895654003</c:v>
                </c:pt>
                <c:pt idx="45">
                  <c:v>0.4760541056385734</c:v>
                </c:pt>
                <c:pt idx="46">
                  <c:v>0.4769703293410409</c:v>
                </c:pt>
                <c:pt idx="47">
                  <c:v>0.47786882006394243</c:v>
                </c:pt>
                <c:pt idx="48">
                  <c:v>0.478749577807278</c:v>
                </c:pt>
                <c:pt idx="49">
                  <c:v>0.4796126025710474</c:v>
                </c:pt>
                <c:pt idx="50">
                  <c:v>0.480457894355251</c:v>
                </c:pt>
                <c:pt idx="51">
                  <c:v>0.4812854531598887</c:v>
                </c:pt>
                <c:pt idx="52">
                  <c:v>0.48209527898496013</c:v>
                </c:pt>
                <c:pt idx="53">
                  <c:v>0.48288737183046576</c:v>
                </c:pt>
                <c:pt idx="54">
                  <c:v>0.4836617316964053</c:v>
                </c:pt>
                <c:pt idx="55">
                  <c:v>0.48441835858277876</c:v>
                </c:pt>
                <c:pt idx="56">
                  <c:v>0.4851572524895865</c:v>
                </c:pt>
                <c:pt idx="57">
                  <c:v>0.48587841341682836</c:v>
                </c:pt>
                <c:pt idx="58">
                  <c:v>0.48658184136450383</c:v>
                </c:pt>
                <c:pt idx="59">
                  <c:v>0.48726753633261366</c:v>
                </c:pt>
                <c:pt idx="60">
                  <c:v>0.4879354983211573</c:v>
                </c:pt>
                <c:pt idx="61">
                  <c:v>0.48858572733013494</c:v>
                </c:pt>
                <c:pt idx="62">
                  <c:v>0.48921822335954696</c:v>
                </c:pt>
                <c:pt idx="63">
                  <c:v>0.4898329864093925</c:v>
                </c:pt>
                <c:pt idx="64">
                  <c:v>0.4904300164796722</c:v>
                </c:pt>
                <c:pt idx="65">
                  <c:v>0.49100931357038646</c:v>
                </c:pt>
                <c:pt idx="66">
                  <c:v>0.4915708776815339</c:v>
                </c:pt>
                <c:pt idx="67">
                  <c:v>0.49211470881311564</c:v>
                </c:pt>
                <c:pt idx="68">
                  <c:v>0.49264080696513174</c:v>
                </c:pt>
                <c:pt idx="69">
                  <c:v>0.49314917213758147</c:v>
                </c:pt>
                <c:pt idx="70">
                  <c:v>0.4936398043304655</c:v>
                </c:pt>
                <c:pt idx="71">
                  <c:v>0.4941127035437832</c:v>
                </c:pt>
                <c:pt idx="72">
                  <c:v>0.4945678697775352</c:v>
                </c:pt>
                <c:pt idx="73">
                  <c:v>0.495005303031721</c:v>
                </c:pt>
                <c:pt idx="74">
                  <c:v>0.49542500330634126</c:v>
                </c:pt>
                <c:pt idx="75">
                  <c:v>0.49582697060139463</c:v>
                </c:pt>
                <c:pt idx="76">
                  <c:v>0.49621120491688314</c:v>
                </c:pt>
                <c:pt idx="77">
                  <c:v>0.4965777062528048</c:v>
                </c:pt>
                <c:pt idx="78">
                  <c:v>0.49692647460916095</c:v>
                </c:pt>
                <c:pt idx="79">
                  <c:v>0.4972575099859511</c:v>
                </c:pt>
                <c:pt idx="80">
                  <c:v>0.4975708123831751</c:v>
                </c:pt>
                <c:pt idx="81">
                  <c:v>0.4978663818008331</c:v>
                </c:pt>
                <c:pt idx="82">
                  <c:v>0.4981442182389251</c:v>
                </c:pt>
                <c:pt idx="83">
                  <c:v>0.4984043216974512</c:v>
                </c:pt>
                <c:pt idx="84">
                  <c:v>0.4986466921764113</c:v>
                </c:pt>
                <c:pt idx="85">
                  <c:v>0.4988713296758053</c:v>
                </c:pt>
                <c:pt idx="86">
                  <c:v>0.49907823419563363</c:v>
                </c:pt>
                <c:pt idx="87">
                  <c:v>0.49926740573589545</c:v>
                </c:pt>
                <c:pt idx="88">
                  <c:v>0.49943884429659163</c:v>
                </c:pt>
                <c:pt idx="89">
                  <c:v>0.499592549877722</c:v>
                </c:pt>
                <c:pt idx="90">
                  <c:v>0.4997285224792862</c:v>
                </c:pt>
                <c:pt idx="91">
                  <c:v>0.49984676210128437</c:v>
                </c:pt>
                <c:pt idx="92">
                  <c:v>0.49994726874371676</c:v>
                </c:pt>
                <c:pt idx="93">
                  <c:v>0.5000300424065828</c:v>
                </c:pt>
                <c:pt idx="94">
                  <c:v>0.5000950830898829</c:v>
                </c:pt>
                <c:pt idx="95">
                  <c:v>0.5001423907936174</c:v>
                </c:pt>
                <c:pt idx="96">
                  <c:v>0.5001719655177853</c:v>
                </c:pt>
                <c:pt idx="97">
                  <c:v>0.5001838072623879</c:v>
                </c:pt>
                <c:pt idx="98">
                  <c:v>0.5001779160274242</c:v>
                </c:pt>
                <c:pt idx="99">
                  <c:v>0.5001542918128945</c:v>
                </c:pt>
                <c:pt idx="100">
                  <c:v>0.5001129346187989</c:v>
                </c:pt>
                <c:pt idx="101">
                  <c:v>0.5000538444451372</c:v>
                </c:pt>
                <c:pt idx="102">
                  <c:v>0.49997702129190985</c:v>
                </c:pt>
                <c:pt idx="103">
                  <c:v>0.499882465159116</c:v>
                </c:pt>
                <c:pt idx="104">
                  <c:v>0.49977017604675655</c:v>
                </c:pt>
                <c:pt idx="105">
                  <c:v>0.4996401539548309</c:v>
                </c:pt>
                <c:pt idx="106">
                  <c:v>0.49949239888333946</c:v>
                </c:pt>
                <c:pt idx="107">
                  <c:v>0.4993269108322817</c:v>
                </c:pt>
                <c:pt idx="108">
                  <c:v>0.49914368980165835</c:v>
                </c:pt>
                <c:pt idx="109">
                  <c:v>0.4989427357914691</c:v>
                </c:pt>
                <c:pt idx="110">
                  <c:v>0.49872404880171345</c:v>
                </c:pt>
                <c:pt idx="111">
                  <c:v>0.4984876288323919</c:v>
                </c:pt>
                <c:pt idx="112">
                  <c:v>0.49823347588350453</c:v>
                </c:pt>
                <c:pt idx="113">
                  <c:v>0.4979615899550511</c:v>
                </c:pt>
                <c:pt idx="114">
                  <c:v>0.4976719710470316</c:v>
                </c:pt>
                <c:pt idx="115">
                  <c:v>0.49736461915944613</c:v>
                </c:pt>
                <c:pt idx="116">
                  <c:v>0.4970395342922948</c:v>
                </c:pt>
                <c:pt idx="117">
                  <c:v>0.4966967164455776</c:v>
                </c:pt>
                <c:pt idx="118">
                  <c:v>0.49633616561929417</c:v>
                </c:pt>
                <c:pt idx="119">
                  <c:v>0.4959578818134447</c:v>
                </c:pt>
                <c:pt idx="120">
                  <c:v>0.4955618650280295</c:v>
                </c:pt>
                <c:pt idx="121">
                  <c:v>0.49514811526304825</c:v>
                </c:pt>
                <c:pt idx="122">
                  <c:v>0.49471663251850095</c:v>
                </c:pt>
                <c:pt idx="123">
                  <c:v>0.49426741679438757</c:v>
                </c:pt>
                <c:pt idx="124">
                  <c:v>0.4938004680907081</c:v>
                </c:pt>
                <c:pt idx="125">
                  <c:v>0.4933157864074631</c:v>
                </c:pt>
                <c:pt idx="126">
                  <c:v>0.4928133717446519</c:v>
                </c:pt>
                <c:pt idx="127">
                  <c:v>0.49229322410227483</c:v>
                </c:pt>
                <c:pt idx="128">
                  <c:v>0.49175534348033173</c:v>
                </c:pt>
                <c:pt idx="129">
                  <c:v>0.49119972987882227</c:v>
                </c:pt>
                <c:pt idx="130">
                  <c:v>0.49062638329774716</c:v>
                </c:pt>
                <c:pt idx="131">
                  <c:v>0.4900353037371062</c:v>
                </c:pt>
                <c:pt idx="132">
                  <c:v>0.48942649119689896</c:v>
                </c:pt>
                <c:pt idx="133">
                  <c:v>0.48879994567712587</c:v>
                </c:pt>
                <c:pt idx="134">
                  <c:v>0.48815566717778675</c:v>
                </c:pt>
                <c:pt idx="135">
                  <c:v>0.48749365569888126</c:v>
                </c:pt>
                <c:pt idx="136">
                  <c:v>0.4868139112404108</c:v>
                </c:pt>
                <c:pt idx="137">
                  <c:v>0.48611643380237335</c:v>
                </c:pt>
                <c:pt idx="138">
                  <c:v>0.48540122338477015</c:v>
                </c:pt>
                <c:pt idx="139">
                  <c:v>0.4846682799876014</c:v>
                </c:pt>
                <c:pt idx="140">
                  <c:v>0.48391760361086644</c:v>
                </c:pt>
                <c:pt idx="141">
                  <c:v>0.4831491942545656</c:v>
                </c:pt>
                <c:pt idx="142">
                  <c:v>0.4823630519186987</c:v>
                </c:pt>
                <c:pt idx="143">
                  <c:v>0.4815591766032656</c:v>
                </c:pt>
                <c:pt idx="144">
                  <c:v>0.4807375683082667</c:v>
                </c:pt>
                <c:pt idx="145">
                  <c:v>0.47989822703370155</c:v>
                </c:pt>
                <c:pt idx="146">
                  <c:v>0.4790411527795708</c:v>
                </c:pt>
                <c:pt idx="147">
                  <c:v>0.4781663455458739</c:v>
                </c:pt>
                <c:pt idx="148">
                  <c:v>0.47727380533261105</c:v>
                </c:pt>
                <c:pt idx="149">
                  <c:v>0.47636353213978216</c:v>
                </c:pt>
                <c:pt idx="150">
                  <c:v>0.4754355259673872</c:v>
                </c:pt>
                <c:pt idx="151">
                  <c:v>0.4744897868154266</c:v>
                </c:pt>
                <c:pt idx="152">
                  <c:v>0.47352631468389944</c:v>
                </c:pt>
                <c:pt idx="153">
                  <c:v>0.472545109572807</c:v>
                </c:pt>
                <c:pt idx="154">
                  <c:v>0.47154617148214817</c:v>
                </c:pt>
                <c:pt idx="155">
                  <c:v>0.47052950041192343</c:v>
                </c:pt>
                <c:pt idx="156">
                  <c:v>0.4694950963621327</c:v>
                </c:pt>
                <c:pt idx="157">
                  <c:v>0.46844295933277585</c:v>
                </c:pt>
                <c:pt idx="158">
                  <c:v>0.4673730893238533</c:v>
                </c:pt>
                <c:pt idx="159">
                  <c:v>0.46628548633536443</c:v>
                </c:pt>
                <c:pt idx="160">
                  <c:v>0.4651801503673099</c:v>
                </c:pt>
                <c:pt idx="161">
                  <c:v>0.46405708141968927</c:v>
                </c:pt>
                <c:pt idx="162">
                  <c:v>0.4629162794925024</c:v>
                </c:pt>
                <c:pt idx="163">
                  <c:v>0.46175774458574986</c:v>
                </c:pt>
                <c:pt idx="164">
                  <c:v>0.4605814766994313</c:v>
                </c:pt>
                <c:pt idx="165">
                  <c:v>0.4593874758335467</c:v>
                </c:pt>
                <c:pt idx="166">
                  <c:v>0.4581757419880962</c:v>
                </c:pt>
                <c:pt idx="167">
                  <c:v>0.4569462751630796</c:v>
                </c:pt>
                <c:pt idx="168">
                  <c:v>0.45569907535849685</c:v>
                </c:pt>
                <c:pt idx="169">
                  <c:v>0.45443414257434855</c:v>
                </c:pt>
                <c:pt idx="170">
                  <c:v>0.4531514768106339</c:v>
                </c:pt>
                <c:pt idx="171">
                  <c:v>0.45185107806735353</c:v>
                </c:pt>
                <c:pt idx="172">
                  <c:v>0.45053294634450697</c:v>
                </c:pt>
                <c:pt idx="173">
                  <c:v>0.4491970816420946</c:v>
                </c:pt>
                <c:pt idx="174">
                  <c:v>0.44784348396011603</c:v>
                </c:pt>
                <c:pt idx="175">
                  <c:v>0.44647215329857187</c:v>
                </c:pt>
                <c:pt idx="176">
                  <c:v>0.4450830896574611</c:v>
                </c:pt>
                <c:pt idx="177">
                  <c:v>0.44367629303678463</c:v>
                </c:pt>
                <c:pt idx="178">
                  <c:v>0.4422517634365425</c:v>
                </c:pt>
                <c:pt idx="179">
                  <c:v>0.44080950085673415</c:v>
                </c:pt>
                <c:pt idx="180">
                  <c:v>0.4393495052973596</c:v>
                </c:pt>
                <c:pt idx="181">
                  <c:v>0.43787177675841954</c:v>
                </c:pt>
                <c:pt idx="182">
                  <c:v>0.43637631523991294</c:v>
                </c:pt>
                <c:pt idx="183">
                  <c:v>0.43486312074184075</c:v>
                </c:pt>
                <c:pt idx="184">
                  <c:v>0.43333219326420236</c:v>
                </c:pt>
                <c:pt idx="185">
                  <c:v>0.43178353280699827</c:v>
                </c:pt>
                <c:pt idx="186">
                  <c:v>0.43021713937022804</c:v>
                </c:pt>
                <c:pt idx="187">
                  <c:v>0.42863301295389167</c:v>
                </c:pt>
                <c:pt idx="188">
                  <c:v>0.4270311535579895</c:v>
                </c:pt>
                <c:pt idx="189">
                  <c:v>0.4254115611825213</c:v>
                </c:pt>
                <c:pt idx="190">
                  <c:v>0.42377423582748713</c:v>
                </c:pt>
                <c:pt idx="191">
                  <c:v>0.42211917749288713</c:v>
                </c:pt>
                <c:pt idx="192">
                  <c:v>0.4204463861787208</c:v>
                </c:pt>
                <c:pt idx="193">
                  <c:v>0.41875586188498876</c:v>
                </c:pt>
                <c:pt idx="194">
                  <c:v>0.41704760461169055</c:v>
                </c:pt>
                <c:pt idx="195">
                  <c:v>0.4153216143588264</c:v>
                </c:pt>
                <c:pt idx="196">
                  <c:v>0.41357789112639615</c:v>
                </c:pt>
                <c:pt idx="197">
                  <c:v>0.4118164349144002</c:v>
                </c:pt>
                <c:pt idx="198">
                  <c:v>0.4100372457228382</c:v>
                </c:pt>
                <c:pt idx="199">
                  <c:v>0.4082403235517101</c:v>
                </c:pt>
                <c:pt idx="200">
                  <c:v>0.4064256684010162</c:v>
                </c:pt>
              </c:numCache>
            </c:numRef>
          </c:yVal>
        </c:ser>
        <c:ser>
          <c:idx val="4"/>
          <c:order val="4"/>
          <c:tx>
            <c:v>Số 5</c:v>
          </c:tx>
          <c:marker>
            <c:symbol val="none"/>
          </c:marker>
          <c:xVal>
            <c:numRef>
              <c:f>Luc_keo!$E$806:$E$1006</c:f>
              <c:numCache>
                <c:formatCode>General</c:formatCode>
                <c:ptCount val="201"/>
                <c:pt idx="0">
                  <c:v>32.478632478632484</c:v>
                </c:pt>
                <c:pt idx="1">
                  <c:v>32.8440170940171</c:v>
                </c:pt>
                <c:pt idx="2">
                  <c:v>33.20940170940171</c:v>
                </c:pt>
                <c:pt idx="3">
                  <c:v>33.574786324786324</c:v>
                </c:pt>
                <c:pt idx="4">
                  <c:v>33.940170940170944</c:v>
                </c:pt>
                <c:pt idx="5">
                  <c:v>34.30555555555556</c:v>
                </c:pt>
                <c:pt idx="6">
                  <c:v>34.67094017094017</c:v>
                </c:pt>
                <c:pt idx="7">
                  <c:v>35.03632478632478</c:v>
                </c:pt>
                <c:pt idx="8">
                  <c:v>35.4017094017094</c:v>
                </c:pt>
                <c:pt idx="9">
                  <c:v>35.76709401709402</c:v>
                </c:pt>
                <c:pt idx="10">
                  <c:v>36.13247863247863</c:v>
                </c:pt>
                <c:pt idx="11">
                  <c:v>36.49786324786325</c:v>
                </c:pt>
                <c:pt idx="12">
                  <c:v>36.863247863247864</c:v>
                </c:pt>
                <c:pt idx="13">
                  <c:v>37.22863247863248</c:v>
                </c:pt>
                <c:pt idx="14">
                  <c:v>37.59401709401709</c:v>
                </c:pt>
                <c:pt idx="15">
                  <c:v>37.95940170940171</c:v>
                </c:pt>
                <c:pt idx="16">
                  <c:v>38.324786324786324</c:v>
                </c:pt>
                <c:pt idx="17">
                  <c:v>38.690170940170944</c:v>
                </c:pt>
                <c:pt idx="18">
                  <c:v>39.05555555555556</c:v>
                </c:pt>
                <c:pt idx="19">
                  <c:v>39.42094017094017</c:v>
                </c:pt>
                <c:pt idx="20">
                  <c:v>39.78632478632478</c:v>
                </c:pt>
                <c:pt idx="21">
                  <c:v>40.1517094017094</c:v>
                </c:pt>
                <c:pt idx="22">
                  <c:v>40.517094017094024</c:v>
                </c:pt>
                <c:pt idx="23">
                  <c:v>40.88247863247863</c:v>
                </c:pt>
                <c:pt idx="24">
                  <c:v>41.24786324786324</c:v>
                </c:pt>
                <c:pt idx="25">
                  <c:v>41.61324786324786</c:v>
                </c:pt>
                <c:pt idx="26">
                  <c:v>41.97863247863248</c:v>
                </c:pt>
                <c:pt idx="27">
                  <c:v>42.34401709401709</c:v>
                </c:pt>
                <c:pt idx="28">
                  <c:v>42.70940170940172</c:v>
                </c:pt>
                <c:pt idx="29">
                  <c:v>43.07478632478633</c:v>
                </c:pt>
                <c:pt idx="30">
                  <c:v>43.44017094017094</c:v>
                </c:pt>
                <c:pt idx="31">
                  <c:v>43.80555555555555</c:v>
                </c:pt>
                <c:pt idx="32">
                  <c:v>44.17094017094017</c:v>
                </c:pt>
                <c:pt idx="33">
                  <c:v>44.53632478632478</c:v>
                </c:pt>
                <c:pt idx="34">
                  <c:v>44.9017094017094</c:v>
                </c:pt>
                <c:pt idx="35">
                  <c:v>45.267094017094024</c:v>
                </c:pt>
                <c:pt idx="36">
                  <c:v>45.63247863247864</c:v>
                </c:pt>
                <c:pt idx="37">
                  <c:v>45.99786324786324</c:v>
                </c:pt>
                <c:pt idx="38">
                  <c:v>46.36324786324786</c:v>
                </c:pt>
                <c:pt idx="39">
                  <c:v>46.72863247863248</c:v>
                </c:pt>
                <c:pt idx="40">
                  <c:v>47.09401709401709</c:v>
                </c:pt>
                <c:pt idx="41">
                  <c:v>47.45940170940172</c:v>
                </c:pt>
                <c:pt idx="42">
                  <c:v>47.824786324786324</c:v>
                </c:pt>
                <c:pt idx="43">
                  <c:v>48.190170940170944</c:v>
                </c:pt>
                <c:pt idx="44">
                  <c:v>48.55555555555555</c:v>
                </c:pt>
                <c:pt idx="45">
                  <c:v>48.92094017094016</c:v>
                </c:pt>
                <c:pt idx="46">
                  <c:v>49.28632478632478</c:v>
                </c:pt>
                <c:pt idx="47">
                  <c:v>49.6517094017094</c:v>
                </c:pt>
                <c:pt idx="48">
                  <c:v>50.01709401709402</c:v>
                </c:pt>
                <c:pt idx="49">
                  <c:v>50.38247863247863</c:v>
                </c:pt>
                <c:pt idx="50">
                  <c:v>50.74786324786325</c:v>
                </c:pt>
                <c:pt idx="51">
                  <c:v>51.11324786324786</c:v>
                </c:pt>
                <c:pt idx="52">
                  <c:v>51.47863247863248</c:v>
                </c:pt>
                <c:pt idx="53">
                  <c:v>51.84401709401709</c:v>
                </c:pt>
                <c:pt idx="54">
                  <c:v>52.20940170940171</c:v>
                </c:pt>
                <c:pt idx="55">
                  <c:v>52.574786324786324</c:v>
                </c:pt>
                <c:pt idx="56">
                  <c:v>52.94017094017094</c:v>
                </c:pt>
                <c:pt idx="57">
                  <c:v>53.30555555555556</c:v>
                </c:pt>
                <c:pt idx="58">
                  <c:v>53.67094017094017</c:v>
                </c:pt>
                <c:pt idx="59">
                  <c:v>54.036324786324776</c:v>
                </c:pt>
                <c:pt idx="60">
                  <c:v>54.401709401709404</c:v>
                </c:pt>
                <c:pt idx="61">
                  <c:v>54.76709401709402</c:v>
                </c:pt>
                <c:pt idx="62">
                  <c:v>55.13247863247864</c:v>
                </c:pt>
                <c:pt idx="63">
                  <c:v>55.49786324786324</c:v>
                </c:pt>
                <c:pt idx="64">
                  <c:v>55.863247863247864</c:v>
                </c:pt>
                <c:pt idx="65">
                  <c:v>56.22863247863247</c:v>
                </c:pt>
                <c:pt idx="66">
                  <c:v>56.5940170940171</c:v>
                </c:pt>
                <c:pt idx="67">
                  <c:v>56.9594017094017</c:v>
                </c:pt>
                <c:pt idx="68">
                  <c:v>57.324786324786324</c:v>
                </c:pt>
                <c:pt idx="69">
                  <c:v>57.690170940170944</c:v>
                </c:pt>
                <c:pt idx="70">
                  <c:v>58.055555555555564</c:v>
                </c:pt>
                <c:pt idx="71">
                  <c:v>58.42094017094017</c:v>
                </c:pt>
                <c:pt idx="72">
                  <c:v>58.78632478632478</c:v>
                </c:pt>
                <c:pt idx="73">
                  <c:v>59.151709401709404</c:v>
                </c:pt>
                <c:pt idx="74">
                  <c:v>59.51709401709401</c:v>
                </c:pt>
                <c:pt idx="75">
                  <c:v>59.88247863247863</c:v>
                </c:pt>
                <c:pt idx="76">
                  <c:v>60.24786324786325</c:v>
                </c:pt>
                <c:pt idx="77">
                  <c:v>60.61324786324787</c:v>
                </c:pt>
                <c:pt idx="78">
                  <c:v>60.97863247863248</c:v>
                </c:pt>
                <c:pt idx="79">
                  <c:v>61.34401709401709</c:v>
                </c:pt>
                <c:pt idx="80">
                  <c:v>61.70940170940171</c:v>
                </c:pt>
                <c:pt idx="81">
                  <c:v>62.07478632478633</c:v>
                </c:pt>
                <c:pt idx="82">
                  <c:v>62.44017094017094</c:v>
                </c:pt>
                <c:pt idx="83">
                  <c:v>62.80555555555556</c:v>
                </c:pt>
                <c:pt idx="84">
                  <c:v>63.17094017094018</c:v>
                </c:pt>
                <c:pt idx="85">
                  <c:v>63.53632478632478</c:v>
                </c:pt>
                <c:pt idx="86">
                  <c:v>63.9017094017094</c:v>
                </c:pt>
                <c:pt idx="87">
                  <c:v>64.26709401709402</c:v>
                </c:pt>
                <c:pt idx="88">
                  <c:v>64.63247863247864</c:v>
                </c:pt>
                <c:pt idx="89">
                  <c:v>64.99786324786325</c:v>
                </c:pt>
                <c:pt idx="90">
                  <c:v>65.36324786324786</c:v>
                </c:pt>
                <c:pt idx="91">
                  <c:v>65.72863247863248</c:v>
                </c:pt>
                <c:pt idx="92">
                  <c:v>66.0940170940171</c:v>
                </c:pt>
                <c:pt idx="93">
                  <c:v>66.4594017094017</c:v>
                </c:pt>
                <c:pt idx="94">
                  <c:v>66.82478632478633</c:v>
                </c:pt>
                <c:pt idx="95">
                  <c:v>67.19017094017094</c:v>
                </c:pt>
                <c:pt idx="96">
                  <c:v>67.55555555555556</c:v>
                </c:pt>
                <c:pt idx="97">
                  <c:v>67.92094017094017</c:v>
                </c:pt>
                <c:pt idx="98">
                  <c:v>68.28632478632478</c:v>
                </c:pt>
                <c:pt idx="99">
                  <c:v>68.65170940170941</c:v>
                </c:pt>
                <c:pt idx="100">
                  <c:v>69.01709401709401</c:v>
                </c:pt>
                <c:pt idx="101">
                  <c:v>69.38247863247864</c:v>
                </c:pt>
                <c:pt idx="102">
                  <c:v>69.74786324786325</c:v>
                </c:pt>
                <c:pt idx="103">
                  <c:v>70.11324786324786</c:v>
                </c:pt>
                <c:pt idx="104">
                  <c:v>70.47863247863248</c:v>
                </c:pt>
                <c:pt idx="105">
                  <c:v>70.84401709401708</c:v>
                </c:pt>
                <c:pt idx="106">
                  <c:v>71.2094017094017</c:v>
                </c:pt>
                <c:pt idx="107">
                  <c:v>71.57478632478633</c:v>
                </c:pt>
                <c:pt idx="108">
                  <c:v>71.94017094017093</c:v>
                </c:pt>
                <c:pt idx="109">
                  <c:v>72.30555555555556</c:v>
                </c:pt>
                <c:pt idx="110">
                  <c:v>72.67094017094017</c:v>
                </c:pt>
                <c:pt idx="111">
                  <c:v>73.03632478632478</c:v>
                </c:pt>
                <c:pt idx="112">
                  <c:v>73.4017094017094</c:v>
                </c:pt>
                <c:pt idx="113">
                  <c:v>73.76709401709402</c:v>
                </c:pt>
                <c:pt idx="114">
                  <c:v>74.13247863247864</c:v>
                </c:pt>
                <c:pt idx="115">
                  <c:v>74.49786324786325</c:v>
                </c:pt>
                <c:pt idx="116">
                  <c:v>74.86324786324785</c:v>
                </c:pt>
                <c:pt idx="117">
                  <c:v>75.22863247863248</c:v>
                </c:pt>
                <c:pt idx="118">
                  <c:v>75.59401709401709</c:v>
                </c:pt>
                <c:pt idx="119">
                  <c:v>75.95940170940169</c:v>
                </c:pt>
                <c:pt idx="120">
                  <c:v>76.32478632478632</c:v>
                </c:pt>
                <c:pt idx="121">
                  <c:v>76.69017094017094</c:v>
                </c:pt>
                <c:pt idx="122">
                  <c:v>77.05555555555556</c:v>
                </c:pt>
                <c:pt idx="123">
                  <c:v>77.42094017094017</c:v>
                </c:pt>
                <c:pt idx="124">
                  <c:v>77.78632478632478</c:v>
                </c:pt>
                <c:pt idx="125">
                  <c:v>78.15170940170941</c:v>
                </c:pt>
                <c:pt idx="126">
                  <c:v>78.51709401709401</c:v>
                </c:pt>
                <c:pt idx="127">
                  <c:v>78.88247863247864</c:v>
                </c:pt>
                <c:pt idx="128">
                  <c:v>79.24786324786324</c:v>
                </c:pt>
                <c:pt idx="129">
                  <c:v>79.61324786324786</c:v>
                </c:pt>
                <c:pt idx="130">
                  <c:v>79.97863247863246</c:v>
                </c:pt>
                <c:pt idx="131">
                  <c:v>80.34401709401709</c:v>
                </c:pt>
                <c:pt idx="132">
                  <c:v>80.7094017094017</c:v>
                </c:pt>
                <c:pt idx="133">
                  <c:v>81.07478632478633</c:v>
                </c:pt>
                <c:pt idx="134">
                  <c:v>81.44017094017094</c:v>
                </c:pt>
                <c:pt idx="135">
                  <c:v>81.80555555555556</c:v>
                </c:pt>
                <c:pt idx="136">
                  <c:v>82.17094017094018</c:v>
                </c:pt>
                <c:pt idx="137">
                  <c:v>82.53632478632478</c:v>
                </c:pt>
                <c:pt idx="138">
                  <c:v>82.9017094017094</c:v>
                </c:pt>
                <c:pt idx="139">
                  <c:v>83.26709401709402</c:v>
                </c:pt>
                <c:pt idx="140">
                  <c:v>83.63247863247862</c:v>
                </c:pt>
                <c:pt idx="141">
                  <c:v>83.99786324786324</c:v>
                </c:pt>
                <c:pt idx="142">
                  <c:v>84.36324786324785</c:v>
                </c:pt>
                <c:pt idx="143">
                  <c:v>84.72863247863248</c:v>
                </c:pt>
                <c:pt idx="144">
                  <c:v>85.09401709401709</c:v>
                </c:pt>
                <c:pt idx="145">
                  <c:v>85.4594017094017</c:v>
                </c:pt>
                <c:pt idx="146">
                  <c:v>85.82478632478633</c:v>
                </c:pt>
                <c:pt idx="147">
                  <c:v>86.19017094017094</c:v>
                </c:pt>
                <c:pt idx="148">
                  <c:v>86.55555555555556</c:v>
                </c:pt>
                <c:pt idx="149">
                  <c:v>86.92094017094017</c:v>
                </c:pt>
                <c:pt idx="150">
                  <c:v>87.2863247863248</c:v>
                </c:pt>
                <c:pt idx="151">
                  <c:v>87.6517094017094</c:v>
                </c:pt>
                <c:pt idx="152">
                  <c:v>88.01709401709401</c:v>
                </c:pt>
                <c:pt idx="153">
                  <c:v>88.38247863247862</c:v>
                </c:pt>
                <c:pt idx="154">
                  <c:v>88.74786324786324</c:v>
                </c:pt>
                <c:pt idx="155">
                  <c:v>89.11324786324786</c:v>
                </c:pt>
                <c:pt idx="156">
                  <c:v>89.47863247863246</c:v>
                </c:pt>
                <c:pt idx="157">
                  <c:v>89.84401709401709</c:v>
                </c:pt>
                <c:pt idx="158">
                  <c:v>90.20940170940172</c:v>
                </c:pt>
                <c:pt idx="159">
                  <c:v>90.57478632478633</c:v>
                </c:pt>
                <c:pt idx="160">
                  <c:v>90.94017094017094</c:v>
                </c:pt>
                <c:pt idx="161">
                  <c:v>91.30555555555556</c:v>
                </c:pt>
                <c:pt idx="162">
                  <c:v>91.67094017094018</c:v>
                </c:pt>
                <c:pt idx="163">
                  <c:v>92.03632478632478</c:v>
                </c:pt>
                <c:pt idx="164">
                  <c:v>92.4017094017094</c:v>
                </c:pt>
                <c:pt idx="165">
                  <c:v>92.76709401709401</c:v>
                </c:pt>
                <c:pt idx="166">
                  <c:v>93.13247863247862</c:v>
                </c:pt>
                <c:pt idx="167">
                  <c:v>93.49786324786324</c:v>
                </c:pt>
                <c:pt idx="168">
                  <c:v>93.86324786324785</c:v>
                </c:pt>
                <c:pt idx="169">
                  <c:v>94.22863247863248</c:v>
                </c:pt>
                <c:pt idx="170">
                  <c:v>94.5940170940171</c:v>
                </c:pt>
                <c:pt idx="171">
                  <c:v>94.95940170940172</c:v>
                </c:pt>
                <c:pt idx="172">
                  <c:v>95.32478632478633</c:v>
                </c:pt>
                <c:pt idx="173">
                  <c:v>95.69017094017094</c:v>
                </c:pt>
                <c:pt idx="174">
                  <c:v>96.05555555555556</c:v>
                </c:pt>
                <c:pt idx="175">
                  <c:v>96.42094017094017</c:v>
                </c:pt>
                <c:pt idx="176">
                  <c:v>96.78632478632478</c:v>
                </c:pt>
                <c:pt idx="177">
                  <c:v>97.1517094017094</c:v>
                </c:pt>
                <c:pt idx="178">
                  <c:v>97.51709401709401</c:v>
                </c:pt>
                <c:pt idx="179">
                  <c:v>97.88247863247862</c:v>
                </c:pt>
                <c:pt idx="180">
                  <c:v>98.24786324786324</c:v>
                </c:pt>
                <c:pt idx="181">
                  <c:v>98.61324786324786</c:v>
                </c:pt>
                <c:pt idx="182">
                  <c:v>98.97863247863246</c:v>
                </c:pt>
                <c:pt idx="183">
                  <c:v>99.3440170940171</c:v>
                </c:pt>
                <c:pt idx="184">
                  <c:v>99.70940170940172</c:v>
                </c:pt>
                <c:pt idx="185">
                  <c:v>100.07478632478633</c:v>
                </c:pt>
                <c:pt idx="186">
                  <c:v>100.44017094017094</c:v>
                </c:pt>
                <c:pt idx="187">
                  <c:v>100.80555555555554</c:v>
                </c:pt>
                <c:pt idx="188">
                  <c:v>101.17094017094017</c:v>
                </c:pt>
                <c:pt idx="189">
                  <c:v>101.53632478632477</c:v>
                </c:pt>
                <c:pt idx="190">
                  <c:v>101.9017094017094</c:v>
                </c:pt>
                <c:pt idx="191">
                  <c:v>102.26709401709401</c:v>
                </c:pt>
                <c:pt idx="192">
                  <c:v>102.63247863247864</c:v>
                </c:pt>
                <c:pt idx="193">
                  <c:v>102.99786324786324</c:v>
                </c:pt>
                <c:pt idx="194">
                  <c:v>103.36324786324785</c:v>
                </c:pt>
                <c:pt idx="195">
                  <c:v>103.72863247863249</c:v>
                </c:pt>
                <c:pt idx="196">
                  <c:v>104.0940170940171</c:v>
                </c:pt>
                <c:pt idx="197">
                  <c:v>104.45940170940172</c:v>
                </c:pt>
                <c:pt idx="198">
                  <c:v>104.82478632478633</c:v>
                </c:pt>
                <c:pt idx="199">
                  <c:v>105.19017094017094</c:v>
                </c:pt>
                <c:pt idx="200">
                  <c:v>105.55555555555554</c:v>
                </c:pt>
              </c:numCache>
            </c:numRef>
          </c:xVal>
          <c:yVal>
            <c:numRef>
              <c:f>Luc_keo!$N$806:$N$1006</c:f>
              <c:numCache>
                <c:formatCode>General</c:formatCode>
                <c:ptCount val="201"/>
                <c:pt idx="0">
                  <c:v>0.20205906050444822</c:v>
                </c:pt>
                <c:pt idx="1">
                  <c:v>0.20270292975491927</c:v>
                </c:pt>
                <c:pt idx="2">
                  <c:v>0.20332961271701197</c:v>
                </c:pt>
                <c:pt idx="3">
                  <c:v>0.2039391093907263</c:v>
                </c:pt>
                <c:pt idx="4">
                  <c:v>0.20453141977606243</c:v>
                </c:pt>
                <c:pt idx="5">
                  <c:v>0.20510654387302</c:v>
                </c:pt>
                <c:pt idx="6">
                  <c:v>0.20566448168159934</c:v>
                </c:pt>
                <c:pt idx="7">
                  <c:v>0.20620523320180012</c:v>
                </c:pt>
                <c:pt idx="8">
                  <c:v>0.2067287984336229</c:v>
                </c:pt>
                <c:pt idx="9">
                  <c:v>0.2072351773770672</c:v>
                </c:pt>
                <c:pt idx="10">
                  <c:v>0.20772437003213326</c:v>
                </c:pt>
                <c:pt idx="11">
                  <c:v>0.2081963763988209</c:v>
                </c:pt>
                <c:pt idx="12">
                  <c:v>0.20865119647713018</c:v>
                </c:pt>
                <c:pt idx="13">
                  <c:v>0.20908883026706118</c:v>
                </c:pt>
                <c:pt idx="14">
                  <c:v>0.20950927776861378</c:v>
                </c:pt>
                <c:pt idx="15">
                  <c:v>0.20991253898178808</c:v>
                </c:pt>
                <c:pt idx="16">
                  <c:v>0.21029861390658408</c:v>
                </c:pt>
                <c:pt idx="17">
                  <c:v>0.2106675025430016</c:v>
                </c:pt>
                <c:pt idx="18">
                  <c:v>0.2110192048910409</c:v>
                </c:pt>
                <c:pt idx="19">
                  <c:v>0.21135372095070182</c:v>
                </c:pt>
                <c:pt idx="20">
                  <c:v>0.21167105072198455</c:v>
                </c:pt>
                <c:pt idx="21">
                  <c:v>0.2119711942048887</c:v>
                </c:pt>
                <c:pt idx="22">
                  <c:v>0.21225415139941473</c:v>
                </c:pt>
                <c:pt idx="23">
                  <c:v>0.21251992230556233</c:v>
                </c:pt>
                <c:pt idx="24">
                  <c:v>0.21276850692333155</c:v>
                </c:pt>
                <c:pt idx="25">
                  <c:v>0.21299990525272258</c:v>
                </c:pt>
                <c:pt idx="26">
                  <c:v>0.21321411729373502</c:v>
                </c:pt>
                <c:pt idx="27">
                  <c:v>0.21341114304636932</c:v>
                </c:pt>
                <c:pt idx="28">
                  <c:v>0.21359098251062522</c:v>
                </c:pt>
                <c:pt idx="29">
                  <c:v>0.21375363568650274</c:v>
                </c:pt>
                <c:pt idx="30">
                  <c:v>0.21389910257400202</c:v>
                </c:pt>
                <c:pt idx="31">
                  <c:v>0.21402738317312292</c:v>
                </c:pt>
                <c:pt idx="32">
                  <c:v>0.21413847748386552</c:v>
                </c:pt>
                <c:pt idx="33">
                  <c:v>0.2142323855062297</c:v>
                </c:pt>
                <c:pt idx="34">
                  <c:v>0.21430910724021568</c:v>
                </c:pt>
                <c:pt idx="35">
                  <c:v>0.21436864268582315</c:v>
                </c:pt>
                <c:pt idx="36">
                  <c:v>0.21441099184305232</c:v>
                </c:pt>
                <c:pt idx="37">
                  <c:v>0.21443615471190333</c:v>
                </c:pt>
                <c:pt idx="38">
                  <c:v>0.21444413129237588</c:v>
                </c:pt>
                <c:pt idx="39">
                  <c:v>0.21443492158447003</c:v>
                </c:pt>
                <c:pt idx="40">
                  <c:v>0.21440852558818596</c:v>
                </c:pt>
                <c:pt idx="41">
                  <c:v>0.21436494330352338</c:v>
                </c:pt>
                <c:pt idx="42">
                  <c:v>0.21430417473048252</c:v>
                </c:pt>
                <c:pt idx="43">
                  <c:v>0.21422621986906346</c:v>
                </c:pt>
                <c:pt idx="44">
                  <c:v>0.214131078719266</c:v>
                </c:pt>
                <c:pt idx="45">
                  <c:v>0.21401875128109013</c:v>
                </c:pt>
                <c:pt idx="46">
                  <c:v>0.21388923755453604</c:v>
                </c:pt>
                <c:pt idx="47">
                  <c:v>0.21374253753960343</c:v>
                </c:pt>
                <c:pt idx="48">
                  <c:v>0.21357865123629272</c:v>
                </c:pt>
                <c:pt idx="49">
                  <c:v>0.21339757864460346</c:v>
                </c:pt>
                <c:pt idx="50">
                  <c:v>0.2131993197645361</c:v>
                </c:pt>
                <c:pt idx="51">
                  <c:v>0.21298387459609025</c:v>
                </c:pt>
                <c:pt idx="52">
                  <c:v>0.21275124313926594</c:v>
                </c:pt>
                <c:pt idx="53">
                  <c:v>0.21250142539406347</c:v>
                </c:pt>
                <c:pt idx="54">
                  <c:v>0.2122344213604826</c:v>
                </c:pt>
                <c:pt idx="55">
                  <c:v>0.21195023103852337</c:v>
                </c:pt>
                <c:pt idx="56">
                  <c:v>0.21164885442818587</c:v>
                </c:pt>
                <c:pt idx="57">
                  <c:v>0.21133029152947014</c:v>
                </c:pt>
                <c:pt idx="58">
                  <c:v>0.21099454234237575</c:v>
                </c:pt>
                <c:pt idx="59">
                  <c:v>0.21064160686690322</c:v>
                </c:pt>
                <c:pt idx="60">
                  <c:v>0.21027148510305232</c:v>
                </c:pt>
                <c:pt idx="61">
                  <c:v>0.20988417705082313</c:v>
                </c:pt>
                <c:pt idx="62">
                  <c:v>0.20947968271021566</c:v>
                </c:pt>
                <c:pt idx="63">
                  <c:v>0.20905800208122963</c:v>
                </c:pt>
                <c:pt idx="64">
                  <c:v>0.20861913516386554</c:v>
                </c:pt>
                <c:pt idx="65">
                  <c:v>0.2081630819581229</c:v>
                </c:pt>
                <c:pt idx="66">
                  <c:v>0.20768984246400204</c:v>
                </c:pt>
                <c:pt idx="67">
                  <c:v>0.20719941668150274</c:v>
                </c:pt>
                <c:pt idx="68">
                  <c:v>0.20669180461062525</c:v>
                </c:pt>
                <c:pt idx="69">
                  <c:v>0.2061670062513692</c:v>
                </c:pt>
                <c:pt idx="70">
                  <c:v>0.20562502160373508</c:v>
                </c:pt>
                <c:pt idx="71">
                  <c:v>0.2050658506677225</c:v>
                </c:pt>
                <c:pt idx="72">
                  <c:v>0.20448949344333148</c:v>
                </c:pt>
                <c:pt idx="73">
                  <c:v>0.2038959499305623</c:v>
                </c:pt>
                <c:pt idx="74">
                  <c:v>0.20328522012941475</c:v>
                </c:pt>
                <c:pt idx="75">
                  <c:v>0.2026573040398888</c:v>
                </c:pt>
                <c:pt idx="76">
                  <c:v>0.2020122016619846</c:v>
                </c:pt>
                <c:pt idx="77">
                  <c:v>0.20134991299570176</c:v>
                </c:pt>
                <c:pt idx="78">
                  <c:v>0.200670438041041</c:v>
                </c:pt>
                <c:pt idx="79">
                  <c:v>0.1999737767980016</c:v>
                </c:pt>
                <c:pt idx="80">
                  <c:v>0.19925992926658392</c:v>
                </c:pt>
                <c:pt idx="81">
                  <c:v>0.19852889544678798</c:v>
                </c:pt>
                <c:pt idx="82">
                  <c:v>0.19778067533861374</c:v>
                </c:pt>
                <c:pt idx="83">
                  <c:v>0.19701526894206112</c:v>
                </c:pt>
                <c:pt idx="84">
                  <c:v>0.19623267625713012</c:v>
                </c:pt>
                <c:pt idx="85">
                  <c:v>0.19543289728382085</c:v>
                </c:pt>
                <c:pt idx="86">
                  <c:v>0.1946159320221332</c:v>
                </c:pt>
                <c:pt idx="87">
                  <c:v>0.19378178047206712</c:v>
                </c:pt>
                <c:pt idx="88">
                  <c:v>0.1929304426336228</c:v>
                </c:pt>
                <c:pt idx="89">
                  <c:v>0.1920619185068002</c:v>
                </c:pt>
                <c:pt idx="90">
                  <c:v>0.1911762080915992</c:v>
                </c:pt>
                <c:pt idx="91">
                  <c:v>0.19027331138801995</c:v>
                </c:pt>
                <c:pt idx="92">
                  <c:v>0.18935322839606217</c:v>
                </c:pt>
                <c:pt idx="93">
                  <c:v>0.18841595911572614</c:v>
                </c:pt>
                <c:pt idx="94">
                  <c:v>0.1874615035470118</c:v>
                </c:pt>
                <c:pt idx="95">
                  <c:v>0.18648986168991916</c:v>
                </c:pt>
                <c:pt idx="96">
                  <c:v>0.18550103354444808</c:v>
                </c:pt>
                <c:pt idx="97">
                  <c:v>0.18449501911059887</c:v>
                </c:pt>
                <c:pt idx="98">
                  <c:v>0.18347181838837098</c:v>
                </c:pt>
                <c:pt idx="99">
                  <c:v>0.18243143137776496</c:v>
                </c:pt>
                <c:pt idx="100">
                  <c:v>0.1813738580787807</c:v>
                </c:pt>
                <c:pt idx="101">
                  <c:v>0.1802990984914179</c:v>
                </c:pt>
                <c:pt idx="102">
                  <c:v>0.1792071526156769</c:v>
                </c:pt>
                <c:pt idx="103">
                  <c:v>0.17809802045155745</c:v>
                </c:pt>
                <c:pt idx="104">
                  <c:v>0.17697170199905976</c:v>
                </c:pt>
                <c:pt idx="105">
                  <c:v>0.17582819725818385</c:v>
                </c:pt>
                <c:pt idx="106">
                  <c:v>0.1746675062289293</c:v>
                </c:pt>
                <c:pt idx="107">
                  <c:v>0.17348962891129646</c:v>
                </c:pt>
                <c:pt idx="108">
                  <c:v>0.1722945653052856</c:v>
                </c:pt>
                <c:pt idx="109">
                  <c:v>0.17108231541089625</c:v>
                </c:pt>
                <c:pt idx="110">
                  <c:v>0.16985287922812842</c:v>
                </c:pt>
                <c:pt idx="111">
                  <c:v>0.16860625675698232</c:v>
                </c:pt>
                <c:pt idx="112">
                  <c:v>0.16734244799745787</c:v>
                </c:pt>
                <c:pt idx="113">
                  <c:v>0.16606145294955513</c:v>
                </c:pt>
                <c:pt idx="114">
                  <c:v>0.16476327161327398</c:v>
                </c:pt>
                <c:pt idx="115">
                  <c:v>0.16344790398861453</c:v>
                </c:pt>
                <c:pt idx="116">
                  <c:v>0.1621153500755768</c:v>
                </c:pt>
                <c:pt idx="117">
                  <c:v>0.1607656098741607</c:v>
                </c:pt>
                <c:pt idx="118">
                  <c:v>0.1593986833843663</c:v>
                </c:pt>
                <c:pt idx="119">
                  <c:v>0.1580145706061935</c:v>
                </c:pt>
                <c:pt idx="120">
                  <c:v>0.15661327153964247</c:v>
                </c:pt>
                <c:pt idx="121">
                  <c:v>0.15519478618471297</c:v>
                </c:pt>
                <c:pt idx="122">
                  <c:v>0.15375911454140517</c:v>
                </c:pt>
                <c:pt idx="123">
                  <c:v>0.15230625660971886</c:v>
                </c:pt>
                <c:pt idx="124">
                  <c:v>0.15083621238965467</c:v>
                </c:pt>
                <c:pt idx="125">
                  <c:v>0.1493489818812118</c:v>
                </c:pt>
                <c:pt idx="126">
                  <c:v>0.14784456508439076</c:v>
                </c:pt>
                <c:pt idx="127">
                  <c:v>0.14632296199919118</c:v>
                </c:pt>
                <c:pt idx="128">
                  <c:v>0.14478417262561352</c:v>
                </c:pt>
                <c:pt idx="129">
                  <c:v>0.14322819696365724</c:v>
                </c:pt>
                <c:pt idx="130">
                  <c:v>0.09763815368797014</c:v>
                </c:pt>
                <c:pt idx="131">
                  <c:v>0.09564470205077141</c:v>
                </c:pt>
                <c:pt idx="132">
                  <c:v>0.09363222673315255</c:v>
                </c:pt>
                <c:pt idx="133">
                  <c:v>0.09160072773511338</c:v>
                </c:pt>
                <c:pt idx="134">
                  <c:v>0.08955020505665445</c:v>
                </c:pt>
                <c:pt idx="135">
                  <c:v>0.08748065869777533</c:v>
                </c:pt>
                <c:pt idx="136">
                  <c:v>0.08539208865847628</c:v>
                </c:pt>
                <c:pt idx="137">
                  <c:v>0.0832844949387572</c:v>
                </c:pt>
                <c:pt idx="138">
                  <c:v>0.08115787753861776</c:v>
                </c:pt>
                <c:pt idx="139">
                  <c:v>0.07901223645805847</c:v>
                </c:pt>
                <c:pt idx="140">
                  <c:v>0.07684757169707929</c:v>
                </c:pt>
                <c:pt idx="141">
                  <c:v>0.0746638832556798</c:v>
                </c:pt>
                <c:pt idx="142">
                  <c:v>0.07246117113386034</c:v>
                </c:pt>
                <c:pt idx="143">
                  <c:v>0.0702394353316208</c:v>
                </c:pt>
                <c:pt idx="144">
                  <c:v>0.06799867584896123</c:v>
                </c:pt>
                <c:pt idx="145">
                  <c:v>0.06573889268588168</c:v>
                </c:pt>
                <c:pt idx="146">
                  <c:v>0.06346008584238208</c:v>
                </c:pt>
                <c:pt idx="147">
                  <c:v>0.06116225531846225</c:v>
                </c:pt>
                <c:pt idx="148">
                  <c:v>0.05884540111412244</c:v>
                </c:pt>
                <c:pt idx="149">
                  <c:v>0.056509523229362535</c:v>
                </c:pt>
                <c:pt idx="150">
                  <c:v>0.054154621664182716</c:v>
                </c:pt>
                <c:pt idx="151">
                  <c:v>0.051780696418582746</c:v>
                </c:pt>
                <c:pt idx="152">
                  <c:v>0.0493877474925627</c:v>
                </c:pt>
                <c:pt idx="153">
                  <c:v>0.04697577488612278</c:v>
                </c:pt>
                <c:pt idx="154">
                  <c:v>0.044544778599262556</c:v>
                </c:pt>
                <c:pt idx="155">
                  <c:v>0.0420947586319823</c:v>
                </c:pt>
                <c:pt idx="156">
                  <c:v>0.039625714984282176</c:v>
                </c:pt>
                <c:pt idx="157">
                  <c:v>0.0371376476561618</c:v>
                </c:pt>
                <c:pt idx="158">
                  <c:v>0.034630556647621394</c:v>
                </c:pt>
                <c:pt idx="159">
                  <c:v>0.03210444195866096</c:v>
                </c:pt>
                <c:pt idx="160">
                  <c:v>0.029559303589280543</c:v>
                </c:pt>
                <c:pt idx="161">
                  <c:v>0.026995141539479985</c:v>
                </c:pt>
                <c:pt idx="162">
                  <c:v>0.024411955809259398</c:v>
                </c:pt>
                <c:pt idx="163">
                  <c:v>0.021809746398618882</c:v>
                </c:pt>
                <c:pt idx="164">
                  <c:v>0.01918851330755828</c:v>
                </c:pt>
                <c:pt idx="165">
                  <c:v>0.016548256536077437</c:v>
                </c:pt>
                <c:pt idx="166">
                  <c:v>0.013888976084176665</c:v>
                </c:pt>
                <c:pt idx="167">
                  <c:v>0.011210671951855914</c:v>
                </c:pt>
                <c:pt idx="168">
                  <c:v>0.008513344139114861</c:v>
                </c:pt>
                <c:pt idx="169">
                  <c:v>0.005796992645953939</c:v>
                </c:pt>
                <c:pt idx="170">
                  <c:v>0.0030616174723728223</c:v>
                </c:pt>
                <c:pt idx="171">
                  <c:v>0.000307218618371781</c:v>
                </c:pt>
                <c:pt idx="172">
                  <c:v>-0.0024662039160494</c:v>
                </c:pt>
                <c:pt idx="173">
                  <c:v>-0.005258650130890614</c:v>
                </c:pt>
                <c:pt idx="174">
                  <c:v>-0.00807012002615186</c:v>
                </c:pt>
                <c:pt idx="175">
                  <c:v>-0.010900613601833139</c:v>
                </c:pt>
                <c:pt idx="176">
                  <c:v>-0.013750130857934502</c:v>
                </c:pt>
                <c:pt idx="177">
                  <c:v>-0.01661867179445606</c:v>
                </c:pt>
                <c:pt idx="178">
                  <c:v>-0.01950623641139733</c:v>
                </c:pt>
                <c:pt idx="179">
                  <c:v>-0.022412824708758845</c:v>
                </c:pt>
                <c:pt idx="180">
                  <c:v>-0.025338436686540552</c:v>
                </c:pt>
                <c:pt idx="181">
                  <c:v>-0.028283072344742186</c:v>
                </c:pt>
                <c:pt idx="182">
                  <c:v>-0.0312467316833638</c:v>
                </c:pt>
                <c:pt idx="183">
                  <c:v>-0.03422941470240571</c:v>
                </c:pt>
                <c:pt idx="184">
                  <c:v>-0.03723112140186761</c:v>
                </c:pt>
                <c:pt idx="185">
                  <c:v>-0.04025185178174942</c:v>
                </c:pt>
                <c:pt idx="186">
                  <c:v>-0.04329160584205143</c:v>
                </c:pt>
                <c:pt idx="187">
                  <c:v>-0.04635038358277331</c:v>
                </c:pt>
                <c:pt idx="188">
                  <c:v>-0.04942818500391533</c:v>
                </c:pt>
                <c:pt idx="189">
                  <c:v>-0.052525010105477284</c:v>
                </c:pt>
                <c:pt idx="190">
                  <c:v>-0.055640858887459586</c:v>
                </c:pt>
                <c:pt idx="191">
                  <c:v>-0.05877573134986165</c:v>
                </c:pt>
                <c:pt idx="192">
                  <c:v>-0.0619296274926838</c:v>
                </c:pt>
                <c:pt idx="193">
                  <c:v>-0.06510254731592625</c:v>
                </c:pt>
                <c:pt idx="194">
                  <c:v>-0.06829449081958863</c:v>
                </c:pt>
                <c:pt idx="195">
                  <c:v>-0.07150545800367125</c:v>
                </c:pt>
                <c:pt idx="196">
                  <c:v>-0.0747354488681737</c:v>
                </c:pt>
                <c:pt idx="197">
                  <c:v>-0.07798446341309623</c:v>
                </c:pt>
                <c:pt idx="198">
                  <c:v>-0.08125250163843878</c:v>
                </c:pt>
                <c:pt idx="199">
                  <c:v>-0.08453956354420132</c:v>
                </c:pt>
                <c:pt idx="200">
                  <c:v>-0.08784564913038416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(km/h)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304800</xdr:colOff>
      <xdr:row>48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7</xdr:col>
      <xdr:colOff>304800</xdr:colOff>
      <xdr:row>65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5</xdr:col>
      <xdr:colOff>609401</xdr:colOff>
      <xdr:row>13</xdr:row>
      <xdr:rowOff>4966</xdr:rowOff>
    </xdr:to>
    <xdr:pic>
      <xdr:nvPicPr>
        <xdr:cNvPr id="2" name="Picture 1" descr="01_dac_tinh_dong_c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3657401" cy="2100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5</xdr:col>
      <xdr:colOff>609401</xdr:colOff>
      <xdr:row>41</xdr:row>
      <xdr:rowOff>4966</xdr:rowOff>
    </xdr:to>
    <xdr:pic>
      <xdr:nvPicPr>
        <xdr:cNvPr id="3" name="Picture 2" descr="02_power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3657401" cy="2100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5</xdr:col>
      <xdr:colOff>609401</xdr:colOff>
      <xdr:row>69</xdr:row>
      <xdr:rowOff>4966</xdr:rowOff>
    </xdr:to>
    <xdr:pic>
      <xdr:nvPicPr>
        <xdr:cNvPr id="4" name="Picture 3" descr="03_forc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049000"/>
          <a:ext cx="3657401" cy="2100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5</xdr:col>
      <xdr:colOff>609401</xdr:colOff>
      <xdr:row>97</xdr:row>
      <xdr:rowOff>4966</xdr:rowOff>
    </xdr:to>
    <xdr:pic>
      <xdr:nvPicPr>
        <xdr:cNvPr id="5" name="Picture 4" descr="04_dynami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383000"/>
          <a:ext cx="3657401" cy="2100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5</xdr:col>
      <xdr:colOff>609401</xdr:colOff>
      <xdr:row>125</xdr:row>
      <xdr:rowOff>4966</xdr:rowOff>
    </xdr:to>
    <xdr:pic>
      <xdr:nvPicPr>
        <xdr:cNvPr id="6" name="Picture 5" descr="05_acc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717000"/>
          <a:ext cx="3657401" cy="2100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5</xdr:col>
      <xdr:colOff>609401</xdr:colOff>
      <xdr:row>153</xdr:row>
      <xdr:rowOff>4966</xdr:rowOff>
    </xdr:to>
    <xdr:pic>
      <xdr:nvPicPr>
        <xdr:cNvPr id="7" name="Picture 6" descr="06_inverse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051000"/>
          <a:ext cx="3657401" cy="2100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5</xdr:col>
      <xdr:colOff>609401</xdr:colOff>
      <xdr:row>181</xdr:row>
      <xdr:rowOff>4966</xdr:rowOff>
    </xdr:to>
    <xdr:pic>
      <xdr:nvPicPr>
        <xdr:cNvPr id="8" name="Picture 7" descr="07_thoi_gian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2385000"/>
          <a:ext cx="3657401" cy="21004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5</xdr:col>
      <xdr:colOff>609401</xdr:colOff>
      <xdr:row>209</xdr:row>
      <xdr:rowOff>4966</xdr:rowOff>
    </xdr:to>
    <xdr:pic>
      <xdr:nvPicPr>
        <xdr:cNvPr id="9" name="Picture 8" descr="08_quang_duong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7719000"/>
          <a:ext cx="3657401" cy="2100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cols>
    <col min="1" max="1" width="110.7109375" customWidth="1"/>
  </cols>
  <sheetData>
    <row r="1" spans="1:1" ht="30" customHeight="1">
      <c r="A1" s="1" t="s">
        <v>0</v>
      </c>
    </row>
    <row r="2" spans="1:1" ht="42" customHeight="1">
      <c r="A2" s="2" t="s">
        <v>1</v>
      </c>
    </row>
    <row r="3" spans="1:1" ht="42" customHeight="1">
      <c r="A3" s="2" t="s">
        <v>2</v>
      </c>
    </row>
    <row r="4" spans="1:1" ht="42" customHeight="1">
      <c r="A4" s="2" t="s">
        <v>3</v>
      </c>
    </row>
    <row r="5" spans="1:1" ht="42" customHeight="1">
      <c r="A5" s="2" t="s">
        <v>4</v>
      </c>
    </row>
    <row r="6" spans="1:1" ht="42" customHeight="1">
      <c r="A6" s="2" t="s">
        <v>5</v>
      </c>
    </row>
    <row r="7" spans="1:1" ht="42" customHeight="1">
      <c r="A7" s="2" t="s">
        <v>6</v>
      </c>
    </row>
    <row r="8" spans="1:1" ht="42" customHeight="1">
      <c r="A8" s="2" t="s">
        <v>7</v>
      </c>
    </row>
    <row r="9" spans="1:1" ht="42" customHeight="1">
      <c r="A9" s="2" t="s">
        <v>8</v>
      </c>
    </row>
    <row r="10" spans="1:1" ht="42" customHeight="1">
      <c r="A10" s="2" t="s">
        <v>9</v>
      </c>
    </row>
    <row r="11" spans="1:1" ht="42" customHeight="1">
      <c r="A11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cols>
    <col min="1" max="1" width="23.7109375" customWidth="1"/>
    <col min="2" max="2" width="17.7109375" customWidth="1"/>
    <col min="3" max="3" width="16.7109375" customWidth="1"/>
    <col min="4" max="4" width="82.7109375" customWidth="1"/>
  </cols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 s="3">
        <v>3450</v>
      </c>
      <c r="C2" t="s">
        <v>16</v>
      </c>
      <c r="D2" s="2" t="s">
        <v>17</v>
      </c>
    </row>
    <row r="3" spans="1:4">
      <c r="A3" t="s">
        <v>18</v>
      </c>
      <c r="B3" s="3">
        <v>4100</v>
      </c>
      <c r="C3" t="s">
        <v>16</v>
      </c>
      <c r="D3" s="2" t="s">
        <v>17</v>
      </c>
    </row>
    <row r="4" spans="1:4">
      <c r="A4" t="s">
        <v>19</v>
      </c>
      <c r="B4" s="3">
        <v>2</v>
      </c>
      <c r="C4" t="s">
        <v>20</v>
      </c>
      <c r="D4" s="2" t="s">
        <v>17</v>
      </c>
    </row>
    <row r="5" spans="1:4">
      <c r="A5" t="s">
        <v>21</v>
      </c>
      <c r="B5" s="3">
        <v>70</v>
      </c>
      <c r="C5" t="s">
        <v>22</v>
      </c>
      <c r="D5" s="2" t="s">
        <v>23</v>
      </c>
    </row>
    <row r="6" spans="1:4">
      <c r="A6" t="s">
        <v>24</v>
      </c>
      <c r="B6" s="3">
        <v>9.81</v>
      </c>
      <c r="C6" t="s">
        <v>25</v>
      </c>
      <c r="D6" s="2" t="s">
        <v>23</v>
      </c>
    </row>
    <row r="7" spans="1:4">
      <c r="A7" t="s">
        <v>26</v>
      </c>
      <c r="B7" s="3">
        <v>0.3</v>
      </c>
      <c r="C7" t="s">
        <v>27</v>
      </c>
      <c r="D7" s="2" t="s">
        <v>17</v>
      </c>
    </row>
    <row r="8" spans="1:4">
      <c r="A8" t="s">
        <v>28</v>
      </c>
      <c r="B8" s="3">
        <v>95</v>
      </c>
      <c r="C8" t="s">
        <v>29</v>
      </c>
      <c r="D8" s="2" t="s">
        <v>17</v>
      </c>
    </row>
    <row r="9" spans="1:4">
      <c r="A9" t="s">
        <v>30</v>
      </c>
      <c r="B9" s="3">
        <v>0.31</v>
      </c>
      <c r="C9" t="s">
        <v>27</v>
      </c>
      <c r="D9" s="2" t="s">
        <v>17</v>
      </c>
    </row>
    <row r="10" spans="1:4">
      <c r="A10" t="s">
        <v>31</v>
      </c>
      <c r="B10" s="3">
        <v>0.89</v>
      </c>
      <c r="C10" t="s">
        <v>27</v>
      </c>
      <c r="D10" s="2" t="s">
        <v>32</v>
      </c>
    </row>
    <row r="11" spans="1:4">
      <c r="A11" t="s">
        <v>33</v>
      </c>
      <c r="B11" s="3">
        <v>0.65</v>
      </c>
      <c r="C11" t="s">
        <v>34</v>
      </c>
      <c r="D11" s="2" t="s">
        <v>35</v>
      </c>
    </row>
    <row r="12" spans="1:4">
      <c r="A12" t="s">
        <v>36</v>
      </c>
      <c r="B12" s="3">
        <v>4.5</v>
      </c>
      <c r="C12" t="s">
        <v>37</v>
      </c>
      <c r="D12" s="2" t="s">
        <v>38</v>
      </c>
    </row>
    <row r="13" spans="1:4">
      <c r="A13" t="s">
        <v>39</v>
      </c>
      <c r="B13" s="3">
        <v>0.015</v>
      </c>
      <c r="C13" t="s">
        <v>27</v>
      </c>
      <c r="D13" s="2" t="s">
        <v>23</v>
      </c>
    </row>
    <row r="14" spans="1:4">
      <c r="A14" t="s">
        <v>40</v>
      </c>
      <c r="B14" s="3">
        <v>22.2</v>
      </c>
      <c r="C14" t="s">
        <v>41</v>
      </c>
      <c r="D14" s="2" t="s">
        <v>23</v>
      </c>
    </row>
    <row r="15" spans="1:4">
      <c r="A15" t="s">
        <v>42</v>
      </c>
      <c r="B15" s="3">
        <v>0.8</v>
      </c>
      <c r="C15" t="s">
        <v>27</v>
      </c>
      <c r="D15" s="2" t="s">
        <v>23</v>
      </c>
    </row>
    <row r="16" spans="1:4">
      <c r="A16" t="s">
        <v>43</v>
      </c>
      <c r="B16" s="3">
        <v>8.25</v>
      </c>
      <c r="C16" t="s">
        <v>44</v>
      </c>
      <c r="D16" s="2" t="s">
        <v>45</v>
      </c>
    </row>
    <row r="17" spans="1:4">
      <c r="A17" t="s">
        <v>46</v>
      </c>
      <c r="B17" s="3">
        <v>16</v>
      </c>
      <c r="C17" t="s">
        <v>44</v>
      </c>
      <c r="D17" s="2" t="s">
        <v>23</v>
      </c>
    </row>
    <row r="18" spans="1:4">
      <c r="A18" t="s">
        <v>47</v>
      </c>
      <c r="B18" s="3">
        <v>0.9350000000000001</v>
      </c>
      <c r="C18" t="s">
        <v>27</v>
      </c>
      <c r="D18" s="2" t="s">
        <v>48</v>
      </c>
    </row>
    <row r="19" spans="1:4">
      <c r="A19" t="s">
        <v>49</v>
      </c>
      <c r="B19" s="3">
        <v>2600</v>
      </c>
      <c r="C19" t="s">
        <v>50</v>
      </c>
      <c r="D19" s="2" t="s">
        <v>23</v>
      </c>
    </row>
    <row r="20" spans="1:4">
      <c r="A20" t="s">
        <v>51</v>
      </c>
      <c r="B20" s="3">
        <v>0.9</v>
      </c>
      <c r="C20" t="s">
        <v>27</v>
      </c>
      <c r="D20" s="2" t="s">
        <v>52</v>
      </c>
    </row>
    <row r="21" spans="1:4">
      <c r="A21" t="s">
        <v>53</v>
      </c>
      <c r="B21" s="3">
        <v>800</v>
      </c>
      <c r="C21" t="s">
        <v>50</v>
      </c>
      <c r="D21" s="2" t="s">
        <v>23</v>
      </c>
    </row>
    <row r="22" spans="1:4">
      <c r="A22" t="s">
        <v>54</v>
      </c>
      <c r="B22" s="3">
        <v>0.5</v>
      </c>
      <c r="C22" t="s">
        <v>27</v>
      </c>
      <c r="D22" s="2" t="s">
        <v>23</v>
      </c>
    </row>
    <row r="23" spans="1:4">
      <c r="A23" t="s">
        <v>55</v>
      </c>
      <c r="B23" s="3">
        <v>1.5</v>
      </c>
      <c r="C23" t="s">
        <v>27</v>
      </c>
      <c r="D23" s="2" t="s">
        <v>23</v>
      </c>
    </row>
    <row r="24" spans="1:4">
      <c r="A24" t="s">
        <v>56</v>
      </c>
      <c r="B24" s="3">
        <v>1</v>
      </c>
      <c r="C24" t="s">
        <v>27</v>
      </c>
      <c r="D24" s="2" t="s">
        <v>23</v>
      </c>
    </row>
    <row r="25" spans="1:4">
      <c r="A25" t="s">
        <v>57</v>
      </c>
      <c r="B25" s="3">
        <v>1</v>
      </c>
      <c r="C25" t="s">
        <v>27</v>
      </c>
      <c r="D25" s="2" t="s">
        <v>58</v>
      </c>
    </row>
    <row r="26" spans="1:4">
      <c r="A26" t="s">
        <v>59</v>
      </c>
      <c r="B26" s="3">
        <v>5</v>
      </c>
      <c r="C26" t="s">
        <v>27</v>
      </c>
      <c r="D26" s="2" t="s">
        <v>23</v>
      </c>
    </row>
    <row r="27" spans="1:4">
      <c r="A27" t="s">
        <v>60</v>
      </c>
      <c r="B27" s="3">
        <v>7</v>
      </c>
      <c r="C27" t="s">
        <v>27</v>
      </c>
      <c r="D27" s="2" t="s">
        <v>61</v>
      </c>
    </row>
    <row r="28" spans="1:4">
      <c r="A28" t="s">
        <v>62</v>
      </c>
      <c r="B28" s="3">
        <v>1</v>
      </c>
      <c r="C28" t="s">
        <v>27</v>
      </c>
      <c r="D28" s="2" t="s">
        <v>23</v>
      </c>
    </row>
    <row r="29" spans="1:4">
      <c r="A29" t="s">
        <v>63</v>
      </c>
      <c r="B29" s="3">
        <v>1.2</v>
      </c>
      <c r="C29" t="s">
        <v>27</v>
      </c>
      <c r="D29" s="2" t="s">
        <v>23</v>
      </c>
    </row>
    <row r="30" spans="1:4">
      <c r="A30" t="s">
        <v>64</v>
      </c>
      <c r="B30" s="3">
        <v>1</v>
      </c>
      <c r="C30" t="s">
        <v>65</v>
      </c>
      <c r="D30" s="2" t="s">
        <v>23</v>
      </c>
    </row>
    <row r="31" spans="1:4">
      <c r="A31" t="s">
        <v>66</v>
      </c>
      <c r="B31" s="3">
        <v>1.05</v>
      </c>
      <c r="C31" t="s">
        <v>27</v>
      </c>
      <c r="D31" s="2" t="s">
        <v>23</v>
      </c>
    </row>
    <row r="32" spans="1:4">
      <c r="A32" t="s">
        <v>67</v>
      </c>
      <c r="B32" s="3">
        <v>0.95</v>
      </c>
      <c r="C32" t="s">
        <v>27</v>
      </c>
      <c r="D32" s="2" t="s">
        <v>23</v>
      </c>
    </row>
    <row r="33" spans="1:4">
      <c r="A33" t="s">
        <v>68</v>
      </c>
      <c r="B33" s="3">
        <v>400</v>
      </c>
      <c r="C33" t="s">
        <v>27</v>
      </c>
      <c r="D33" s="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30.7109375" customWidth="1"/>
    <col min="2" max="2" width="22.7109375" customWidth="1"/>
    <col min="3" max="3" width="65.7109375" customWidth="1"/>
  </cols>
  <sheetData>
    <row r="1" spans="1:3">
      <c r="A1" s="1" t="s">
        <v>70</v>
      </c>
      <c r="B1" s="1" t="s">
        <v>12</v>
      </c>
      <c r="C1" s="1" t="s">
        <v>71</v>
      </c>
    </row>
    <row r="2" spans="1:3">
      <c r="A2" t="s">
        <v>72</v>
      </c>
      <c r="B2" s="4">
        <f>Dau_vao!$B$2+Dau_vao!$B$3+Dau_vao!$B$4*Dau_vao!$B$5</f>
        <v>7690.0</v>
      </c>
      <c r="C2" t="s">
        <v>16</v>
      </c>
    </row>
    <row r="3" spans="1:3">
      <c r="A3" t="s">
        <v>73</v>
      </c>
      <c r="B3" s="4">
        <f>Thiet_ke!$B$2*Dau_vao!$B$6</f>
        <v>75438.90000000001</v>
      </c>
      <c r="C3" t="s">
        <v>74</v>
      </c>
    </row>
    <row r="4" spans="1:3">
      <c r="A4" t="s">
        <v>75</v>
      </c>
      <c r="B4" s="4">
        <f>Thiet_ke!$B$3*Dau_vao!$B$7</f>
        <v>22631.670000000002</v>
      </c>
      <c r="C4" t="s">
        <v>76</v>
      </c>
    </row>
    <row r="5" spans="1:3">
      <c r="A5" t="s">
        <v>77</v>
      </c>
      <c r="B5" s="4">
        <f>Thiet_ke!$B$3-Thiet_ke!$B$4</f>
        <v>52807.23000000001</v>
      </c>
      <c r="C5" t="s">
        <v>78</v>
      </c>
    </row>
    <row r="6" spans="1:3">
      <c r="A6" t="s">
        <v>79</v>
      </c>
      <c r="B6" s="4">
        <f>Dau_vao!$B$8/3.6</f>
        <v>26.38888888888889</v>
      </c>
      <c r="C6" t="s">
        <v>41</v>
      </c>
    </row>
    <row r="7" spans="1:3">
      <c r="A7" t="s">
        <v>80</v>
      </c>
      <c r="B7" s="4">
        <f>(Dau_vao!$B$16+Dau_vao!$B$17/2)*0.0254*Dau_vao!$B$18</f>
        <v>0.38592125000000005</v>
      </c>
      <c r="C7" t="s">
        <v>72</v>
      </c>
    </row>
    <row r="8" spans="1:3">
      <c r="A8" t="s">
        <v>81</v>
      </c>
      <c r="B8" s="4">
        <f>Dau_vao!$B$11*Dau_vao!$B$12</f>
        <v>2.9250000000000003</v>
      </c>
      <c r="C8" t="s">
        <v>82</v>
      </c>
    </row>
    <row r="9" spans="1:3">
      <c r="A9" t="s">
        <v>83</v>
      </c>
      <c r="B9" s="4">
        <f>IF(Thiet_ke!$B$6&lt;=Dau_vao!$B$14,Dau_vao!$B$13,Dau_vao!$B$13*(1+Thiet_ke!$B$6^2/1500))</f>
        <v>0.021963734567901235</v>
      </c>
      <c r="C9" t="s">
        <v>27</v>
      </c>
    </row>
    <row r="10" spans="1:3">
      <c r="A10" t="s">
        <v>84</v>
      </c>
      <c r="B10" s="4">
        <f>Dau_vao!$B$20*Dau_vao!$B$19</f>
        <v>2340.0</v>
      </c>
      <c r="C10" t="s">
        <v>85</v>
      </c>
    </row>
    <row r="11" spans="1:3">
      <c r="A11" t="s">
        <v>86</v>
      </c>
      <c r="B11" s="4">
        <f>(Thiet_ke!$B$3*Thiet_ke!$B$9*Thiet_ke!$B$6+Thiet_ke!$B$8*Thiet_ke!$B$6^3)/(1000*Dau_vao!$B$10)</f>
        <v>109.52314981165037</v>
      </c>
      <c r="C11" t="s">
        <v>87</v>
      </c>
    </row>
    <row r="12" spans="1:3">
      <c r="A12" t="s">
        <v>88</v>
      </c>
      <c r="B12" s="4">
        <f>Thiet_ke!$B$11/(Dau_vao!$B$22*Dau_vao!$B$20+Dau_vao!$B$23*Dau_vao!$B$20^2-Dau_vao!$B$24*Dau_vao!$B$20^3)*Dau_vao!$B$25</f>
        <v>117.01191219193416</v>
      </c>
      <c r="C12" t="s">
        <v>89</v>
      </c>
    </row>
    <row r="13" spans="1:3">
      <c r="A13" t="s">
        <v>90</v>
      </c>
      <c r="B13" s="4">
        <f>Dau_vao!$B$19*Dau_vao!$B$23/(2*Dau_vao!$B$24)</f>
        <v>1950.0</v>
      </c>
      <c r="C13" t="s">
        <v>91</v>
      </c>
    </row>
    <row r="14" spans="1:3">
      <c r="A14" t="s">
        <v>92</v>
      </c>
      <c r="B14" s="4">
        <f>60000/(2*PI())*Thiet_ke!$B$12/Dau_vao!$B$19*(Dau_vao!$B$22+Dau_vao!$B$23*Thiet_ke!$B$13/Dau_vao!$B$19-Dau_vao!$B$24*(Thiet_ke!$B$13/Dau_vao!$B$19)^2)</f>
        <v>456.62222861780674</v>
      </c>
      <c r="C14" t="s">
        <v>93</v>
      </c>
    </row>
    <row r="15" spans="1:3">
      <c r="A15" t="s">
        <v>94</v>
      </c>
      <c r="B15" s="4">
        <f>2*PI()*Thiet_ke!$B$7*Thiet_ke!$B$10/(60*Dau_vao!$B$28*Thiet_ke!$B$6)</f>
        <v>3.5836209239269956</v>
      </c>
      <c r="C15" t="s">
        <v>27</v>
      </c>
    </row>
    <row r="16" spans="1:3">
      <c r="A16" t="s">
        <v>95</v>
      </c>
      <c r="B16" s="4">
        <f>Dau_vao!$B$15*Thiet_ke!$B$5</f>
        <v>42245.784000000014</v>
      </c>
      <c r="C16" t="s">
        <v>96</v>
      </c>
    </row>
    <row r="17" spans="1:3">
      <c r="A17" t="s">
        <v>97</v>
      </c>
      <c r="B17" s="4">
        <f>Dau_vao!$B$9*Thiet_ke!$B$3*Thiet_ke!$B$7/(Thiet_ke!$B$14*Thiet_ke!$B$15*Dau_vao!$B$10)</f>
        <v>6.197073029759809</v>
      </c>
      <c r="C17" t="s">
        <v>98</v>
      </c>
    </row>
    <row r="18" spans="1:3">
      <c r="A18" t="s">
        <v>99</v>
      </c>
      <c r="B18" s="4">
        <f>Thiet_ke!$B$16*Thiet_ke!$B$7/(Thiet_ke!$B$14*Thiet_ke!$B$15*Dau_vao!$B$10)</f>
        <v>11.19471256988869</v>
      </c>
      <c r="C18" t="s">
        <v>100</v>
      </c>
    </row>
    <row r="19" spans="1:3">
      <c r="A19" t="s">
        <v>101</v>
      </c>
      <c r="B19" s="4">
        <f>(Dau_vao!$B$27/Dau_vao!$B$28)^(1/(Dau_vao!$B$26-1))</f>
        <v>1.6265765616977856</v>
      </c>
      <c r="C19" t="s">
        <v>102</v>
      </c>
    </row>
    <row r="20" spans="1:3">
      <c r="A20" t="s">
        <v>103</v>
      </c>
      <c r="B20" s="4">
        <f>Dau_vao!$B$27/Thiet_ke!$B$19^0</f>
        <v>7.0</v>
      </c>
      <c r="C20" t="s">
        <v>27</v>
      </c>
    </row>
    <row r="21" spans="1:3">
      <c r="A21" t="s">
        <v>104</v>
      </c>
      <c r="B21" s="4">
        <f>Dau_vao!$B$27/Thiet_ke!$B$19^1</f>
        <v>4.30351707065885</v>
      </c>
      <c r="C21" t="s">
        <v>27</v>
      </c>
    </row>
    <row r="22" spans="1:3">
      <c r="A22" t="s">
        <v>105</v>
      </c>
      <c r="B22" s="4">
        <f>Dau_vao!$B$27/Thiet_ke!$B$19^2</f>
        <v>2.6457513110645907</v>
      </c>
      <c r="C22" t="s">
        <v>27</v>
      </c>
    </row>
    <row r="23" spans="1:3">
      <c r="A23" t="s">
        <v>106</v>
      </c>
      <c r="B23" s="4">
        <f>Dau_vao!$B$27/Thiet_ke!$B$19^3</f>
        <v>1.6265765616977859</v>
      </c>
      <c r="C23" t="s">
        <v>27</v>
      </c>
    </row>
    <row r="24" spans="1:3">
      <c r="A24" t="s">
        <v>107</v>
      </c>
      <c r="B24" s="4">
        <f>Dau_vao!$B$27/Thiet_ke!$B$19^4</f>
        <v>1.0</v>
      </c>
      <c r="C24" t="s">
        <v>27</v>
      </c>
    </row>
    <row r="25" spans="1:3">
      <c r="A25" t="s">
        <v>108</v>
      </c>
      <c r="B25" s="4">
        <f>Dau_vao!$B$29*Dau_vao!$B$27</f>
        <v>8.4</v>
      </c>
      <c r="C25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cols>
    <col min="1" max="6" width="20.7109375" customWidth="1"/>
  </cols>
  <sheetData>
    <row r="1" spans="1:5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>
      <c r="A2" s="4">
        <f>Dau_vao!$B$21+(Dau_vao!$B$19*1.1-Dau_vao!$B$21)*0/100</f>
        <v>800.0</v>
      </c>
      <c r="B2" s="4">
        <f>A2/Dau_vao!$B$19</f>
        <v>0.3076923076923077</v>
      </c>
      <c r="C2" s="4">
        <f>Thiet_ke!$B$12*(Dau_vao!$B$22*B2+Dau_vao!$B$23*B2^2-Dau_vao!$B$24*B2^3)</f>
        <v>31.210277899168606</v>
      </c>
      <c r="D2" s="4">
        <f>60000*C2/(2*PI()*A2)</f>
        <v>372.54525021933136</v>
      </c>
      <c r="E2" s="4">
        <f>C2*Dau_vao!$B$10</f>
        <v>27.77714733026006</v>
      </c>
    </row>
    <row r="3" spans="1:5">
      <c r="A3" s="4">
        <f>Dau_vao!$B$21+(Dau_vao!$B$19*1.1-Dau_vao!$B$21)*1/100</f>
        <v>820.6</v>
      </c>
      <c r="B3" s="4">
        <f>A3/Dau_vao!$B$19</f>
        <v>0.31561538461538463</v>
      </c>
      <c r="C3" s="4">
        <f>Thiet_ke!$B$12*(Dau_vao!$B$22*B3+Dau_vao!$B$23*B3^2-Dau_vao!$B$24*B3^3)</f>
        <v>32.27046732667572</v>
      </c>
      <c r="D3" s="4">
        <f>60000*C3/(2*PI()*A3)</f>
        <v>375.5304209792305</v>
      </c>
      <c r="E3" s="4">
        <f>C3*Dau_vao!$B$10</f>
        <v>28.72071592074139</v>
      </c>
    </row>
    <row r="4" spans="1:5">
      <c r="A4" s="4">
        <f>Dau_vao!$B$21+(Dau_vao!$B$19*1.1-Dau_vao!$B$21)*2/100</f>
        <v>841.2</v>
      </c>
      <c r="B4" s="4">
        <f>A4/Dau_vao!$B$19</f>
        <v>0.32353846153846155</v>
      </c>
      <c r="C4" s="4">
        <f>Thiet_ke!$B$12*(Dau_vao!$B$22*B4+Dau_vao!$B$23*B4^2-Dau_vao!$B$24*B4^3)</f>
        <v>33.33878307106586</v>
      </c>
      <c r="D4" s="4">
        <f>60000*C4/(2*PI()*A4)</f>
        <v>378.461634980637</v>
      </c>
      <c r="E4" s="4">
        <f>C4*Dau_vao!$B$10</f>
        <v>29.67151693324862</v>
      </c>
    </row>
    <row r="5" spans="1:5">
      <c r="A5" s="4">
        <f>Dau_vao!$B$21+(Dau_vao!$B$19*1.1-Dau_vao!$B$21)*3/100</f>
        <v>861.8000000000001</v>
      </c>
      <c r="B5" s="4">
        <f>A5/Dau_vao!$B$19</f>
        <v>0.3314615384615385</v>
      </c>
      <c r="C5" s="4">
        <f>Thiet_ke!$B$12*(Dau_vao!$B$22*B5+Dau_vao!$B$23*B5^2-Dau_vao!$B$24*B5^3)</f>
        <v>34.41487594141749</v>
      </c>
      <c r="D5" s="4">
        <f>60000*C5/(2*PI()*A5)</f>
        <v>381.33889222355106</v>
      </c>
      <c r="E5" s="4">
        <f>C5*Dau_vao!$B$10</f>
        <v>30.62923958786157</v>
      </c>
    </row>
    <row r="6" spans="1:5">
      <c r="A6" s="4">
        <f>Dau_vao!$B$21+(Dau_vao!$B$19*1.1-Dau_vao!$B$21)*4/100</f>
        <v>882.4</v>
      </c>
      <c r="B6" s="4">
        <f>A6/Dau_vao!$B$19</f>
        <v>0.3393846153846154</v>
      </c>
      <c r="C6" s="4">
        <f>Thiet_ke!$B$12*(Dau_vao!$B$22*B6+Dau_vao!$B$23*B6^2-Dau_vao!$B$24*B6^3)</f>
        <v>35.49839674680905</v>
      </c>
      <c r="D6" s="4">
        <f>60000*C6/(2*PI()*A6)</f>
        <v>384.1621927079726</v>
      </c>
      <c r="E6" s="4">
        <f>C6*Dau_vao!$B$10</f>
        <v>31.593573104660056</v>
      </c>
    </row>
    <row r="7" spans="1:5">
      <c r="A7" s="4">
        <f>Dau_vao!$B$21+(Dau_vao!$B$19*1.1-Dau_vao!$B$21)*5/100</f>
        <v>903.0</v>
      </c>
      <c r="B7" s="4">
        <f>A7/Dau_vao!$B$19</f>
        <v>0.3473076923076923</v>
      </c>
      <c r="C7" s="4">
        <f>Thiet_ke!$B$12*(Dau_vao!$B$22*B7+Dau_vao!$B$23*B7^2-Dau_vao!$B$24*B7^3)</f>
        <v>36.58899629631901</v>
      </c>
      <c r="D7" s="4">
        <f>60000*C7/(2*PI()*A7)</f>
        <v>386.9315364339018</v>
      </c>
      <c r="E7" s="4">
        <f>C7*Dau_vao!$B$10</f>
        <v>32.56420670372392</v>
      </c>
    </row>
    <row r="8" spans="1:5">
      <c r="A8" s="4">
        <f>Dau_vao!$B$21+(Dau_vao!$B$19*1.1-Dau_vao!$B$21)*6/100</f>
        <v>923.6</v>
      </c>
      <c r="B8" s="4">
        <f>A8/Dau_vao!$B$19</f>
        <v>0.35523076923076924</v>
      </c>
      <c r="C8" s="4">
        <f>Thiet_ke!$B$12*(Dau_vao!$B$22*B8+Dau_vao!$B$23*B8^2-Dau_vao!$B$24*B8^3)</f>
        <v>37.6863253990258</v>
      </c>
      <c r="D8" s="4">
        <f>60000*C8/(2*PI()*A8)</f>
        <v>389.6469234013383</v>
      </c>
      <c r="E8" s="4">
        <f>C8*Dau_vao!$B$10</f>
        <v>33.54082960513296</v>
      </c>
    </row>
    <row r="9" spans="1:5">
      <c r="A9" s="4">
        <f>Dau_vao!$B$21+(Dau_vao!$B$19*1.1-Dau_vao!$B$21)*7/100</f>
        <v>944.2</v>
      </c>
      <c r="B9" s="4">
        <f>A9/Dau_vao!$B$19</f>
        <v>0.36315384615384616</v>
      </c>
      <c r="C9" s="4">
        <f>Thiet_ke!$B$12*(Dau_vao!$B$22*B9+Dau_vao!$B$23*B9^2-Dau_vao!$B$24*B9^3)</f>
        <v>38.79003486400788</v>
      </c>
      <c r="D9" s="4">
        <f>60000*C9/(2*PI()*A9)</f>
        <v>392.3083536102824</v>
      </c>
      <c r="E9" s="4">
        <f>C9*Dau_vao!$B$10</f>
        <v>34.523131028967015</v>
      </c>
    </row>
    <row r="10" spans="1:5">
      <c r="A10" s="4">
        <f>Dau_vao!$B$21+(Dau_vao!$B$19*1.1-Dau_vao!$B$21)*8/100</f>
        <v>964.8000000000001</v>
      </c>
      <c r="B10" s="4">
        <f>A10/Dau_vao!$B$19</f>
        <v>0.3710769230769231</v>
      </c>
      <c r="C10" s="4">
        <f>Thiet_ke!$B$12*(Dau_vao!$B$22*B10+Dau_vao!$B$23*B10^2-Dau_vao!$B$24*B10^3)</f>
        <v>39.89977550034369</v>
      </c>
      <c r="D10" s="4">
        <f>60000*C10/(2*PI()*A10)</f>
        <v>394.91582706073376</v>
      </c>
      <c r="E10" s="4">
        <f>C10*Dau_vao!$B$10</f>
        <v>35.51080019530588</v>
      </c>
    </row>
    <row r="11" spans="1:5">
      <c r="A11" s="4">
        <f>Dau_vao!$B$21+(Dau_vao!$B$19*1.1-Dau_vao!$B$21)*9/100</f>
        <v>985.4000000000001</v>
      </c>
      <c r="B11" s="4">
        <f>A11/Dau_vao!$B$19</f>
        <v>0.37900000000000006</v>
      </c>
      <c r="C11" s="4">
        <f>Thiet_ke!$B$12*(Dau_vao!$B$22*B11+Dau_vao!$B$23*B11^2-Dau_vao!$B$24*B11^3)</f>
        <v>41.015198117111694</v>
      </c>
      <c r="D11" s="4">
        <f>60000*C11/(2*PI()*A11)</f>
        <v>397.4693437526928</v>
      </c>
      <c r="E11" s="4">
        <f>C11*Dau_vao!$B$10</f>
        <v>36.503526324229405</v>
      </c>
    </row>
    <row r="12" spans="1:5">
      <c r="A12" s="4">
        <f>Dau_vao!$B$21+(Dau_vao!$B$19*1.1-Dau_vao!$B$21)*10/100</f>
        <v>1006.0</v>
      </c>
      <c r="B12" s="4">
        <f>A12/Dau_vao!$B$19</f>
        <v>0.3869230769230769</v>
      </c>
      <c r="C12" s="4">
        <f>Thiet_ke!$B$12*(Dau_vao!$B$22*B12+Dau_vao!$B$23*B12^2-Dau_vao!$B$24*B12^3)</f>
        <v>42.13595352339034</v>
      </c>
      <c r="D12" s="4">
        <f>60000*C12/(2*PI()*A12)</f>
        <v>399.96890368615925</v>
      </c>
      <c r="E12" s="4">
        <f>C12*Dau_vao!$B$10</f>
        <v>37.5009986358174</v>
      </c>
    </row>
    <row r="13" spans="1:5">
      <c r="A13" s="4">
        <f>Dau_vao!$B$21+(Dau_vao!$B$19*1.1-Dau_vao!$B$21)*11/100</f>
        <v>1026.6</v>
      </c>
      <c r="B13" s="4">
        <f>A13/Dau_vao!$B$19</f>
        <v>0.3948461538461538</v>
      </c>
      <c r="C13" s="4">
        <f>Thiet_ke!$B$12*(Dau_vao!$B$22*B13+Dau_vao!$B$23*B13^2-Dau_vao!$B$24*B13^3)</f>
        <v>43.261692528258074</v>
      </c>
      <c r="D13" s="4">
        <f>60000*C13/(2*PI()*A13)</f>
        <v>402.41450686113313</v>
      </c>
      <c r="E13" s="4">
        <f>C13*Dau_vao!$B$10</f>
        <v>38.502906350149686</v>
      </c>
    </row>
    <row r="14" spans="1:5">
      <c r="A14" s="4">
        <f>Dau_vao!$B$21+(Dau_vao!$B$19*1.1-Dau_vao!$B$21)*12/100</f>
        <v>1047.2</v>
      </c>
      <c r="B14" s="4">
        <f>A14/Dau_vao!$B$19</f>
        <v>0.40276923076923077</v>
      </c>
      <c r="C14" s="4">
        <f>Thiet_ke!$B$12*(Dau_vao!$B$22*B14+Dau_vao!$B$23*B14^2-Dau_vao!$B$24*B14^3)</f>
        <v>44.392065940793366</v>
      </c>
      <c r="D14" s="4">
        <f>60000*C14/(2*PI()*A14)</f>
        <v>404.8061532776146</v>
      </c>
      <c r="E14" s="4">
        <f>C14*Dau_vao!$B$10</f>
        <v>39.5089386873061</v>
      </c>
    </row>
    <row r="15" spans="1:5">
      <c r="A15" s="4">
        <f>Dau_vao!$B$21+(Dau_vao!$B$19*1.1-Dau_vao!$B$21)*13/100</f>
        <v>1067.8000000000002</v>
      </c>
      <c r="B15" s="4">
        <f>A15/Dau_vao!$B$19</f>
        <v>0.41069230769230775</v>
      </c>
      <c r="C15" s="4">
        <f>Thiet_ke!$B$12*(Dau_vao!$B$22*B15+Dau_vao!$B$23*B15^2-Dau_vao!$B$24*B15^3)</f>
        <v>45.526724570074656</v>
      </c>
      <c r="D15" s="4">
        <f>60000*C15/(2*PI()*A15)</f>
        <v>407.1438429356035</v>
      </c>
      <c r="E15" s="4">
        <f>C15*Dau_vao!$B$10</f>
        <v>40.51878486736644</v>
      </c>
    </row>
    <row r="16" spans="1:5">
      <c r="A16" s="4">
        <f>Dau_vao!$B$21+(Dau_vao!$B$19*1.1-Dau_vao!$B$21)*14/100</f>
        <v>1088.4</v>
      </c>
      <c r="B16" s="4">
        <f>A16/Dau_vao!$B$19</f>
        <v>0.41861538461538467</v>
      </c>
      <c r="C16" s="4">
        <f>Thiet_ke!$B$12*(Dau_vao!$B$22*B16+Dau_vao!$B$23*B16^2-Dau_vao!$B$24*B16^3)</f>
        <v>46.66531922518038</v>
      </c>
      <c r="D16" s="4">
        <f>60000*C16/(2*PI()*A16)</f>
        <v>409.42757583509996</v>
      </c>
      <c r="E16" s="4">
        <f>C16*Dau_vao!$B$10</f>
        <v>41.53213411041054</v>
      </c>
    </row>
    <row r="17" spans="1:5">
      <c r="A17" s="4">
        <f>Dau_vao!$B$21+(Dau_vao!$B$19*1.1-Dau_vao!$B$21)*15/100</f>
        <v>1109.0</v>
      </c>
      <c r="B17" s="4">
        <f>A17/Dau_vao!$B$19</f>
        <v>0.42653846153846153</v>
      </c>
      <c r="C17" s="4">
        <f>Thiet_ke!$B$12*(Dau_vao!$B$22*B17+Dau_vao!$B$23*B17^2-Dau_vao!$B$24*B17^3)</f>
        <v>47.807500715189</v>
      </c>
      <c r="D17" s="4">
        <f>60000*C17/(2*PI()*A17)</f>
        <v>411.65735197610377</v>
      </c>
      <c r="E17" s="4">
        <f>C17*Dau_vao!$B$10</f>
        <v>42.54867563651821</v>
      </c>
    </row>
    <row r="18" spans="1:5">
      <c r="A18" s="4">
        <f>Dau_vao!$B$21+(Dau_vao!$B$19*1.1-Dau_vao!$B$21)*16/100</f>
        <v>1129.6000000000001</v>
      </c>
      <c r="B18" s="4">
        <f>A18/Dau_vao!$B$19</f>
        <v>0.4344615384615385</v>
      </c>
      <c r="C18" s="4">
        <f>Thiet_ke!$B$12*(Dau_vao!$B$22*B18+Dau_vao!$B$23*B18^2-Dau_vao!$B$24*B18^3)</f>
        <v>48.95291984917899</v>
      </c>
      <c r="D18" s="4">
        <f>60000*C18/(2*PI()*A18)</f>
        <v>413.83317135861523</v>
      </c>
      <c r="E18" s="4">
        <f>C18*Dau_vao!$B$10</f>
        <v>43.5680986657693</v>
      </c>
    </row>
    <row r="19" spans="1:5">
      <c r="A19" s="4">
        <f>Dau_vao!$B$21+(Dau_vao!$B$19*1.1-Dau_vao!$B$21)*17/100</f>
        <v>1150.2</v>
      </c>
      <c r="B19" s="4">
        <f>A19/Dau_vao!$B$19</f>
        <v>0.4423846153846154</v>
      </c>
      <c r="C19" s="4">
        <f>Thiet_ke!$B$12*(Dau_vao!$B$22*B19+Dau_vao!$B$23*B19^2-Dau_vao!$B$24*B19^3)</f>
        <v>50.101227436228754</v>
      </c>
      <c r="D19" s="4">
        <f>60000*C19/(2*PI()*A19)</f>
        <v>415.95503398263395</v>
      </c>
      <c r="E19" s="4">
        <f>C19*Dau_vao!$B$10</f>
        <v>44.59009241824359</v>
      </c>
    </row>
    <row r="20" spans="1:5">
      <c r="A20" s="4">
        <f>Dau_vao!$B$21+(Dau_vao!$B$19*1.1-Dau_vao!$B$21)*18/100</f>
        <v>1170.8000000000002</v>
      </c>
      <c r="B20" s="4">
        <f>A20/Dau_vao!$B$19</f>
        <v>0.45030769230769235</v>
      </c>
      <c r="C20" s="4">
        <f>Thiet_ke!$B$12*(Dau_vao!$B$22*B20+Dau_vao!$B$23*B20^2-Dau_vao!$B$24*B20^3)</f>
        <v>51.2520742854168</v>
      </c>
      <c r="D20" s="4">
        <f>60000*C20/(2*PI()*A20)</f>
        <v>418.0229398481604</v>
      </c>
      <c r="E20" s="4">
        <f>C20*Dau_vao!$B$10</f>
        <v>45.614346114020954</v>
      </c>
    </row>
    <row r="21" spans="1:5">
      <c r="A21" s="4">
        <f>Dau_vao!$B$21+(Dau_vao!$B$19*1.1-Dau_vao!$B$21)*19/100</f>
        <v>1191.4</v>
      </c>
      <c r="B21" s="4">
        <f>A21/Dau_vao!$B$19</f>
        <v>0.4582307692307693</v>
      </c>
      <c r="C21" s="4">
        <f>Thiet_ke!$B$12*(Dau_vao!$B$22*B21+Dau_vao!$B$23*B21^2-Dau_vao!$B$24*B21^3)</f>
        <v>52.40511120582154</v>
      </c>
      <c r="D21" s="4">
        <f>60000*C21/(2*PI()*A21)</f>
        <v>420.03688895519423</v>
      </c>
      <c r="E21" s="4">
        <f>C21*Dau_vao!$B$10</f>
        <v>46.640548973181176</v>
      </c>
    </row>
    <row r="22" spans="1:5">
      <c r="A22" s="4">
        <f>Dau_vao!$B$21+(Dau_vao!$B$19*1.1-Dau_vao!$B$21)*20/100</f>
        <v>1212.0</v>
      </c>
      <c r="B22" s="4">
        <f>A22/Dau_vao!$B$19</f>
        <v>0.46615384615384614</v>
      </c>
      <c r="C22" s="4">
        <f>Thiet_ke!$B$12*(Dau_vao!$B$22*B22+Dau_vao!$B$23*B22^2-Dau_vao!$B$24*B22^3)</f>
        <v>53.55998900652142</v>
      </c>
      <c r="D22" s="4">
        <f>60000*C22/(2*PI()*A22)</f>
        <v>421.9968813037355</v>
      </c>
      <c r="E22" s="4">
        <f>C22*Dau_vao!$B$10</f>
        <v>47.66839021580407</v>
      </c>
    </row>
    <row r="23" spans="1:5">
      <c r="A23" s="4">
        <f>Dau_vao!$B$21+(Dau_vao!$B$19*1.1-Dau_vao!$B$21)*21/100</f>
        <v>1232.6000000000001</v>
      </c>
      <c r="B23" s="4">
        <f>A23/Dau_vao!$B$19</f>
        <v>0.4740769230769231</v>
      </c>
      <c r="C23" s="4">
        <f>Thiet_ke!$B$12*(Dau_vao!$B$22*B23+Dau_vao!$B$23*B23^2-Dau_vao!$B$24*B23^3)</f>
        <v>54.71635849659493</v>
      </c>
      <c r="D23" s="4">
        <f>60000*C23/(2*PI()*A23)</f>
        <v>423.9029168937843</v>
      </c>
      <c r="E23" s="4">
        <f>C23*Dau_vao!$B$10</f>
        <v>48.697559061969486</v>
      </c>
    </row>
    <row r="24" spans="1:5">
      <c r="A24" s="4">
        <f>Dau_vao!$B$21+(Dau_vao!$B$19*1.1-Dau_vao!$B$21)*22/100</f>
        <v>1253.2</v>
      </c>
      <c r="B24" s="4">
        <f>A24/Dau_vao!$B$19</f>
        <v>0.48200000000000004</v>
      </c>
      <c r="C24" s="4">
        <f>Thiet_ke!$B$12*(Dau_vao!$B$22*B24+Dau_vao!$B$23*B24^2-Dau_vao!$B$24*B24^3)</f>
        <v>55.87387048512047</v>
      </c>
      <c r="D24" s="4">
        <f>60000*C24/(2*PI()*A24)</f>
        <v>425.75499572534056</v>
      </c>
      <c r="E24" s="4">
        <f>C24*Dau_vao!$B$10</f>
        <v>49.72774473175722</v>
      </c>
    </row>
    <row r="25" spans="1:5">
      <c r="A25" s="4">
        <f>Dau_vao!$B$21+(Dau_vao!$B$19*1.1-Dau_vao!$B$21)*23/100</f>
        <v>1273.8000000000002</v>
      </c>
      <c r="B25" s="4">
        <f>A25/Dau_vao!$B$19</f>
        <v>0.489923076923077</v>
      </c>
      <c r="C25" s="4">
        <f>Thiet_ke!$B$12*(Dau_vao!$B$22*B25+Dau_vao!$B$23*B25^2-Dau_vao!$B$24*B25^3)</f>
        <v>57.03217578117654</v>
      </c>
      <c r="D25" s="4">
        <f>60000*C25/(2*PI()*A25)</f>
        <v>427.5531177984043</v>
      </c>
      <c r="E25" s="4">
        <f>C25*Dau_vao!$B$10</f>
        <v>50.75863644524712</v>
      </c>
    </row>
    <row r="26" spans="1:5">
      <c r="A26" s="4">
        <f>Dau_vao!$B$21+(Dau_vao!$B$19*1.1-Dau_vao!$B$21)*24/100</f>
        <v>1294.4</v>
      </c>
      <c r="B26" s="4">
        <f>A26/Dau_vao!$B$19</f>
        <v>0.4978461538461539</v>
      </c>
      <c r="C26" s="4">
        <f>Thiet_ke!$B$12*(Dau_vao!$B$22*B26+Dau_vao!$B$23*B26^2-Dau_vao!$B$24*B26^3)</f>
        <v>58.19092519384156</v>
      </c>
      <c r="D26" s="4">
        <f>60000*C26/(2*PI()*A26)</f>
        <v>429.29728311297555</v>
      </c>
      <c r="E26" s="4">
        <f>C26*Dau_vao!$B$10</f>
        <v>51.78992342251899</v>
      </c>
    </row>
    <row r="27" spans="1:5">
      <c r="A27" s="4">
        <f>Dau_vao!$B$21+(Dau_vao!$B$19*1.1-Dau_vao!$B$21)*25/100</f>
        <v>1315.0</v>
      </c>
      <c r="B27" s="4">
        <f>A27/Dau_vao!$B$19</f>
        <v>0.5057692307692307</v>
      </c>
      <c r="C27" s="4">
        <f>Thiet_ke!$B$12*(Dau_vao!$B$22*B27+Dau_vao!$B$23*B27^2-Dau_vao!$B$24*B27^3)</f>
        <v>59.34976953219397</v>
      </c>
      <c r="D27" s="4">
        <f>60000*C27/(2*PI()*A27)</f>
        <v>430.98749166905407</v>
      </c>
      <c r="E27" s="4">
        <f>C27*Dau_vao!$B$10</f>
        <v>52.821294883652634</v>
      </c>
    </row>
    <row r="28" spans="1:5">
      <c r="A28" s="4">
        <f>Dau_vao!$B$21+(Dau_vao!$B$19*1.1-Dau_vao!$B$21)*26/100</f>
        <v>1335.6000000000001</v>
      </c>
      <c r="B28" s="4">
        <f>A28/Dau_vao!$B$19</f>
        <v>0.5136923076923078</v>
      </c>
      <c r="C28" s="4">
        <f>Thiet_ke!$B$12*(Dau_vao!$B$22*B28+Dau_vao!$B$23*B28^2-Dau_vao!$B$24*B28^3)</f>
        <v>60.508359605312286</v>
      </c>
      <c r="D28" s="4">
        <f>60000*C28/(2*PI()*A28)</f>
        <v>432.6237434666404</v>
      </c>
      <c r="E28" s="4">
        <f>C28*Dau_vao!$B$10</f>
        <v>53.852440048727935</v>
      </c>
    </row>
    <row r="29" spans="1:5">
      <c r="A29" s="4">
        <f>Dau_vao!$B$21+(Dau_vao!$B$19*1.1-Dau_vao!$B$21)*27/100</f>
        <v>1356.2000000000003</v>
      </c>
      <c r="B29" s="4">
        <f>A29/Dau_vao!$B$19</f>
        <v>0.5216153846153847</v>
      </c>
      <c r="C29" s="4">
        <f>Thiet_ke!$B$12*(Dau_vao!$B$22*B29+Dau_vao!$B$23*B29^2-Dau_vao!$B$24*B29^3)</f>
        <v>61.666346222274896</v>
      </c>
      <c r="D29" s="4">
        <f>60000*C29/(2*PI()*A29)</f>
        <v>434.206038505734</v>
      </c>
      <c r="E29" s="4">
        <f>C29*Dau_vao!$B$10</f>
        <v>54.88304813782466</v>
      </c>
    </row>
    <row r="30" spans="1:5">
      <c r="A30" s="4">
        <f>Dau_vao!$B$21+(Dau_vao!$B$19*1.1-Dau_vao!$B$21)*28/100</f>
        <v>1376.8000000000002</v>
      </c>
      <c r="B30" s="4">
        <f>A30/Dau_vao!$B$19</f>
        <v>0.5295384615384616</v>
      </c>
      <c r="C30" s="4">
        <f>Thiet_ke!$B$12*(Dau_vao!$B$22*B30+Dau_vao!$B$23*B30^2-Dau_vao!$B$24*B30^3)</f>
        <v>62.82338019216026</v>
      </c>
      <c r="D30" s="4">
        <f>60000*C30/(2*PI()*A30)</f>
        <v>435.73437678633513</v>
      </c>
      <c r="E30" s="4">
        <f>C30*Dau_vao!$B$10</f>
        <v>55.91280837102263</v>
      </c>
    </row>
    <row r="31" spans="1:5">
      <c r="A31" s="4">
        <f>Dau_vao!$B$21+(Dau_vao!$B$19*1.1-Dau_vao!$B$21)*29/100</f>
        <v>1397.4</v>
      </c>
      <c r="B31" s="4">
        <f>A31/Dau_vao!$B$19</f>
        <v>0.5374615384615385</v>
      </c>
      <c r="C31" s="4">
        <f>Thiet_ke!$B$12*(Dau_vao!$B$22*B31+Dau_vao!$B$23*B31^2-Dau_vao!$B$24*B31^3)</f>
        <v>63.979112324046845</v>
      </c>
      <c r="D31" s="4">
        <f>60000*C31/(2*PI()*A31)</f>
        <v>437.2087583084438</v>
      </c>
      <c r="E31" s="4">
        <f>C31*Dau_vao!$B$10</f>
        <v>56.94140996840169</v>
      </c>
    </row>
    <row r="32" spans="1:5">
      <c r="A32" s="4">
        <f>Dau_vao!$B$21+(Dau_vao!$B$19*1.1-Dau_vao!$B$21)*30/100</f>
        <v>1418.0</v>
      </c>
      <c r="B32" s="4">
        <f>A32/Dau_vao!$B$19</f>
        <v>0.5453846153846154</v>
      </c>
      <c r="C32" s="4">
        <f>Thiet_ke!$B$12*(Dau_vao!$B$22*B32+Dau_vao!$B$23*B32^2-Dau_vao!$B$24*B32^3)</f>
        <v>65.1331934270131</v>
      </c>
      <c r="D32" s="4">
        <f>60000*C32/(2*PI()*A32)</f>
        <v>438.62918307205985</v>
      </c>
      <c r="E32" s="4">
        <f>C32*Dau_vao!$B$10</f>
        <v>57.96854215004166</v>
      </c>
    </row>
    <row r="33" spans="1:5">
      <c r="A33" s="4">
        <f>Dau_vao!$B$21+(Dau_vao!$B$19*1.1-Dau_vao!$B$21)*31/100</f>
        <v>1438.6000000000001</v>
      </c>
      <c r="B33" s="4">
        <f>A33/Dau_vao!$B$19</f>
        <v>0.5533076923076924</v>
      </c>
      <c r="C33" s="4">
        <f>Thiet_ke!$B$12*(Dau_vao!$B$22*B33+Dau_vao!$B$23*B33^2-Dau_vao!$B$24*B33^3)</f>
        <v>66.28527431013751</v>
      </c>
      <c r="D33" s="4">
        <f>60000*C33/(2*PI()*A33)</f>
        <v>439.99565107718365</v>
      </c>
      <c r="E33" s="4">
        <f>C33*Dau_vao!$B$10</f>
        <v>58.993894136022384</v>
      </c>
    </row>
    <row r="34" spans="1:5">
      <c r="A34" s="4">
        <f>Dau_vao!$B$21+(Dau_vao!$B$19*1.1-Dau_vao!$B$21)*32/100</f>
        <v>1459.2000000000003</v>
      </c>
      <c r="B34" s="4">
        <f>A34/Dau_vao!$B$19</f>
        <v>0.5612307692307693</v>
      </c>
      <c r="C34" s="4">
        <f>Thiet_ke!$B$12*(Dau_vao!$B$22*B34+Dau_vao!$B$23*B34^2-Dau_vao!$B$24*B34^3)</f>
        <v>67.43500578249845</v>
      </c>
      <c r="D34" s="4">
        <f>60000*C34/(2*PI()*A34)</f>
        <v>441.30816232381466</v>
      </c>
      <c r="E34" s="4">
        <f>C34*Dau_vao!$B$10</f>
        <v>60.01715514642362</v>
      </c>
    </row>
    <row r="35" spans="1:5">
      <c r="A35" s="4">
        <f>Dau_vao!$B$21+(Dau_vao!$B$19*1.1-Dau_vao!$B$21)*33/100</f>
        <v>1479.8000000000002</v>
      </c>
      <c r="B35" s="4">
        <f>A35/Dau_vao!$B$19</f>
        <v>0.5691538461538462</v>
      </c>
      <c r="C35" s="4">
        <f>Thiet_ke!$B$12*(Dau_vao!$B$22*B35+Dau_vao!$B$23*B35^2-Dau_vao!$B$24*B35^3)</f>
        <v>68.58203865317441</v>
      </c>
      <c r="D35" s="4">
        <f>60000*C35/(2*PI()*A35)</f>
        <v>442.5667168119532</v>
      </c>
      <c r="E35" s="4">
        <f>C35*Dau_vao!$B$10</f>
        <v>61.03801440132522</v>
      </c>
    </row>
    <row r="36" spans="1:5">
      <c r="A36" s="4">
        <f>Dau_vao!$B$21+(Dau_vao!$B$19*1.1-Dau_vao!$B$21)*34/100</f>
        <v>1500.4</v>
      </c>
      <c r="B36" s="4">
        <f>A36/Dau_vao!$B$19</f>
        <v>0.5770769230769232</v>
      </c>
      <c r="C36" s="4">
        <f>Thiet_ke!$B$12*(Dau_vao!$B$22*B36+Dau_vao!$B$23*B36^2-Dau_vao!$B$24*B36^3)</f>
        <v>69.72602373124384</v>
      </c>
      <c r="D36" s="4">
        <f>60000*C36/(2*PI()*A36)</f>
        <v>443.7713145415992</v>
      </c>
      <c r="E36" s="4">
        <f>C36*Dau_vao!$B$10</f>
        <v>62.05616112080702</v>
      </c>
    </row>
    <row r="37" spans="1:5">
      <c r="A37" s="4">
        <f>Dau_vao!$B$21+(Dau_vao!$B$19*1.1-Dau_vao!$B$21)*35/100</f>
        <v>1521.0</v>
      </c>
      <c r="B37" s="4">
        <f>A37/Dau_vao!$B$19</f>
        <v>0.585</v>
      </c>
      <c r="C37" s="4">
        <f>Thiet_ke!$B$12*(Dau_vao!$B$22*B37+Dau_vao!$B$23*B37^2-Dau_vao!$B$24*B37^3)</f>
        <v>70.8666118257852</v>
      </c>
      <c r="D37" s="4">
        <f>60000*C37/(2*PI()*A37)</f>
        <v>444.9219555127527</v>
      </c>
      <c r="E37" s="4">
        <f>C37*Dau_vao!$B$10</f>
        <v>63.07128452494883</v>
      </c>
    </row>
    <row r="38" spans="1:5">
      <c r="A38" s="4">
        <f>Dau_vao!$B$21+(Dau_vao!$B$19*1.1-Dau_vao!$B$21)*36/100</f>
        <v>1541.6000000000001</v>
      </c>
      <c r="B38" s="4">
        <f>A38/Dau_vao!$B$19</f>
        <v>0.592923076923077</v>
      </c>
      <c r="C38" s="4">
        <f>Thiet_ke!$B$12*(Dau_vao!$B$22*B38+Dau_vao!$B$23*B38^2-Dau_vao!$B$24*B38^3)</f>
        <v>72.00345374587697</v>
      </c>
      <c r="D38" s="4">
        <f>60000*C38/(2*PI()*A38)</f>
        <v>446.0186397254139</v>
      </c>
      <c r="E38" s="4">
        <f>C38*Dau_vao!$B$10</f>
        <v>64.0830738338305</v>
      </c>
    </row>
    <row r="39" spans="1:5">
      <c r="A39" s="4">
        <f>Dau_vao!$B$21+(Dau_vao!$B$19*1.1-Dau_vao!$B$21)*37/100</f>
        <v>1562.2000000000003</v>
      </c>
      <c r="B39" s="4">
        <f>A39/Dau_vao!$B$19</f>
        <v>0.6008461538461539</v>
      </c>
      <c r="C39" s="4">
        <f>Thiet_ke!$B$12*(Dau_vao!$B$22*B39+Dau_vao!$B$23*B39^2-Dau_vao!$B$24*B39^3)</f>
        <v>73.13620030059752</v>
      </c>
      <c r="D39" s="4">
        <f>60000*C39/(2*PI()*A39)</f>
        <v>447.06136717958225</v>
      </c>
      <c r="E39" s="4">
        <f>C39*Dau_vao!$B$10</f>
        <v>65.0912182675318</v>
      </c>
    </row>
    <row r="40" spans="1:5">
      <c r="A40" s="4">
        <f>Dau_vao!$B$21+(Dau_vao!$B$19*1.1-Dau_vao!$B$21)*38/100</f>
        <v>1582.8000000000002</v>
      </c>
      <c r="B40" s="4">
        <f>A40/Dau_vao!$B$19</f>
        <v>0.6087692307692308</v>
      </c>
      <c r="C40" s="4">
        <f>Thiet_ke!$B$12*(Dau_vao!$B$22*B40+Dau_vao!$B$23*B40^2-Dau_vao!$B$24*B40^3)</f>
        <v>74.26450229902538</v>
      </c>
      <c r="D40" s="4">
        <f>60000*C40/(2*PI()*A40)</f>
        <v>448.0501378752583</v>
      </c>
      <c r="E40" s="4">
        <f>C40*Dau_vao!$B$10</f>
        <v>66.09540704613259</v>
      </c>
    </row>
    <row r="41" spans="1:5">
      <c r="A41" s="4">
        <f>Dau_vao!$B$21+(Dau_vao!$B$19*1.1-Dau_vao!$B$21)*39/100</f>
        <v>1603.4</v>
      </c>
      <c r="B41" s="4">
        <f>A41/Dau_vao!$B$19</f>
        <v>0.6166923076923078</v>
      </c>
      <c r="C41" s="4">
        <f>Thiet_ke!$B$12*(Dau_vao!$B$22*B41+Dau_vao!$B$23*B41^2-Dau_vao!$B$24*B41^3)</f>
        <v>75.38801055023895</v>
      </c>
      <c r="D41" s="4">
        <f>60000*C41/(2*PI()*A41)</f>
        <v>448.9849518124417</v>
      </c>
      <c r="E41" s="4">
        <f>C41*Dau_vao!$B$10</f>
        <v>67.09532938971266</v>
      </c>
    </row>
    <row r="42" spans="1:5">
      <c r="A42" s="4">
        <f>Dau_vao!$B$21+(Dau_vao!$B$19*1.1-Dau_vao!$B$21)*40/100</f>
        <v>1624.0</v>
      </c>
      <c r="B42" s="4">
        <f>A42/Dau_vao!$B$19</f>
        <v>0.6246153846153846</v>
      </c>
      <c r="C42" s="4">
        <f>Thiet_ke!$B$12*(Dau_vao!$B$22*B42+Dau_vao!$B$23*B42^2-Dau_vao!$B$24*B42^3)</f>
        <v>76.50637586331669</v>
      </c>
      <c r="D42" s="4">
        <f>60000*C42/(2*PI()*A42)</f>
        <v>449.86580899113267</v>
      </c>
      <c r="E42" s="4">
        <f>C42*Dau_vao!$B$10</f>
        <v>68.09067451835186</v>
      </c>
    </row>
    <row r="43" spans="1:5">
      <c r="A43" s="4">
        <f>Dau_vao!$B$21+(Dau_vao!$B$19*1.1-Dau_vao!$B$21)*41/100</f>
        <v>1644.6000000000001</v>
      </c>
      <c r="B43" s="4">
        <f>A43/Dau_vao!$B$19</f>
        <v>0.6325384615384616</v>
      </c>
      <c r="C43" s="4">
        <f>Thiet_ke!$B$12*(Dau_vao!$B$22*B43+Dau_vao!$B$23*B43^2-Dau_vao!$B$24*B43^3)</f>
        <v>77.61924904733709</v>
      </c>
      <c r="D43" s="4">
        <f>60000*C43/(2*PI()*A43)</f>
        <v>450.6927094113311</v>
      </c>
      <c r="E43" s="4">
        <f>C43*Dau_vao!$B$10</f>
        <v>69.08113165213001</v>
      </c>
    </row>
    <row r="44" spans="1:5">
      <c r="A44" s="4">
        <f>Dau_vao!$B$21+(Dau_vao!$B$19*1.1-Dau_vao!$B$21)*42/100</f>
        <v>1665.2000000000003</v>
      </c>
      <c r="B44" s="4">
        <f>A44/Dau_vao!$B$19</f>
        <v>0.6404615384615385</v>
      </c>
      <c r="C44" s="4">
        <f>Thiet_ke!$B$12*(Dau_vao!$B$22*B44+Dau_vao!$B$23*B44^2-Dau_vao!$B$24*B44^3)</f>
        <v>78.72628091137858</v>
      </c>
      <c r="D44" s="4">
        <f>60000*C44/(2*PI()*A44)</f>
        <v>451.46565307303706</v>
      </c>
      <c r="E44" s="4">
        <f>C44*Dau_vao!$B$10</f>
        <v>70.06639001112694</v>
      </c>
    </row>
    <row r="45" spans="1:5">
      <c r="A45" s="4">
        <f>Dau_vao!$B$21+(Dau_vao!$B$19*1.1-Dau_vao!$B$21)*43/100</f>
        <v>1685.8000000000002</v>
      </c>
      <c r="B45" s="4">
        <f>A45/Dau_vao!$B$19</f>
        <v>0.6483846153846154</v>
      </c>
      <c r="C45" s="4">
        <f>Thiet_ke!$B$12*(Dau_vao!$B$22*B45+Dau_vao!$B$23*B45^2-Dau_vao!$B$24*B45^3)</f>
        <v>79.82712226451957</v>
      </c>
      <c r="D45" s="4">
        <f>60000*C45/(2*PI()*A45)</f>
        <v>452.1846399762505</v>
      </c>
      <c r="E45" s="4">
        <f>C45*Dau_vao!$B$10</f>
        <v>71.04613881542242</v>
      </c>
    </row>
    <row r="46" spans="1:5">
      <c r="A46" s="4">
        <f>Dau_vao!$B$21+(Dau_vao!$B$19*1.1-Dau_vao!$B$21)*44/100</f>
        <v>1706.4</v>
      </c>
      <c r="B46" s="4">
        <f>A46/Dau_vao!$B$19</f>
        <v>0.6563076923076924</v>
      </c>
      <c r="C46" s="4">
        <f>Thiet_ke!$B$12*(Dau_vao!$B$22*B46+Dau_vao!$B$23*B46^2-Dau_vao!$B$24*B46^3)</f>
        <v>80.92142391583856</v>
      </c>
      <c r="D46" s="4">
        <f>60000*C46/(2*PI()*A46)</f>
        <v>452.8496701209713</v>
      </c>
      <c r="E46" s="4">
        <f>C46*Dau_vao!$B$10</f>
        <v>72.02006728509632</v>
      </c>
    </row>
    <row r="47" spans="1:5">
      <c r="A47" s="4">
        <f>Dau_vao!$B$21+(Dau_vao!$B$19*1.1-Dau_vao!$B$21)*45/100</f>
        <v>1727.0</v>
      </c>
      <c r="B47" s="4">
        <f>A47/Dau_vao!$B$19</f>
        <v>0.6642307692307692</v>
      </c>
      <c r="C47" s="4">
        <f>Thiet_ke!$B$12*(Dau_vao!$B$22*B47+Dau_vao!$B$23*B47^2-Dau_vao!$B$24*B47^3)</f>
        <v>82.00883667441398</v>
      </c>
      <c r="D47" s="4">
        <f>60000*C47/(2*PI()*A47)</f>
        <v>453.46074350719965</v>
      </c>
      <c r="E47" s="4">
        <f>C47*Dau_vao!$B$10</f>
        <v>72.98786464022845</v>
      </c>
    </row>
    <row r="48" spans="1:5">
      <c r="A48" s="4">
        <f>Dau_vao!$B$21+(Dau_vao!$B$19*1.1-Dau_vao!$B$21)*46/100</f>
        <v>1747.6000000000001</v>
      </c>
      <c r="B48" s="4">
        <f>A48/Dau_vao!$B$19</f>
        <v>0.6721538461538462</v>
      </c>
      <c r="C48" s="4">
        <f>Thiet_ke!$B$12*(Dau_vao!$B$22*B48+Dau_vao!$B$23*B48^2-Dau_vao!$B$24*B48^3)</f>
        <v>83.0890113493243</v>
      </c>
      <c r="D48" s="4">
        <f>60000*C48/(2*PI()*A48)</f>
        <v>454.01786013493546</v>
      </c>
      <c r="E48" s="4">
        <f>C48*Dau_vao!$B$10</f>
        <v>73.94922010089863</v>
      </c>
    </row>
    <row r="49" spans="1:5">
      <c r="A49" s="4">
        <f>Dau_vao!$B$21+(Dau_vao!$B$19*1.1-Dau_vao!$B$21)*47/100</f>
        <v>1768.2000000000003</v>
      </c>
      <c r="B49" s="4">
        <f>A49/Dau_vao!$B$19</f>
        <v>0.6800769230769231</v>
      </c>
      <c r="C49" s="4">
        <f>Thiet_ke!$B$12*(Dau_vao!$B$22*B49+Dau_vao!$B$23*B49^2-Dau_vao!$B$24*B49^3)</f>
        <v>84.16159874964796</v>
      </c>
      <c r="D49" s="4">
        <f>60000*C49/(2*PI()*A49)</f>
        <v>454.5210200041788</v>
      </c>
      <c r="E49" s="4">
        <f>C49*Dau_vao!$B$10</f>
        <v>74.90382288718669</v>
      </c>
    </row>
    <row r="50" spans="1:5">
      <c r="A50" s="4">
        <f>Dau_vao!$B$21+(Dau_vao!$B$19*1.1-Dau_vao!$B$21)*48/100</f>
        <v>1788.8000000000002</v>
      </c>
      <c r="B50" s="4">
        <f>A50/Dau_vao!$B$19</f>
        <v>0.6880000000000001</v>
      </c>
      <c r="C50" s="4">
        <f>Thiet_ke!$B$12*(Dau_vao!$B$22*B50+Dau_vao!$B$23*B50^2-Dau_vao!$B$24*B50^3)</f>
        <v>85.2262496844634</v>
      </c>
      <c r="D50" s="4">
        <f>60000*C50/(2*PI()*A50)</f>
        <v>454.9702231149296</v>
      </c>
      <c r="E50" s="4">
        <f>C50*Dau_vao!$B$10</f>
        <v>75.85136221917243</v>
      </c>
    </row>
    <row r="51" spans="1:5">
      <c r="A51" s="4">
        <f>Dau_vao!$B$21+(Dau_vao!$B$19*1.1-Dau_vao!$B$21)*49/100</f>
        <v>1809.4000000000003</v>
      </c>
      <c r="B51" s="4">
        <f>A51/Dau_vao!$B$19</f>
        <v>0.6959230769230771</v>
      </c>
      <c r="C51" s="4">
        <f>Thiet_ke!$B$12*(Dau_vao!$B$22*B51+Dau_vao!$B$23*B51^2-Dau_vao!$B$24*B51^3)</f>
        <v>86.28261496284911</v>
      </c>
      <c r="D51" s="4">
        <f>60000*C51/(2*PI()*A51)</f>
        <v>455.36546946718795</v>
      </c>
      <c r="E51" s="4">
        <f>C51*Dau_vao!$B$10</f>
        <v>76.79152731693571</v>
      </c>
    </row>
    <row r="52" spans="1:5">
      <c r="A52" s="4">
        <f>Dau_vao!$B$21+(Dau_vao!$B$19*1.1-Dau_vao!$B$21)*50/100</f>
        <v>1830.0000000000002</v>
      </c>
      <c r="B52" s="4">
        <f>A52/Dau_vao!$B$19</f>
        <v>0.7038461538461539</v>
      </c>
      <c r="C52" s="4">
        <f>Thiet_ke!$B$12*(Dau_vao!$B$22*B52+Dau_vao!$B$23*B52^2-Dau_vao!$B$24*B52^3)</f>
        <v>87.33034539388348</v>
      </c>
      <c r="D52" s="4">
        <f>60000*C52/(2*PI()*A52)</f>
        <v>455.7067590609537</v>
      </c>
      <c r="E52" s="4">
        <f>C52*Dau_vao!$B$10</f>
        <v>77.72400740055629</v>
      </c>
    </row>
    <row r="53" spans="1:5">
      <c r="A53" s="4">
        <f>Dau_vao!$B$21+(Dau_vao!$B$19*1.1-Dau_vao!$B$21)*51/100</f>
        <v>1850.6000000000004</v>
      </c>
      <c r="B53" s="4">
        <f>A53/Dau_vao!$B$19</f>
        <v>0.7117692307692309</v>
      </c>
      <c r="C53" s="4">
        <f>Thiet_ke!$B$12*(Dau_vao!$B$22*B53+Dau_vao!$B$23*B53^2-Dau_vao!$B$24*B53^3)</f>
        <v>88.36909178664501</v>
      </c>
      <c r="D53" s="4">
        <f>60000*C53/(2*PI()*A53)</f>
        <v>455.994091896227</v>
      </c>
      <c r="E53" s="4">
        <f>C53*Dau_vao!$B$10</f>
        <v>78.64849169011407</v>
      </c>
    </row>
    <row r="54" spans="1:5">
      <c r="A54" s="4">
        <f>Dau_vao!$B$21+(Dau_vao!$B$19*1.1-Dau_vao!$B$21)*52/100</f>
        <v>1871.2000000000003</v>
      </c>
      <c r="B54" s="4">
        <f>A54/Dau_vao!$B$19</f>
        <v>0.7196923076923077</v>
      </c>
      <c r="C54" s="4">
        <f>Thiet_ke!$B$12*(Dau_vao!$B$22*B54+Dau_vao!$B$23*B54^2-Dau_vao!$B$24*B54^3)</f>
        <v>89.39850495021211</v>
      </c>
      <c r="D54" s="4">
        <f>60000*C54/(2*PI()*A54)</f>
        <v>456.22746797300766</v>
      </c>
      <c r="E54" s="4">
        <f>C54*Dau_vao!$B$10</f>
        <v>79.56466940568879</v>
      </c>
    </row>
    <row r="55" spans="1:5">
      <c r="A55" s="4">
        <f>Dau_vao!$B$21+(Dau_vao!$B$19*1.1-Dau_vao!$B$21)*53/100</f>
        <v>1891.8000000000002</v>
      </c>
      <c r="B55" s="4">
        <f>A55/Dau_vao!$B$19</f>
        <v>0.7276153846153847</v>
      </c>
      <c r="C55" s="4">
        <f>Thiet_ke!$B$12*(Dau_vao!$B$22*B55+Dau_vao!$B$23*B55^2-Dau_vao!$B$24*B55^3)</f>
        <v>90.4182356936633</v>
      </c>
      <c r="D55" s="4">
        <f>60000*C55/(2*PI()*A55)</f>
        <v>456.406887291296</v>
      </c>
      <c r="E55" s="4">
        <f>C55*Dau_vao!$B$10</f>
        <v>80.47222976736035</v>
      </c>
    </row>
    <row r="56" spans="1:5">
      <c r="A56" s="4">
        <f>Dau_vao!$B$21+(Dau_vao!$B$19*1.1-Dau_vao!$B$21)*54/100</f>
        <v>1912.4000000000003</v>
      </c>
      <c r="B56" s="4">
        <f>A56/Dau_vao!$B$19</f>
        <v>0.7355384615384617</v>
      </c>
      <c r="C56" s="4">
        <f>Thiet_ke!$B$12*(Dau_vao!$B$22*B56+Dau_vao!$B$23*B56^2-Dau_vao!$B$24*B56^3)</f>
        <v>91.42793482607698</v>
      </c>
      <c r="D56" s="4">
        <f>60000*C56/(2*PI()*A56)</f>
        <v>456.5323498510917</v>
      </c>
      <c r="E56" s="4">
        <f>C56*Dau_vao!$B$10</f>
        <v>81.37086199520851</v>
      </c>
    </row>
    <row r="57" spans="1:5">
      <c r="A57" s="4">
        <f>Dau_vao!$B$21+(Dau_vao!$B$19*1.1-Dau_vao!$B$21)*55/100</f>
        <v>1933.0000000000002</v>
      </c>
      <c r="B57" s="4">
        <f>A57/Dau_vao!$B$19</f>
        <v>0.7434615384615385</v>
      </c>
      <c r="C57" s="4">
        <f>Thiet_ke!$B$12*(Dau_vao!$B$22*B57+Dau_vao!$B$23*B57^2-Dau_vao!$B$24*B57^3)</f>
        <v>92.42725315653159</v>
      </c>
      <c r="D57" s="4">
        <f>60000*C57/(2*PI()*A57)</f>
        <v>456.6038556523948</v>
      </c>
      <c r="E57" s="4">
        <f>C57*Dau_vao!$B$10</f>
        <v>82.26025530931312</v>
      </c>
    </row>
    <row r="58" spans="1:5">
      <c r="A58" s="4">
        <f>Dau_vao!$B$21+(Dau_vao!$B$19*1.1-Dau_vao!$B$21)*56/100</f>
        <v>1953.6000000000004</v>
      </c>
      <c r="B58" s="4">
        <f>A58/Dau_vao!$B$19</f>
        <v>0.7513846153846155</v>
      </c>
      <c r="C58" s="4">
        <f>Thiet_ke!$B$12*(Dau_vao!$B$22*B58+Dau_vao!$B$23*B58^2-Dau_vao!$B$24*B58^3)</f>
        <v>93.41584149410562</v>
      </c>
      <c r="D58" s="4">
        <f>60000*C58/(2*PI()*A58)</f>
        <v>456.62140469520557</v>
      </c>
      <c r="E58" s="4">
        <f>C58*Dau_vao!$B$10</f>
        <v>83.140098929754</v>
      </c>
    </row>
    <row r="59" spans="1:5">
      <c r="A59" s="4">
        <f>Dau_vao!$B$21+(Dau_vao!$B$19*1.1-Dau_vao!$B$21)*57/100</f>
        <v>1974.2000000000003</v>
      </c>
      <c r="B59" s="4">
        <f>A59/Dau_vao!$B$19</f>
        <v>0.7593076923076925</v>
      </c>
      <c r="C59" s="4">
        <f>Thiet_ke!$B$12*(Dau_vao!$B$22*B59+Dau_vao!$B$23*B59^2-Dau_vao!$B$24*B59^3)</f>
        <v>94.39335064787748</v>
      </c>
      <c r="D59" s="4">
        <f>60000*C59/(2*PI()*A59)</f>
        <v>456.58499697952374</v>
      </c>
      <c r="E59" s="4">
        <f>C59*Dau_vao!$B$10</f>
        <v>84.01008207661096</v>
      </c>
    </row>
    <row r="60" spans="1:5">
      <c r="A60" s="4">
        <f>Dau_vao!$B$21+(Dau_vao!$B$19*1.1-Dau_vao!$B$21)*58/100</f>
        <v>1994.8000000000002</v>
      </c>
      <c r="B60" s="4">
        <f>A60/Dau_vao!$B$19</f>
        <v>0.7672307692307693</v>
      </c>
      <c r="C60" s="4">
        <f>Thiet_ke!$B$12*(Dau_vao!$B$22*B60+Dau_vao!$B$23*B60^2-Dau_vao!$B$24*B60^3)</f>
        <v>95.35943142692564</v>
      </c>
      <c r="D60" s="4">
        <f>60000*C60/(2*PI()*A60)</f>
        <v>456.4946325053493</v>
      </c>
      <c r="E60" s="4">
        <f>C60*Dau_vao!$B$10</f>
        <v>84.86989396996383</v>
      </c>
    </row>
    <row r="61" spans="1:5">
      <c r="A61" s="4">
        <f>Dau_vao!$B$21+(Dau_vao!$B$19*1.1-Dau_vao!$B$21)*59/100</f>
        <v>2015.4000000000003</v>
      </c>
      <c r="B61" s="4">
        <f>A61/Dau_vao!$B$19</f>
        <v>0.7751538461538463</v>
      </c>
      <c r="C61" s="4">
        <f>Thiet_ke!$B$12*(Dau_vao!$B$22*B61+Dau_vao!$B$23*B61^2-Dau_vao!$B$24*B61^3)</f>
        <v>96.31373464032859</v>
      </c>
      <c r="D61" s="4">
        <f>60000*C61/(2*PI()*A61)</f>
        <v>456.35031127268246</v>
      </c>
      <c r="E61" s="4">
        <f>C61*Dau_vao!$B$10</f>
        <v>85.71922382989244</v>
      </c>
    </row>
    <row r="62" spans="1:5">
      <c r="A62" s="4">
        <f>Dau_vao!$B$21+(Dau_vao!$B$19*1.1-Dau_vao!$B$21)*60/100</f>
        <v>2036.0000000000002</v>
      </c>
      <c r="B62" s="4">
        <f>A62/Dau_vao!$B$19</f>
        <v>0.7830769230769231</v>
      </c>
      <c r="C62" s="4">
        <f>Thiet_ke!$B$12*(Dau_vao!$B$22*B62+Dau_vao!$B$23*B62^2-Dau_vao!$B$24*B62^3)</f>
        <v>97.25591109716473</v>
      </c>
      <c r="D62" s="4">
        <f>60000*C62/(2*PI()*A62)</f>
        <v>456.1520332815231</v>
      </c>
      <c r="E62" s="4">
        <f>C62*Dau_vao!$B$10</f>
        <v>86.5577608764766</v>
      </c>
    </row>
    <row r="63" spans="1:5">
      <c r="A63" s="4">
        <f>Dau_vao!$B$21+(Dau_vao!$B$19*1.1-Dau_vao!$B$21)*61/100</f>
        <v>2056.6000000000004</v>
      </c>
      <c r="B63" s="4">
        <f>A63/Dau_vao!$B$19</f>
        <v>0.7910000000000001</v>
      </c>
      <c r="C63" s="4">
        <f>Thiet_ke!$B$12*(Dau_vao!$B$22*B63+Dau_vao!$B$23*B63^2-Dau_vao!$B$24*B63^3)</f>
        <v>98.18561160651252</v>
      </c>
      <c r="D63" s="4">
        <f>60000*C63/(2*PI()*A63)</f>
        <v>455.89979853187117</v>
      </c>
      <c r="E63" s="4">
        <f>C63*Dau_vao!$B$10</f>
        <v>87.38519432979615</v>
      </c>
    </row>
    <row r="64" spans="1:5">
      <c r="A64" s="4">
        <f>Dau_vao!$B$21+(Dau_vao!$B$19*1.1-Dau_vao!$B$21)*62/100</f>
        <v>2077.2000000000003</v>
      </c>
      <c r="B64" s="4">
        <f>A64/Dau_vao!$B$19</f>
        <v>0.7989230769230771</v>
      </c>
      <c r="C64" s="4">
        <f>Thiet_ke!$B$12*(Dau_vao!$B$22*B64+Dau_vao!$B$23*B64^2-Dau_vao!$B$24*B64^3)</f>
        <v>99.10248697745041</v>
      </c>
      <c r="D64" s="4">
        <f>60000*C64/(2*PI()*A64)</f>
        <v>455.5936070237267</v>
      </c>
      <c r="E64" s="4">
        <f>C64*Dau_vao!$B$10</f>
        <v>88.20121340993087</v>
      </c>
    </row>
    <row r="65" spans="1:5">
      <c r="A65" s="4">
        <f>Dau_vao!$B$21+(Dau_vao!$B$19*1.1-Dau_vao!$B$21)*63/100</f>
        <v>2097.8</v>
      </c>
      <c r="B65" s="4">
        <f>A65/Dau_vao!$B$19</f>
        <v>0.8068461538461539</v>
      </c>
      <c r="C65" s="4">
        <f>Thiet_ke!$B$12*(Dau_vao!$B$22*B65+Dau_vao!$B$23*B65^2-Dau_vao!$B$24*B65^3)</f>
        <v>100.00618801905688</v>
      </c>
      <c r="D65" s="4">
        <f>60000*C65/(2*PI()*A65)</f>
        <v>455.23345875708975</v>
      </c>
      <c r="E65" s="4">
        <f>C65*Dau_vao!$B$10</f>
        <v>89.00550733696062</v>
      </c>
    </row>
    <row r="66" spans="1:5">
      <c r="A66" s="4">
        <f>Dau_vao!$B$21+(Dau_vao!$B$19*1.1-Dau_vao!$B$21)*64/100</f>
        <v>2118.4000000000005</v>
      </c>
      <c r="B66" s="4">
        <f>A66/Dau_vao!$B$19</f>
        <v>0.814769230769231</v>
      </c>
      <c r="C66" s="4">
        <f>Thiet_ke!$B$12*(Dau_vao!$B$22*B66+Dau_vao!$B$23*B66^2-Dau_vao!$B$24*B66^3)</f>
        <v>100.89636554041037</v>
      </c>
      <c r="D66" s="4">
        <f>60000*C66/(2*PI()*A66)</f>
        <v>454.81935373196035</v>
      </c>
      <c r="E66" s="4">
        <f>C66*Dau_vao!$B$10</f>
        <v>89.79776533096523</v>
      </c>
    </row>
    <row r="67" spans="1:5">
      <c r="A67" s="4">
        <f>Dau_vao!$B$21+(Dau_vao!$B$19*1.1-Dau_vao!$B$21)*65/100</f>
        <v>2139.0</v>
      </c>
      <c r="B67" s="4">
        <f>A67/Dau_vao!$B$19</f>
        <v>0.8226923076923077</v>
      </c>
      <c r="C67" s="4">
        <f>Thiet_ke!$B$12*(Dau_vao!$B$22*B67+Dau_vao!$B$23*B67^2-Dau_vao!$B$24*B67^3)</f>
        <v>101.77267035058928</v>
      </c>
      <c r="D67" s="4">
        <f>60000*C67/(2*PI()*A67)</f>
        <v>454.3512919483383</v>
      </c>
      <c r="E67" s="4">
        <f>C67*Dau_vao!$B$10</f>
        <v>90.57767661202446</v>
      </c>
    </row>
    <row r="68" spans="1:5">
      <c r="A68" s="4">
        <f>Dau_vao!$B$21+(Dau_vao!$B$19*1.1-Dau_vao!$B$21)*66/100</f>
        <v>2159.6000000000004</v>
      </c>
      <c r="B68" s="4">
        <f>A68/Dau_vao!$B$19</f>
        <v>0.8306153846153848</v>
      </c>
      <c r="C68" s="4">
        <f>Thiet_ke!$B$12*(Dau_vao!$B$22*B68+Dau_vao!$B$23*B68^2-Dau_vao!$B$24*B68^3)</f>
        <v>102.63475325867213</v>
      </c>
      <c r="D68" s="4">
        <f>60000*C68/(2*PI()*A68)</f>
        <v>453.82927340622376</v>
      </c>
      <c r="E68" s="4">
        <f>C68*Dau_vao!$B$10</f>
        <v>91.3449304002182</v>
      </c>
    </row>
    <row r="69" spans="1:5">
      <c r="A69" s="4">
        <f>Dau_vao!$B$21+(Dau_vao!$B$19*1.1-Dau_vao!$B$21)*67/100</f>
        <v>2180.2000000000003</v>
      </c>
      <c r="B69" s="4">
        <f>A69/Dau_vao!$B$19</f>
        <v>0.8385384615384617</v>
      </c>
      <c r="C69" s="4">
        <f>Thiet_ke!$B$12*(Dau_vao!$B$22*B69+Dau_vao!$B$23*B69^2-Dau_vao!$B$24*B69^3)</f>
        <v>103.48226507373738</v>
      </c>
      <c r="D69" s="4">
        <f>60000*C69/(2*PI()*A69)</f>
        <v>453.2532981056169</v>
      </c>
      <c r="E69" s="4">
        <f>C69*Dau_vao!$B$10</f>
        <v>92.09921591562627</v>
      </c>
    </row>
    <row r="70" spans="1:5">
      <c r="A70" s="4">
        <f>Dau_vao!$B$21+(Dau_vao!$B$19*1.1-Dau_vao!$B$21)*68/100</f>
        <v>2200.8</v>
      </c>
      <c r="B70" s="4">
        <f>A70/Dau_vao!$B$19</f>
        <v>0.8464615384615385</v>
      </c>
      <c r="C70" s="4">
        <f>Thiet_ke!$B$12*(Dau_vao!$B$22*B70+Dau_vao!$B$23*B70^2-Dau_vao!$B$24*B70^3)</f>
        <v>104.31485660486338</v>
      </c>
      <c r="D70" s="4">
        <f>60000*C70/(2*PI()*A70)</f>
        <v>452.6233660465172</v>
      </c>
      <c r="E70" s="4">
        <f>C70*Dau_vao!$B$10</f>
        <v>92.8402223783284</v>
      </c>
    </row>
    <row r="71" spans="1:5">
      <c r="A71" s="4">
        <f>Dau_vao!$B$21+(Dau_vao!$B$19*1.1-Dau_vao!$B$21)*69/100</f>
        <v>2221.4000000000005</v>
      </c>
      <c r="B71" s="4">
        <f>A71/Dau_vao!$B$19</f>
        <v>0.8543846153846156</v>
      </c>
      <c r="C71" s="4">
        <f>Thiet_ke!$B$12*(Dau_vao!$B$22*B71+Dau_vao!$B$23*B71^2-Dau_vao!$B$24*B71^3)</f>
        <v>105.13217866112869</v>
      </c>
      <c r="D71" s="4">
        <f>60000*C71/(2*PI()*A71)</f>
        <v>451.9394772289252</v>
      </c>
      <c r="E71" s="4">
        <f>C71*Dau_vao!$B$10</f>
        <v>93.56763900840454</v>
      </c>
    </row>
    <row r="72" spans="1:5">
      <c r="A72" s="4">
        <f>Dau_vao!$B$21+(Dau_vao!$B$19*1.1-Dau_vao!$B$21)*70/100</f>
        <v>2242.0</v>
      </c>
      <c r="B72" s="4">
        <f>A72/Dau_vao!$B$19</f>
        <v>0.8623076923076923</v>
      </c>
      <c r="C72" s="4">
        <f>Thiet_ke!$B$12*(Dau_vao!$B$22*B72+Dau_vao!$B$23*B72^2-Dau_vao!$B$24*B72^3)</f>
        <v>105.93388205161168</v>
      </c>
      <c r="D72" s="4">
        <f>60000*C72/(2*PI()*A72)</f>
        <v>451.2016316528406</v>
      </c>
      <c r="E72" s="4">
        <f>C72*Dau_vao!$B$10</f>
        <v>94.2811550259344</v>
      </c>
    </row>
    <row r="73" spans="1:5">
      <c r="A73" s="4">
        <f>Dau_vao!$B$21+(Dau_vao!$B$19*1.1-Dau_vao!$B$21)*71/100</f>
        <v>2262.6000000000004</v>
      </c>
      <c r="B73" s="4">
        <f>A73/Dau_vao!$B$19</f>
        <v>0.8702307692307694</v>
      </c>
      <c r="C73" s="4">
        <f>Thiet_ke!$B$12*(Dau_vao!$B$22*B73+Dau_vao!$B$23*B73^2-Dau_vao!$B$24*B73^3)</f>
        <v>106.71961758539089</v>
      </c>
      <c r="D73" s="4">
        <f>60000*C73/(2*PI()*A73)</f>
        <v>450.4098293182636</v>
      </c>
      <c r="E73" s="4">
        <f>C73*Dau_vao!$B$10</f>
        <v>94.9804596509979</v>
      </c>
    </row>
    <row r="74" spans="1:5">
      <c r="A74" s="4">
        <f>Dau_vao!$B$21+(Dau_vao!$B$19*1.1-Dau_vao!$B$21)*72/100</f>
        <v>2283.2000000000003</v>
      </c>
      <c r="B74" s="4">
        <f>A74/Dau_vao!$B$19</f>
        <v>0.8781538461538463</v>
      </c>
      <c r="C74" s="4">
        <f>Thiet_ke!$B$12*(Dau_vao!$B$22*B74+Dau_vao!$B$23*B74^2-Dau_vao!$B$24*B74^3)</f>
        <v>107.48903607154469</v>
      </c>
      <c r="D74" s="4">
        <f>60000*C74/(2*PI()*A74)</f>
        <v>449.5640702251939</v>
      </c>
      <c r="E74" s="4">
        <f>C74*Dau_vao!$B$10</f>
        <v>95.66524210367477</v>
      </c>
    </row>
    <row r="75" spans="1:5">
      <c r="A75" s="4">
        <f>Dau_vao!$B$21+(Dau_vao!$B$19*1.1-Dau_vao!$B$21)*73/100</f>
        <v>2303.8</v>
      </c>
      <c r="B75" s="4">
        <f>A75/Dau_vao!$B$19</f>
        <v>0.8860769230769231</v>
      </c>
      <c r="C75" s="4">
        <f>Thiet_ke!$B$12*(Dau_vao!$B$22*B75+Dau_vao!$B$23*B75^2-Dau_vao!$B$24*B75^3)</f>
        <v>108.24178831915158</v>
      </c>
      <c r="D75" s="4">
        <f>60000*C75/(2*PI()*A75)</f>
        <v>448.66435437363185</v>
      </c>
      <c r="E75" s="4">
        <f>C75*Dau_vao!$B$10</f>
        <v>96.33519160404491</v>
      </c>
    </row>
    <row r="76" spans="1:5">
      <c r="A76" s="4">
        <f>Dau_vao!$B$21+(Dau_vao!$B$19*1.1-Dau_vao!$B$21)*74/100</f>
        <v>2324.4000000000005</v>
      </c>
      <c r="B76" s="4">
        <f>A76/Dau_vao!$B$19</f>
        <v>0.8940000000000002</v>
      </c>
      <c r="C76" s="4">
        <f>Thiet_ke!$B$12*(Dau_vao!$B$22*B76+Dau_vao!$B$23*B76^2-Dau_vao!$B$24*B76^3)</f>
        <v>108.97752513729002</v>
      </c>
      <c r="D76" s="4">
        <f>60000*C76/(2*PI()*A76)</f>
        <v>447.71068176357727</v>
      </c>
      <c r="E76" s="4">
        <f>C76*Dau_vao!$B$10</f>
        <v>96.98999737218811</v>
      </c>
    </row>
    <row r="77" spans="1:5">
      <c r="A77" s="4">
        <f>Dau_vao!$B$21+(Dau_vao!$B$19*1.1-Dau_vao!$B$21)*75/100</f>
        <v>2345.0</v>
      </c>
      <c r="B77" s="4">
        <f>A77/Dau_vao!$B$19</f>
        <v>0.9019230769230769</v>
      </c>
      <c r="C77" s="4">
        <f>Thiet_ke!$B$12*(Dau_vao!$B$22*B77+Dau_vao!$B$23*B77^2-Dau_vao!$B$24*B77^3)</f>
        <v>109.69589733503837</v>
      </c>
      <c r="D77" s="4">
        <f>60000*C77/(2*PI()*A77)</f>
        <v>446.7030523950301</v>
      </c>
      <c r="E77" s="4">
        <f>C77*Dau_vao!$B$10</f>
        <v>97.62934862818415</v>
      </c>
    </row>
    <row r="78" spans="1:5">
      <c r="A78" s="4">
        <f>Dau_vao!$B$21+(Dau_vao!$B$19*1.1-Dau_vao!$B$21)*76/100</f>
        <v>2365.6000000000004</v>
      </c>
      <c r="B78" s="4">
        <f>A78/Dau_vao!$B$19</f>
        <v>0.909846153846154</v>
      </c>
      <c r="C78" s="4">
        <f>Thiet_ke!$B$12*(Dau_vao!$B$22*B78+Dau_vao!$B$23*B78^2-Dau_vao!$B$24*B78^3)</f>
        <v>110.3965557214752</v>
      </c>
      <c r="D78" s="4">
        <f>60000*C78/(2*PI()*A78)</f>
        <v>445.64146626799044</v>
      </c>
      <c r="E78" s="4">
        <f>C78*Dau_vao!$B$10</f>
        <v>98.25293459211292</v>
      </c>
    </row>
    <row r="79" spans="1:5">
      <c r="A79" s="4">
        <f>Dau_vao!$B$21+(Dau_vao!$B$19*1.1-Dau_vao!$B$21)*77/100</f>
        <v>2386.2000000000003</v>
      </c>
      <c r="B79" s="4">
        <f>A79/Dau_vao!$B$19</f>
        <v>0.9177692307692309</v>
      </c>
      <c r="C79" s="4">
        <f>Thiet_ke!$B$12*(Dau_vao!$B$22*B79+Dau_vao!$B$23*B79^2-Dau_vao!$B$24*B79^3)</f>
        <v>111.07915110567883</v>
      </c>
      <c r="D79" s="4">
        <f>60000*C79/(2*PI()*A79)</f>
        <v>444.5259233824581</v>
      </c>
      <c r="E79" s="4">
        <f>C79*Dau_vao!$B$10</f>
        <v>98.86044448405416</v>
      </c>
    </row>
    <row r="80" spans="1:5">
      <c r="A80" s="4">
        <f>Dau_vao!$B$21+(Dau_vao!$B$19*1.1-Dau_vao!$B$21)*78/100</f>
        <v>2406.8</v>
      </c>
      <c r="B80" s="4">
        <f>A80/Dau_vao!$B$19</f>
        <v>0.9256923076923078</v>
      </c>
      <c r="C80" s="4">
        <f>Thiet_ke!$B$12*(Dau_vao!$B$22*B80+Dau_vao!$B$23*B80^2-Dau_vao!$B$24*B80^3)</f>
        <v>111.74333429672788</v>
      </c>
      <c r="D80" s="4">
        <f>60000*C80/(2*PI()*A80)</f>
        <v>443.3564237384335</v>
      </c>
      <c r="E80" s="4">
        <f>C80*Dau_vao!$B$10</f>
        <v>99.45156752408782</v>
      </c>
    </row>
    <row r="81" spans="1:5">
      <c r="A81" s="4">
        <f>Dau_vao!$B$21+(Dau_vao!$B$19*1.1-Dau_vao!$B$21)*79/100</f>
        <v>2427.4000000000005</v>
      </c>
      <c r="B81" s="4">
        <f>A81/Dau_vao!$B$19</f>
        <v>0.9336153846153848</v>
      </c>
      <c r="C81" s="4">
        <f>Thiet_ke!$B$12*(Dau_vao!$B$22*B81+Dau_vao!$B$23*B81^2-Dau_vao!$B$24*B81^3)</f>
        <v>112.38875610370069</v>
      </c>
      <c r="D81" s="4">
        <f>60000*C81/(2*PI()*A81)</f>
        <v>442.1329673359162</v>
      </c>
      <c r="E81" s="4">
        <f>C81*Dau_vao!$B$10</f>
        <v>100.02599293229362</v>
      </c>
    </row>
    <row r="82" spans="1:5">
      <c r="A82" s="4">
        <f>Dau_vao!$B$21+(Dau_vao!$B$19*1.1-Dau_vao!$B$21)*80/100</f>
        <v>2448.0</v>
      </c>
      <c r="B82" s="4">
        <f>A82/Dau_vao!$B$19</f>
        <v>0.9415384615384615</v>
      </c>
      <c r="C82" s="4">
        <f>Thiet_ke!$B$12*(Dau_vao!$B$22*B82+Dau_vao!$B$23*B82^2-Dau_vao!$B$24*B82^3)</f>
        <v>113.01506733567571</v>
      </c>
      <c r="D82" s="4">
        <f>60000*C82/(2*PI()*A82)</f>
        <v>440.8555541749066</v>
      </c>
      <c r="E82" s="4">
        <f>C82*Dau_vao!$B$10</f>
        <v>100.58340992875138</v>
      </c>
    </row>
    <row r="83" spans="1:5">
      <c r="A83" s="4">
        <f>Dau_vao!$B$21+(Dau_vao!$B$19*1.1-Dau_vao!$B$21)*81/100</f>
        <v>2468.6000000000004</v>
      </c>
      <c r="B83" s="4">
        <f>A83/Dau_vao!$B$19</f>
        <v>0.9494615384615386</v>
      </c>
      <c r="C83" s="4">
        <f>Thiet_ke!$B$12*(Dau_vao!$B$22*B83+Dau_vao!$B$23*B83^2-Dau_vao!$B$24*B83^3)</f>
        <v>113.62191880173138</v>
      </c>
      <c r="D83" s="4">
        <f>60000*C83/(2*PI()*A83)</f>
        <v>439.52418425540407</v>
      </c>
      <c r="E83" s="4">
        <f>C83*Dau_vao!$B$10</f>
        <v>101.12350773354093</v>
      </c>
    </row>
    <row r="84" spans="1:5">
      <c r="A84" s="4">
        <f>Dau_vao!$B$21+(Dau_vao!$B$19*1.1-Dau_vao!$B$21)*82/100</f>
        <v>2489.2000000000003</v>
      </c>
      <c r="B84" s="4">
        <f>A84/Dau_vao!$B$19</f>
        <v>0.9573846153846155</v>
      </c>
      <c r="C84" s="4">
        <f>Thiet_ke!$B$12*(Dau_vao!$B$22*B84+Dau_vao!$B$23*B84^2-Dau_vao!$B$24*B84^3)</f>
        <v>114.20896131094625</v>
      </c>
      <c r="D84" s="4">
        <f>60000*C84/(2*PI()*A84)</f>
        <v>438.13885757740945</v>
      </c>
      <c r="E84" s="4">
        <f>C84*Dau_vao!$B$10</f>
        <v>101.64597556674217</v>
      </c>
    </row>
    <row r="85" spans="1:5">
      <c r="A85" s="4">
        <f>Dau_vao!$B$21+(Dau_vao!$B$19*1.1-Dau_vao!$B$21)*83/100</f>
        <v>2509.8</v>
      </c>
      <c r="B85" s="4">
        <f>A85/Dau_vao!$B$19</f>
        <v>0.9653076923076924</v>
      </c>
      <c r="C85" s="4">
        <f>Thiet_ke!$B$12*(Dau_vao!$B$22*B85+Dau_vao!$B$23*B85^2-Dau_vao!$B$24*B85^3)</f>
        <v>114.77584567239873</v>
      </c>
      <c r="D85" s="4">
        <f>60000*C85/(2*PI()*A85)</f>
        <v>436.6995741409224</v>
      </c>
      <c r="E85" s="4">
        <f>C85*Dau_vao!$B$10</f>
        <v>102.15050264843487</v>
      </c>
    </row>
    <row r="86" spans="1:5">
      <c r="A86" s="4">
        <f>Dau_vao!$B$21+(Dau_vao!$B$19*1.1-Dau_vao!$B$21)*84/100</f>
        <v>2530.4000000000005</v>
      </c>
      <c r="B86" s="4">
        <f>A86/Dau_vao!$B$19</f>
        <v>0.9732307692307695</v>
      </c>
      <c r="C86" s="4">
        <f>Thiet_ke!$B$12*(Dau_vao!$B$22*B86+Dau_vao!$B$23*B86^2-Dau_vao!$B$24*B86^3)</f>
        <v>115.32222269516717</v>
      </c>
      <c r="D86" s="4">
        <f>60000*C86/(2*PI()*A86)</f>
        <v>435.2063339459424</v>
      </c>
      <c r="E86" s="4">
        <f>C86*Dau_vao!$B$10</f>
        <v>102.63677819869878</v>
      </c>
    </row>
    <row r="87" spans="1:5">
      <c r="A87" s="4">
        <f>Dau_vao!$B$21+(Dau_vao!$B$19*1.1-Dau_vao!$B$21)*85/100</f>
        <v>2551.0</v>
      </c>
      <c r="B87" s="4">
        <f>A87/Dau_vao!$B$19</f>
        <v>0.9811538461538462</v>
      </c>
      <c r="C87" s="4">
        <f>Thiet_ke!$B$12*(Dau_vao!$B$22*B87+Dau_vao!$B$23*B87^2-Dau_vao!$B$24*B87^3)</f>
        <v>115.84774318833011</v>
      </c>
      <c r="D87" s="4">
        <f>60000*C87/(2*PI()*A87)</f>
        <v>433.65913699247005</v>
      </c>
      <c r="E87" s="4">
        <f>C87*Dau_vao!$B$10</f>
        <v>103.1044914376138</v>
      </c>
    </row>
    <row r="88" spans="1:5">
      <c r="A88" s="4">
        <f>Dau_vao!$B$21+(Dau_vao!$B$19*1.1-Dau_vao!$B$21)*86/100</f>
        <v>2571.6000000000004</v>
      </c>
      <c r="B88" s="4">
        <f>A88/Dau_vao!$B$19</f>
        <v>0.9890769230769232</v>
      </c>
      <c r="C88" s="4">
        <f>Thiet_ke!$B$12*(Dau_vao!$B$22*B88+Dau_vao!$B$23*B88^2-Dau_vao!$B$24*B88^3)</f>
        <v>116.35205796096601</v>
      </c>
      <c r="D88" s="4">
        <f>60000*C88/(2*PI()*A88)</f>
        <v>432.0579832805052</v>
      </c>
      <c r="E88" s="4">
        <f>C88*Dau_vao!$B$10</f>
        <v>103.55333158525974</v>
      </c>
    </row>
    <row r="89" spans="1:5">
      <c r="A89" s="4">
        <f>Dau_vao!$B$21+(Dau_vao!$B$19*1.1-Dau_vao!$B$21)*87/100</f>
        <v>2592.2000000000003</v>
      </c>
      <c r="B89" s="4">
        <f>A89/Dau_vao!$B$19</f>
        <v>0.9970000000000001</v>
      </c>
      <c r="C89" s="4">
        <f>Thiet_ke!$B$12*(Dau_vao!$B$22*B89+Dau_vao!$B$23*B89^2-Dau_vao!$B$24*B89^3)</f>
        <v>116.83481782215333</v>
      </c>
      <c r="D89" s="4">
        <f>60000*C89/(2*PI()*A89)</f>
        <v>430.402872810048</v>
      </c>
      <c r="E89" s="4">
        <f>C89*Dau_vao!$B$10</f>
        <v>103.98298786171647</v>
      </c>
    </row>
    <row r="90" spans="1:5">
      <c r="A90" s="4">
        <f>Dau_vao!$B$21+(Dau_vao!$B$19*1.1-Dau_vao!$B$21)*88/100</f>
        <v>2612.8</v>
      </c>
      <c r="B90" s="4">
        <f>A90/Dau_vao!$B$19</f>
        <v>1.004923076923077</v>
      </c>
      <c r="C90" s="4">
        <f>Thiet_ke!$B$12*(Dau_vao!$B$22*B90+Dau_vao!$B$23*B90^2-Dau_vao!$B$24*B90^3)</f>
        <v>117.29567358097042</v>
      </c>
      <c r="D90" s="4">
        <f>60000*C90/(2*PI()*A90)</f>
        <v>428.69380558109793</v>
      </c>
      <c r="E90" s="4">
        <f>C90*Dau_vao!$B$10</f>
        <v>104.39314948706367</v>
      </c>
    </row>
    <row r="91" spans="1:5">
      <c r="A91" s="4">
        <f>Dau_vao!$B$21+(Dau_vao!$B$19*1.1-Dau_vao!$B$21)*89/100</f>
        <v>2633.4000000000005</v>
      </c>
      <c r="B91" s="4">
        <f>A91/Dau_vao!$B$19</f>
        <v>1.012846153846154</v>
      </c>
      <c r="C91" s="4">
        <f>Thiet_ke!$B$12*(Dau_vao!$B$22*B91+Dau_vao!$B$23*B91^2-Dau_vao!$B$24*B91^3)</f>
        <v>117.73427604649585</v>
      </c>
      <c r="D91" s="4">
        <f>60000*C91/(2*PI()*A91)</f>
        <v>426.9307815936555</v>
      </c>
      <c r="E91" s="4">
        <f>C91*Dau_vao!$B$10</f>
        <v>104.78350568138131</v>
      </c>
    </row>
    <row r="92" spans="1:5">
      <c r="A92" s="4">
        <f>Dau_vao!$B$21+(Dau_vao!$B$19*1.1-Dau_vao!$B$21)*90/100</f>
        <v>2654.0</v>
      </c>
      <c r="B92" s="4">
        <f>A92/Dau_vao!$B$19</f>
        <v>1.0207692307692309</v>
      </c>
      <c r="C92" s="4">
        <f>Thiet_ke!$B$12*(Dau_vao!$B$22*B92+Dau_vao!$B$23*B92^2-Dau_vao!$B$24*B92^3)</f>
        <v>118.15027602780799</v>
      </c>
      <c r="D92" s="4">
        <f>60000*C92/(2*PI()*A92)</f>
        <v>425.1138008477206</v>
      </c>
      <c r="E92" s="4">
        <f>C92*Dau_vao!$B$10</f>
        <v>105.15374566474911</v>
      </c>
    </row>
    <row r="93" spans="1:5">
      <c r="A93" s="4">
        <f>Dau_vao!$B$21+(Dau_vao!$B$19*1.1-Dau_vao!$B$21)*91/100</f>
        <v>2674.6000000000004</v>
      </c>
      <c r="B93" s="4">
        <f>A93/Dau_vao!$B$19</f>
        <v>1.0286923076923078</v>
      </c>
      <c r="C93" s="4">
        <f>Thiet_ke!$B$12*(Dau_vao!$B$22*B93+Dau_vao!$B$23*B93^2-Dau_vao!$B$24*B93^3)</f>
        <v>118.54332433398537</v>
      </c>
      <c r="D93" s="4">
        <f>60000*C93/(2*PI()*A93)</f>
        <v>423.24286334329315</v>
      </c>
      <c r="E93" s="4">
        <f>C93*Dau_vao!$B$10</f>
        <v>105.50355865724698</v>
      </c>
    </row>
    <row r="94" spans="1:5">
      <c r="A94" s="4">
        <f>Dau_vao!$B$21+(Dau_vao!$B$19*1.1-Dau_vao!$B$21)*92/100</f>
        <v>2695.2000000000003</v>
      </c>
      <c r="B94" s="4">
        <f>A94/Dau_vao!$B$19</f>
        <v>1.0366153846153847</v>
      </c>
      <c r="C94" s="4">
        <f>Thiet_ke!$B$12*(Dau_vao!$B$22*B94+Dau_vao!$B$23*B94^2-Dau_vao!$B$24*B94^3)</f>
        <v>118.9130717741064</v>
      </c>
      <c r="D94" s="4">
        <f>60000*C94/(2*PI()*A94)</f>
        <v>421.3179690803733</v>
      </c>
      <c r="E94" s="4">
        <f>C94*Dau_vao!$B$10</f>
        <v>105.8326338789547</v>
      </c>
    </row>
    <row r="95" spans="1:5">
      <c r="A95" s="4">
        <f>Dau_vao!$B$21+(Dau_vao!$B$19*1.1-Dau_vao!$B$21)*93/100</f>
        <v>2715.8</v>
      </c>
      <c r="B95" s="4">
        <f>A95/Dau_vao!$B$19</f>
        <v>1.0445384615384616</v>
      </c>
      <c r="C95" s="4">
        <f>Thiet_ke!$B$12*(Dau_vao!$B$22*B95+Dau_vao!$B$23*B95^2-Dau_vao!$B$24*B95^3)</f>
        <v>119.25916915724949</v>
      </c>
      <c r="D95" s="4">
        <f>60000*C95/(2*PI()*A95)</f>
        <v>419.33911805896076</v>
      </c>
      <c r="E95" s="4">
        <f>C95*Dau_vao!$B$10</f>
        <v>106.14066054995205</v>
      </c>
    </row>
    <row r="96" spans="1:5">
      <c r="A96" s="4">
        <f>Dau_vao!$B$21+(Dau_vao!$B$19*1.1-Dau_vao!$B$21)*94/100</f>
        <v>2736.4000000000005</v>
      </c>
      <c r="B96" s="4">
        <f>A96/Dau_vao!$B$19</f>
        <v>1.0524615384615388</v>
      </c>
      <c r="C96" s="4">
        <f>Thiet_ke!$B$12*(Dau_vao!$B$22*B96+Dau_vao!$B$23*B96^2-Dau_vao!$B$24*B96^3)</f>
        <v>119.58126729249317</v>
      </c>
      <c r="D96" s="4">
        <f>60000*C96/(2*PI()*A96)</f>
        <v>417.30631027905577</v>
      </c>
      <c r="E96" s="4">
        <f>C96*Dau_vao!$B$10</f>
        <v>106.42732789031892</v>
      </c>
    </row>
    <row r="97" spans="1:5">
      <c r="A97" s="4">
        <f>Dau_vao!$B$21+(Dau_vao!$B$19*1.1-Dau_vao!$B$21)*95/100</f>
        <v>2757.0</v>
      </c>
      <c r="B97" s="4">
        <f>A97/Dau_vao!$B$19</f>
        <v>1.0603846153846155</v>
      </c>
      <c r="C97" s="4">
        <f>Thiet_ke!$B$12*(Dau_vao!$B$22*B97+Dau_vao!$B$23*B97^2-Dau_vao!$B$24*B97^3)</f>
        <v>119.8790169889158</v>
      </c>
      <c r="D97" s="4">
        <f>60000*C97/(2*PI()*A97)</f>
        <v>415.21954574065825</v>
      </c>
      <c r="E97" s="4">
        <f>C97*Dau_vao!$B$10</f>
        <v>106.69232512013505</v>
      </c>
    </row>
    <row r="98" spans="1:5">
      <c r="A98" s="4">
        <f>Dau_vao!$B$21+(Dau_vao!$B$19*1.1-Dau_vao!$B$21)*96/100</f>
        <v>2777.6000000000004</v>
      </c>
      <c r="B98" s="4">
        <f>A98/Dau_vao!$B$19</f>
        <v>1.0683076923076924</v>
      </c>
      <c r="C98" s="4">
        <f>Thiet_ke!$B$12*(Dau_vao!$B$22*B98+Dau_vao!$B$23*B98^2-Dau_vao!$B$24*B98^3)</f>
        <v>120.15206905559592</v>
      </c>
      <c r="D98" s="4">
        <f>60000*C98/(2*PI()*A98)</f>
        <v>413.07882444376827</v>
      </c>
      <c r="E98" s="4">
        <f>C98*Dau_vao!$B$10</f>
        <v>106.93534145948037</v>
      </c>
    </row>
    <row r="99" spans="1:5">
      <c r="A99" s="4">
        <f>Dau_vao!$B$21+(Dau_vao!$B$19*1.1-Dau_vao!$B$21)*97/100</f>
        <v>2798.2000000000007</v>
      </c>
      <c r="B99" s="4">
        <f>A99/Dau_vao!$B$19</f>
        <v>1.0762307692307695</v>
      </c>
      <c r="C99" s="4">
        <f>Thiet_ke!$B$12*(Dau_vao!$B$22*B99+Dau_vao!$B$23*B99^2-Dau_vao!$B$24*B99^3)</f>
        <v>120.40007430161195</v>
      </c>
      <c r="D99" s="4">
        <f>60000*C99/(2*PI()*A99)</f>
        <v>410.8841463883857</v>
      </c>
      <c r="E99" s="4">
        <f>C99*Dau_vao!$B$10</f>
        <v>107.15606612843465</v>
      </c>
    </row>
    <row r="100" spans="1:5">
      <c r="A100" s="4">
        <f>Dau_vao!$B$21+(Dau_vao!$B$19*1.1-Dau_vao!$B$21)*98/100</f>
        <v>2818.8000000000006</v>
      </c>
      <c r="B100" s="4">
        <f>A100/Dau_vao!$B$19</f>
        <v>1.0841538461538465</v>
      </c>
      <c r="C100" s="4">
        <f>Thiet_ke!$B$12*(Dau_vao!$B$22*B100+Dau_vao!$B$23*B100^2-Dau_vao!$B$24*B100^3)</f>
        <v>120.62268353604233</v>
      </c>
      <c r="D100" s="4">
        <f>60000*C100/(2*PI()*A100)</f>
        <v>408.63551157451076</v>
      </c>
      <c r="E100" s="4">
        <f>C100*Dau_vao!$B$10</f>
        <v>107.35418834707768</v>
      </c>
    </row>
    <row r="101" spans="1:5">
      <c r="A101" s="4">
        <f>Dau_vao!$B$21+(Dau_vao!$B$19*1.1-Dau_vao!$B$21)*99/100</f>
        <v>2839.4000000000005</v>
      </c>
      <c r="B101" s="4">
        <f>A101/Dau_vao!$B$19</f>
        <v>1.0920769230769234</v>
      </c>
      <c r="C101" s="4">
        <f>Thiet_ke!$B$12*(Dau_vao!$B$22*B101+Dau_vao!$B$23*B101^2-Dau_vao!$B$24*B101^3)</f>
        <v>120.81954756796551</v>
      </c>
      <c r="D101" s="4">
        <f>60000*C101/(2*PI()*A101)</f>
        <v>406.33292000214317</v>
      </c>
      <c r="E101" s="4">
        <f>C101*Dau_vao!$B$10</f>
        <v>107.5293973354893</v>
      </c>
    </row>
    <row r="102" spans="1:5">
      <c r="A102" s="4">
        <f>Dau_vao!$B$21+(Dau_vao!$B$19*1.1-Dau_vao!$B$21)*100/100</f>
        <v>2860.0000000000005</v>
      </c>
      <c r="B102" s="4">
        <f>A102/Dau_vao!$B$19</f>
        <v>1.1</v>
      </c>
      <c r="C102" s="4">
        <f>Thiet_ke!$B$12*(Dau_vao!$B$22*B102+Dau_vao!$B$23*B102^2-Dau_vao!$B$24*B102^3)</f>
        <v>120.99031720645989</v>
      </c>
      <c r="D102" s="4">
        <f>60000*C102/(2*PI()*A102)</f>
        <v>403.97637167128295</v>
      </c>
      <c r="E102" s="4">
        <f>C102*Dau_vao!$B$10</f>
        <v>107.68138231374931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0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5" width="14.7109375" customWidth="1"/>
  </cols>
  <sheetData>
    <row r="1" spans="1:1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</row>
    <row r="2" spans="1:15">
      <c r="A2">
        <v>1</v>
      </c>
      <c r="B2" s="4">
        <f>Thiet_ke!$B$20</f>
        <v>7.0</v>
      </c>
      <c r="C2" s="4">
        <f>Dau_vao!$B$21+(Dau_vao!$B$19-Dau_vao!$B$21)*0/200</f>
        <v>800.0</v>
      </c>
      <c r="D2" s="4">
        <f>2*PI()*C2*Thiet_ke!$B$7/(60*Thiet_ke!$B$15*B2)</f>
        <v>1.2888346221679554</v>
      </c>
      <c r="E2" s="4">
        <f>D2*3.6</f>
        <v>4.639804639804639</v>
      </c>
      <c r="F2" s="4">
        <f>Thiet_ke!$B$12*(Dau_vao!$B$22*(C2/Dau_vao!$B$19)+Dau_vao!$B$23*(C2/Dau_vao!$B$19)^2-Dau_vao!$B$24*(C2/Dau_vao!$B$19)^3)</f>
        <v>31.210277899168606</v>
      </c>
      <c r="G2" s="4">
        <f>60000*F2/(2*PI()*C2)</f>
        <v>372.54525021933136</v>
      </c>
      <c r="H2" s="4">
        <f>G2*Thiet_ke!$B$15*B2*Dau_vao!$B$10/Thiet_ke!$B$7</f>
        <v>21552.142418036517</v>
      </c>
      <c r="I2" s="4">
        <f>IF(D2&lt;=Dau_vao!$B$14,Dau_vao!$B$13,Dau_vao!$B$13*(1+D2^2/1500))</f>
        <v>0.015</v>
      </c>
      <c r="J2" s="4">
        <f>Thiet_ke!$B$8*D2^2</f>
        <v>4.858701948649038</v>
      </c>
      <c r="K2" s="4">
        <f>Thiet_ke!$B$3*I2+J2</f>
        <v>1136.4422019486492</v>
      </c>
      <c r="L2" s="4">
        <f>(H2-J2)/Thiet_ke!$B$3</f>
        <v>0.2856256349984937</v>
      </c>
      <c r="M2" s="4">
        <f>1.05+0.05*B2^2</f>
        <v>3.5</v>
      </c>
      <c r="N2" s="4">
        <f>(MIN(H2,Thiet_ke!$B$16)-K2)/(Thiet_ke!$B$2*M2)</f>
        <v>0.7585249940957781</v>
      </c>
      <c r="O2" s="4">
        <f>IF(N2&gt;0,1/N2,"")</f>
        <v>1.3183481200801817</v>
      </c>
    </row>
    <row r="3" spans="1:15">
      <c r="A3">
        <v>1</v>
      </c>
      <c r="B3" s="4">
        <f>Thiet_ke!$B$20</f>
        <v>7.0</v>
      </c>
      <c r="C3" s="4">
        <f>Dau_vao!$B$21+(Dau_vao!$B$19-Dau_vao!$B$21)*1/200</f>
        <v>809.0</v>
      </c>
      <c r="D3" s="4">
        <f>2*PI()*C3*Thiet_ke!$B$7/(60*Thiet_ke!$B$15*B3)</f>
        <v>1.3033340116673449</v>
      </c>
      <c r="E3" s="4">
        <f>D3*3.6</f>
        <v>4.692002442002441</v>
      </c>
      <c r="F3" s="4">
        <f>Thiet_ke!$B$12*(Dau_vao!$B$22*(C3/Dau_vao!$B$19)+Dau_vao!$B$23*(C3/Dau_vao!$B$19)^2-Dau_vao!$B$24*(C3/Dau_vao!$B$19)^3)</f>
        <v>31.67244546633681</v>
      </c>
      <c r="G3" s="4">
        <f>60000*F3/(2*PI()*C3)</f>
        <v>373.8560881910502</v>
      </c>
      <c r="H3" s="4">
        <f>G3*Thiet_ke!$B$15*B3*Dau_vao!$B$10/Thiet_ke!$B$7</f>
        <v>21627.97580105998</v>
      </c>
      <c r="I3" s="4">
        <f>IF(D3&lt;=Dau_vao!$B$14,Dau_vao!$B$13,Dau_vao!$B$13*(1+D3^2/1500))</f>
        <v>0.015</v>
      </c>
      <c r="J3" s="4">
        <f>Thiet_ke!$B$8*D3^2</f>
        <v>4.9686376719590175</v>
      </c>
      <c r="K3" s="4">
        <f>Thiet_ke!$B$3*I3+J3</f>
        <v>1136.5521376719591</v>
      </c>
      <c r="L3" s="4">
        <f>(H3-J3)/Thiet_ke!$B$3</f>
        <v>0.2866294068893902</v>
      </c>
      <c r="M3" s="4">
        <f>1.05+0.05*B3^2</f>
        <v>3.5</v>
      </c>
      <c r="N3" s="4">
        <f>(MIN(H3,Thiet_ke!$B$16)-K3)/(Thiet_ke!$B$2*M3)</f>
        <v>0.7613384233099766</v>
      </c>
      <c r="O3" s="4">
        <f>IF(N3&gt;0,1/N3,"")</f>
        <v>1.3134763324467773</v>
      </c>
    </row>
    <row r="4" spans="1:15">
      <c r="A4">
        <v>1</v>
      </c>
      <c r="B4" s="4">
        <f>Thiet_ke!$B$20</f>
        <v>7.0</v>
      </c>
      <c r="C4" s="4">
        <f>Dau_vao!$B$21+(Dau_vao!$B$19-Dau_vao!$B$21)*2/200</f>
        <v>818.0</v>
      </c>
      <c r="D4" s="4">
        <f>2*PI()*C4*Thiet_ke!$B$7/(60*Thiet_ke!$B$15*B4)</f>
        <v>1.3178334011667345</v>
      </c>
      <c r="E4" s="4">
        <f>D4*3.6</f>
        <v>4.744200244200244</v>
      </c>
      <c r="F4" s="4">
        <f>Thiet_ke!$B$12*(Dau_vao!$B$22*(C4/Dau_vao!$B$19)+Dau_vao!$B$23*(C4/Dau_vao!$B$19)^2-Dau_vao!$B$24*(C4/Dau_vao!$B$19)^3)</f>
        <v>32.13620168192096</v>
      </c>
      <c r="G4" s="4">
        <f>60000*F4/(2*PI()*C4)</f>
        <v>375.15662713025444</v>
      </c>
      <c r="H4" s="4">
        <f>G4*Thiet_ke!$B$15*B4*Dau_vao!$B$10/Thiet_ke!$B$7</f>
        <v>21703.213374002942</v>
      </c>
      <c r="I4" s="4">
        <f>IF(D4&lt;=Dau_vao!$B$14,Dau_vao!$B$13,Dau_vao!$B$13*(1+D4^2/1500))</f>
        <v>0.015</v>
      </c>
      <c r="J4" s="4">
        <f>Thiet_ke!$B$8*D4^2</f>
        <v>5.079803254199749</v>
      </c>
      <c r="K4" s="4">
        <f>Thiet_ke!$B$3*I4+J4</f>
        <v>1136.6633032542</v>
      </c>
      <c r="L4" s="4">
        <f>(H4-J4)/Thiet_ke!$B$3</f>
        <v>0.28762526456176774</v>
      </c>
      <c r="M4" s="4">
        <f>1.05+0.05*B4^2</f>
        <v>3.5</v>
      </c>
      <c r="N4" s="4">
        <f>(MIN(H4,Thiet_ke!$B$16)-K4)/(Thiet_ke!$B$2*M4)</f>
        <v>0.764129670100269</v>
      </c>
      <c r="O4" s="4">
        <f>IF(N4&gt;0,1/N4,"")</f>
        <v>1.3086784077744031</v>
      </c>
    </row>
    <row r="5" spans="1:15">
      <c r="A5">
        <v>1</v>
      </c>
      <c r="B5" s="4">
        <f>Thiet_ke!$B$20</f>
        <v>7.0</v>
      </c>
      <c r="C5" s="4">
        <f>Dau_vao!$B$21+(Dau_vao!$B$19-Dau_vao!$B$21)*3/200</f>
        <v>827.0</v>
      </c>
      <c r="D5" s="4">
        <f>2*PI()*C5*Thiet_ke!$B$7/(60*Thiet_ke!$B$15*B5)</f>
        <v>1.332332790666124</v>
      </c>
      <c r="E5" s="4">
        <f>D5*3.6</f>
        <v>4.796398046398046</v>
      </c>
      <c r="F5" s="4">
        <f>Thiet_ke!$B$12*(Dau_vao!$B$22*(C5/Dau_vao!$B$19)+Dau_vao!$B$23*(C5/Dau_vao!$B$19)^2-Dau_vao!$B$24*(C5/Dau_vao!$B$19)^3)</f>
        <v>32.60151742609266</v>
      </c>
      <c r="G5" s="4">
        <f>60000*F5/(2*PI()*C5)</f>
        <v>376.44686703694407</v>
      </c>
      <c r="H5" s="4">
        <f>G5*Thiet_ke!$B$15*B5*Dau_vao!$B$10/Thiet_ke!$B$7</f>
        <v>21777.855136865408</v>
      </c>
      <c r="I5" s="4">
        <f>IF(D5&lt;=Dau_vao!$B$14,Dau_vao!$B$13,Dau_vao!$B$13*(1+D5^2/1500))</f>
        <v>0.015</v>
      </c>
      <c r="J5" s="4">
        <f>Thiet_ke!$B$8*D5^2</f>
        <v>5.192198695371232</v>
      </c>
      <c r="K5" s="4">
        <f>Thiet_ke!$B$3*I5+J5</f>
        <v>1136.7756986953714</v>
      </c>
      <c r="L5" s="4">
        <f>(H5-J5)/Thiet_ke!$B$3</f>
        <v>0.28861320801562634</v>
      </c>
      <c r="M5" s="4">
        <f>1.05+0.05*B5^2</f>
        <v>3.5</v>
      </c>
      <c r="N5" s="4">
        <f>(MIN(H5,Thiet_ke!$B$16)-K5)/(Thiet_ke!$B$2*M5)</f>
        <v>0.7668987344666556</v>
      </c>
      <c r="O5" s="4">
        <f>IF(N5&gt;0,1/N5,"")</f>
        <v>1.3039531232183557</v>
      </c>
    </row>
    <row r="6" spans="1:15">
      <c r="A6">
        <v>1</v>
      </c>
      <c r="B6" s="4">
        <f>Thiet_ke!$B$20</f>
        <v>7.0</v>
      </c>
      <c r="C6" s="4">
        <f>Dau_vao!$B$21+(Dau_vao!$B$19-Dau_vao!$B$21)*4/200</f>
        <v>836.0</v>
      </c>
      <c r="D6" s="4">
        <f>2*PI()*C6*Thiet_ke!$B$7/(60*Thiet_ke!$B$15*B6)</f>
        <v>1.3468321801655136</v>
      </c>
      <c r="E6" s="4">
        <f>D6*3.6</f>
        <v>4.848595848595849</v>
      </c>
      <c r="F6" s="4">
        <f>Thiet_ke!$B$12*(Dau_vao!$B$22*(C6/Dau_vao!$B$19)+Dau_vao!$B$23*(C6/Dau_vao!$B$19)^2-Dau_vao!$B$24*(C6/Dau_vao!$B$19)^3)</f>
        <v>33.068363579023526</v>
      </c>
      <c r="G6" s="4">
        <f>60000*F6/(2*PI()*C6)</f>
        <v>377.7268079111192</v>
      </c>
      <c r="H6" s="4">
        <f>G6*Thiet_ke!$B$15*B6*Dau_vao!$B$10/Thiet_ke!$B$7</f>
        <v>21851.90108964739</v>
      </c>
      <c r="I6" s="4">
        <f>IF(D6&lt;=Dau_vao!$B$14,Dau_vao!$B$13,Dau_vao!$B$13*(1+D6^2/1500))</f>
        <v>0.015</v>
      </c>
      <c r="J6" s="4">
        <f>Thiet_ke!$B$8*D6^2</f>
        <v>5.305823995473468</v>
      </c>
      <c r="K6" s="4">
        <f>Thiet_ke!$B$3*I6+J6</f>
        <v>1136.8893239954737</v>
      </c>
      <c r="L6" s="4">
        <f>(H6-J6)/Thiet_ke!$B$3</f>
        <v>0.2895932372509662</v>
      </c>
      <c r="M6" s="4">
        <f>1.05+0.05*B6^2</f>
        <v>3.5</v>
      </c>
      <c r="N6" s="4">
        <f>(MIN(H6,Thiet_ke!$B$16)-K6)/(Thiet_ke!$B$2*M6)</f>
        <v>0.7696456164091366</v>
      </c>
      <c r="O6" s="4">
        <f>IF(N6&gt;0,1/N6,"")</f>
        <v>1.2992992861644639</v>
      </c>
    </row>
    <row r="7" spans="1:15">
      <c r="A7">
        <v>1</v>
      </c>
      <c r="B7" s="4">
        <f>Thiet_ke!$B$20</f>
        <v>7.0</v>
      </c>
      <c r="C7" s="4">
        <f>Dau_vao!$B$21+(Dau_vao!$B$19-Dau_vao!$B$21)*5/200</f>
        <v>845.0</v>
      </c>
      <c r="D7" s="4">
        <f>2*PI()*C7*Thiet_ke!$B$7/(60*Thiet_ke!$B$15*B7)</f>
        <v>1.361331569664903</v>
      </c>
      <c r="E7" s="4">
        <f>D7*3.6</f>
        <v>4.900793650793651</v>
      </c>
      <c r="F7" s="4">
        <f>Thiet_ke!$B$12*(Dau_vao!$B$22*(C7/Dau_vao!$B$19)+Dau_vao!$B$23*(C7/Dau_vao!$B$19)^2-Dau_vao!$B$24*(C7/Dau_vao!$B$19)^3)</f>
        <v>33.53671102088513</v>
      </c>
      <c r="G7" s="4">
        <f>60000*F7/(2*PI()*C7)</f>
        <v>378.9964497527796</v>
      </c>
      <c r="H7" s="4">
        <f>G7*Thiet_ke!$B$15*B7*Dau_vao!$B$10/Thiet_ke!$B$7</f>
        <v>21925.351232348847</v>
      </c>
      <c r="I7" s="4">
        <f>IF(D7&lt;=Dau_vao!$B$14,Dau_vao!$B$13,Dau_vao!$B$13*(1+D7^2/1500))</f>
        <v>0.015</v>
      </c>
      <c r="J7" s="4">
        <f>Thiet_ke!$B$8*D7^2</f>
        <v>5.420679154506454</v>
      </c>
      <c r="K7" s="4">
        <f>Thiet_ke!$B$3*I7+J7</f>
        <v>1137.0041791545066</v>
      </c>
      <c r="L7" s="4">
        <f>(H7-J7)/Thiet_ke!$B$3</f>
        <v>0.29056535226778674</v>
      </c>
      <c r="M7" s="4">
        <f>1.05+0.05*B7^2</f>
        <v>3.5</v>
      </c>
      <c r="N7" s="4">
        <f>(MIN(H7,Thiet_ke!$B$16)-K7)/(Thiet_ke!$B$2*M7)</f>
        <v>0.7723703159277109</v>
      </c>
      <c r="O7" s="4">
        <f>IF(N7&gt;0,1/N7,"")</f>
        <v>1.2947157333446693</v>
      </c>
    </row>
    <row r="8" spans="1:15">
      <c r="A8">
        <v>1</v>
      </c>
      <c r="B8" s="4">
        <f>Thiet_ke!$B$20</f>
        <v>7.0</v>
      </c>
      <c r="C8" s="4">
        <f>Dau_vao!$B$21+(Dau_vao!$B$19-Dau_vao!$B$21)*6/200</f>
        <v>854.0</v>
      </c>
      <c r="D8" s="4">
        <f>2*PI()*C8*Thiet_ke!$B$7/(60*Thiet_ke!$B$15*B8)</f>
        <v>1.3758309591642923</v>
      </c>
      <c r="E8" s="4">
        <f>D8*3.6</f>
        <v>4.952991452991452</v>
      </c>
      <c r="F8" s="4">
        <f>Thiet_ke!$B$12*(Dau_vao!$B$22*(C8/Dau_vao!$B$19)+Dau_vao!$B$23*(C8/Dau_vao!$B$19)^2-Dau_vao!$B$24*(C8/Dau_vao!$B$19)^3)</f>
        <v>34.006530631849095</v>
      </c>
      <c r="G8" s="4">
        <f>60000*F8/(2*PI()*C8)</f>
        <v>380.25579256192543</v>
      </c>
      <c r="H8" s="4">
        <f>G8*Thiet_ke!$B$15*B8*Dau_vao!$B$10/Thiet_ke!$B$7</f>
        <v>21998.20556496982</v>
      </c>
      <c r="I8" s="4">
        <f>IF(D8&lt;=Dau_vao!$B$14,Dau_vao!$B$13,Dau_vao!$B$13*(1+D8^2/1500))</f>
        <v>0.015</v>
      </c>
      <c r="J8" s="4">
        <f>Thiet_ke!$B$8*D8^2</f>
        <v>5.53676417247019</v>
      </c>
      <c r="K8" s="4">
        <f>Thiet_ke!$B$3*I8+J8</f>
        <v>1137.1202641724703</v>
      </c>
      <c r="L8" s="4">
        <f>(H8-J8)/Thiet_ke!$B$3</f>
        <v>0.2915295530660885</v>
      </c>
      <c r="M8" s="4">
        <f>1.05+0.05*B8^2</f>
        <v>3.5</v>
      </c>
      <c r="N8" s="4">
        <f>(MIN(H8,Thiet_ke!$B$16)-K8)/(Thiet_ke!$B$2*M8)</f>
        <v>0.7750728330223797</v>
      </c>
      <c r="O8" s="4">
        <f>IF(N8&gt;0,1/N8,"")</f>
        <v>1.290201329984076</v>
      </c>
    </row>
    <row r="9" spans="1:15">
      <c r="A9">
        <v>1</v>
      </c>
      <c r="B9" s="4">
        <f>Thiet_ke!$B$20</f>
        <v>7.0</v>
      </c>
      <c r="C9" s="4">
        <f>Dau_vao!$B$21+(Dau_vao!$B$19-Dau_vao!$B$21)*7/200</f>
        <v>863.0</v>
      </c>
      <c r="D9" s="4">
        <f>2*PI()*C9*Thiet_ke!$B$7/(60*Thiet_ke!$B$15*B9)</f>
        <v>1.3903303486636818</v>
      </c>
      <c r="E9" s="4">
        <f>D9*3.6</f>
        <v>5.005189255189254</v>
      </c>
      <c r="F9" s="4">
        <f>Thiet_ke!$B$12*(Dau_vao!$B$22*(C9/Dau_vao!$B$19)+Dau_vao!$B$23*(C9/Dau_vao!$B$19)^2-Dau_vao!$B$24*(C9/Dau_vao!$B$19)^3)</f>
        <v>34.47779329208702</v>
      </c>
      <c r="G9" s="4">
        <f>60000*F9/(2*PI()*C9)</f>
        <v>381.50483633855674</v>
      </c>
      <c r="H9" s="4">
        <f>G9*Thiet_ke!$B$15*B9*Dau_vao!$B$10/Thiet_ke!$B$7</f>
        <v>22070.464087510285</v>
      </c>
      <c r="I9" s="4">
        <f>IF(D9&lt;=Dau_vao!$B$14,Dau_vao!$B$13,Dau_vao!$B$13*(1+D9^2/1500))</f>
        <v>0.015</v>
      </c>
      <c r="J9" s="4">
        <f>Thiet_ke!$B$8*D9^2</f>
        <v>5.65407904936468</v>
      </c>
      <c r="K9" s="4">
        <f>Thiet_ke!$B$3*I9+J9</f>
        <v>1137.237579049365</v>
      </c>
      <c r="L9" s="4">
        <f>(H9-J9)/Thiet_ke!$B$3</f>
        <v>0.29248583964587127</v>
      </c>
      <c r="M9" s="4">
        <f>1.05+0.05*B9^2</f>
        <v>3.5</v>
      </c>
      <c r="N9" s="4">
        <f>(MIN(H9,Thiet_ke!$B$16)-K9)/(Thiet_ke!$B$2*M9)</f>
        <v>0.7777531676931422</v>
      </c>
      <c r="O9" s="4">
        <f>IF(N9&gt;0,1/N9,"")</f>
        <v>1.2857549689782093</v>
      </c>
    </row>
    <row r="10" spans="1:15">
      <c r="A10">
        <v>1</v>
      </c>
      <c r="B10" s="4">
        <f>Thiet_ke!$B$20</f>
        <v>7.0</v>
      </c>
      <c r="C10" s="4">
        <f>Dau_vao!$B$21+(Dau_vao!$B$19-Dau_vao!$B$21)*8/200</f>
        <v>872.0</v>
      </c>
      <c r="D10" s="4">
        <f>2*PI()*C10*Thiet_ke!$B$7/(60*Thiet_ke!$B$15*B10)</f>
        <v>1.4048297381630712</v>
      </c>
      <c r="E10" s="4">
        <f>D10*3.6</f>
        <v>5.057387057387056</v>
      </c>
      <c r="F10" s="4">
        <f>Thiet_ke!$B$12*(Dau_vao!$B$22*(C10/Dau_vao!$B$19)+Dau_vao!$B$23*(C10/Dau_vao!$B$19)^2-Dau_vao!$B$24*(C10/Dau_vao!$B$19)^3)</f>
        <v>34.9504698817705</v>
      </c>
      <c r="G10" s="4">
        <f>60000*F10/(2*PI()*C10)</f>
        <v>382.7435810826734</v>
      </c>
      <c r="H10" s="4">
        <f>G10*Thiet_ke!$B$15*B10*Dau_vao!$B$10/Thiet_ke!$B$7</f>
        <v>22142.12679997026</v>
      </c>
      <c r="I10" s="4">
        <f>IF(D10&lt;=Dau_vao!$B$14,Dau_vao!$B$13,Dau_vao!$B$13*(1+D10^2/1500))</f>
        <v>0.015</v>
      </c>
      <c r="J10" s="4">
        <f>Thiet_ke!$B$8*D10^2</f>
        <v>5.772623785189921</v>
      </c>
      <c r="K10" s="4">
        <f>Thiet_ke!$B$3*I10+J10</f>
        <v>1137.35612378519</v>
      </c>
      <c r="L10" s="4">
        <f>(H10-J10)/Thiet_ke!$B$3</f>
        <v>0.29343421200713515</v>
      </c>
      <c r="M10" s="4">
        <f>1.05+0.05*B10^2</f>
        <v>3.5</v>
      </c>
      <c r="N10" s="4">
        <f>(MIN(H10,Thiet_ke!$B$16)-K10)/(Thiet_ke!$B$2*M10)</f>
        <v>0.7804113199399989</v>
      </c>
      <c r="O10" s="4">
        <f>IF(N10&gt;0,1/N10,"")</f>
        <v>1.2813755700992189</v>
      </c>
    </row>
    <row r="11" spans="1:15">
      <c r="A11">
        <v>1</v>
      </c>
      <c r="B11" s="4">
        <f>Thiet_ke!$B$20</f>
        <v>7.0</v>
      </c>
      <c r="C11" s="4">
        <f>Dau_vao!$B$21+(Dau_vao!$B$19-Dau_vao!$B$21)*9/200</f>
        <v>881.0</v>
      </c>
      <c r="D11" s="4">
        <f>2*PI()*C11*Thiet_ke!$B$7/(60*Thiet_ke!$B$15*B11)</f>
        <v>1.4193291276624609</v>
      </c>
      <c r="E11" s="4">
        <f>D11*3.6</f>
        <v>5.109584859584859</v>
      </c>
      <c r="F11" s="4">
        <f>Thiet_ke!$B$12*(Dau_vao!$B$22*(C11/Dau_vao!$B$19)+Dau_vao!$B$23*(C11/Dau_vao!$B$19)^2-Dau_vao!$B$24*(C11/Dau_vao!$B$19)^3)</f>
        <v>35.42453128107114</v>
      </c>
      <c r="G11" s="4">
        <f>60000*F11/(2*PI()*C11)</f>
        <v>383.9720267942754</v>
      </c>
      <c r="H11" s="4">
        <f>G11*Thiet_ke!$B$15*B11*Dau_vao!$B$10/Thiet_ke!$B$7</f>
        <v>22213.19370234973</v>
      </c>
      <c r="I11" s="4">
        <f>IF(D11&lt;=Dau_vao!$B$14,Dau_vao!$B$13,Dau_vao!$B$13*(1+D11^2/1500))</f>
        <v>0.015</v>
      </c>
      <c r="J11" s="4">
        <f>Thiet_ke!$B$8*D11^2</f>
        <v>5.892398379945916</v>
      </c>
      <c r="K11" s="4">
        <f>Thiet_ke!$B$3*I11+J11</f>
        <v>1137.475898379946</v>
      </c>
      <c r="L11" s="4">
        <f>(H11-J11)/Thiet_ke!$B$3</f>
        <v>0.29437467014988</v>
      </c>
      <c r="M11" s="4">
        <f>1.05+0.05*B11^2</f>
        <v>3.5</v>
      </c>
      <c r="N11" s="4">
        <f>(MIN(H11,Thiet_ke!$B$16)-K11)/(Thiet_ke!$B$2*M11)</f>
        <v>0.7830472897629494</v>
      </c>
      <c r="O11" s="4">
        <f>IF(N11&gt;0,1/N11,"")</f>
        <v>1.277062079229887</v>
      </c>
    </row>
    <row r="12" spans="1:15">
      <c r="A12">
        <v>1</v>
      </c>
      <c r="B12" s="4">
        <f>Thiet_ke!$B$20</f>
        <v>7.0</v>
      </c>
      <c r="C12" s="4">
        <f>Dau_vao!$B$21+(Dau_vao!$B$19-Dau_vao!$B$21)*10/200</f>
        <v>890.0</v>
      </c>
      <c r="D12" s="4">
        <f>2*PI()*C12*Thiet_ke!$B$7/(60*Thiet_ke!$B$15*B12)</f>
        <v>1.4338285171618503</v>
      </c>
      <c r="E12" s="4">
        <f>D12*3.6</f>
        <v>5.161782661782661</v>
      </c>
      <c r="F12" s="4">
        <f>Thiet_ke!$B$12*(Dau_vao!$B$22*(C12/Dau_vao!$B$19)+Dau_vao!$B$23*(C12/Dau_vao!$B$19)^2-Dau_vao!$B$24*(C12/Dau_vao!$B$19)^3)</f>
        <v>35.89994837016054</v>
      </c>
      <c r="G12" s="4">
        <f>60000*F12/(2*PI()*C12)</f>
        <v>385.1901734733628</v>
      </c>
      <c r="H12" s="4">
        <f>G12*Thiet_ke!$B$15*B12*Dau_vao!$B$10/Thiet_ke!$B$7</f>
        <v>22283.66479464871</v>
      </c>
      <c r="I12" s="4">
        <f>IF(D12&lt;=Dau_vao!$B$14,Dau_vao!$B$13,Dau_vao!$B$13*(1+D12^2/1500))</f>
        <v>0.015</v>
      </c>
      <c r="J12" s="4">
        <f>Thiet_ke!$B$8*D12^2</f>
        <v>6.013402833632661</v>
      </c>
      <c r="K12" s="4">
        <f>Thiet_ke!$B$3*I12+J12</f>
        <v>1137.5969028336328</v>
      </c>
      <c r="L12" s="4">
        <f>(H12-J12)/Thiet_ke!$B$3</f>
        <v>0.295307214074106</v>
      </c>
      <c r="M12" s="4">
        <f>1.05+0.05*B12^2</f>
        <v>3.5</v>
      </c>
      <c r="N12" s="4">
        <f>(MIN(H12,Thiet_ke!$B$16)-K12)/(Thiet_ke!$B$2*M12)</f>
        <v>0.7856610771619943</v>
      </c>
      <c r="O12" s="4">
        <f>IF(N12&gt;0,1/N12,"")</f>
        <v>1.272813467624299</v>
      </c>
    </row>
    <row r="13" spans="1:15">
      <c r="A13">
        <v>1</v>
      </c>
      <c r="B13" s="4">
        <f>Thiet_ke!$B$20</f>
        <v>7.0</v>
      </c>
      <c r="C13" s="4">
        <f>Dau_vao!$B$21+(Dau_vao!$B$19-Dau_vao!$B$21)*11/200</f>
        <v>899.0</v>
      </c>
      <c r="D13" s="4">
        <f>2*PI()*C13*Thiet_ke!$B$7/(60*Thiet_ke!$B$15*B13)</f>
        <v>1.44832790666124</v>
      </c>
      <c r="E13" s="4">
        <f>D13*3.6</f>
        <v>5.213980463980464</v>
      </c>
      <c r="F13" s="4">
        <f>Thiet_ke!$B$12*(Dau_vao!$B$22*(C13/Dau_vao!$B$19)+Dau_vao!$B$23*(C13/Dau_vao!$B$19)^2-Dau_vao!$B$24*(C13/Dau_vao!$B$19)^3)</f>
        <v>36.37669202921032</v>
      </c>
      <c r="G13" s="4">
        <f>60000*F13/(2*PI()*C13)</f>
        <v>386.3980211199358</v>
      </c>
      <c r="H13" s="4">
        <f>G13*Thiet_ke!$B$15*B13*Dau_vao!$B$10/Thiet_ke!$B$7</f>
        <v>22353.54007686719</v>
      </c>
      <c r="I13" s="4">
        <f>IF(D13&lt;=Dau_vao!$B$14,Dau_vao!$B$13,Dau_vao!$B$13*(1+D13^2/1500))</f>
        <v>0.015</v>
      </c>
      <c r="J13" s="4">
        <f>Thiet_ke!$B$8*D13^2</f>
        <v>6.13563714625016</v>
      </c>
      <c r="K13" s="4">
        <f>Thiet_ke!$B$3*I13+J13</f>
        <v>1137.7191371462504</v>
      </c>
      <c r="L13" s="4">
        <f>(H13-J13)/Thiet_ke!$B$3</f>
        <v>0.29623184377981304</v>
      </c>
      <c r="M13" s="4">
        <f>1.05+0.05*B13^2</f>
        <v>3.5</v>
      </c>
      <c r="N13" s="4">
        <f>(MIN(H13,Thiet_ke!$B$16)-K13)/(Thiet_ke!$B$2*M13)</f>
        <v>0.7882526821371332</v>
      </c>
      <c r="O13" s="4">
        <f>IF(N13&gt;0,1/N13,"")</f>
        <v>1.2686287311941287</v>
      </c>
    </row>
    <row r="14" spans="1:15">
      <c r="A14">
        <v>1</v>
      </c>
      <c r="B14" s="4">
        <f>Thiet_ke!$B$20</f>
        <v>7.0</v>
      </c>
      <c r="C14" s="4">
        <f>Dau_vao!$B$21+(Dau_vao!$B$19-Dau_vao!$B$21)*12/200</f>
        <v>908.0</v>
      </c>
      <c r="D14" s="4">
        <f>2*PI()*C14*Thiet_ke!$B$7/(60*Thiet_ke!$B$15*B14)</f>
        <v>1.4628272961606295</v>
      </c>
      <c r="E14" s="4">
        <f>D14*3.6</f>
        <v>5.266178266178266</v>
      </c>
      <c r="F14" s="4">
        <f>Thiet_ke!$B$12*(Dau_vao!$B$22*(C14/Dau_vao!$B$19)+Dau_vao!$B$23*(C14/Dau_vao!$B$19)^2-Dau_vao!$B$24*(C14/Dau_vao!$B$19)^3)</f>
        <v>36.854733138392056</v>
      </c>
      <c r="G14" s="4">
        <f>60000*F14/(2*PI()*C14)</f>
        <v>387.59556973399407</v>
      </c>
      <c r="H14" s="4">
        <f>G14*Thiet_ke!$B$15*B14*Dau_vao!$B$10/Thiet_ke!$B$7</f>
        <v>22422.819549005162</v>
      </c>
      <c r="I14" s="4">
        <f>IF(D14&lt;=Dau_vao!$B$14,Dau_vao!$B$13,Dau_vao!$B$13*(1+D14^2/1500))</f>
        <v>0.015</v>
      </c>
      <c r="J14" s="4">
        <f>Thiet_ke!$B$8*D14^2</f>
        <v>6.259101317798408</v>
      </c>
      <c r="K14" s="4">
        <f>Thiet_ke!$B$3*I14+J14</f>
        <v>1137.8426013177987</v>
      </c>
      <c r="L14" s="4">
        <f>(H14-J14)/Thiet_ke!$B$3</f>
        <v>0.297148559267001</v>
      </c>
      <c r="M14" s="4">
        <f>1.05+0.05*B14^2</f>
        <v>3.5</v>
      </c>
      <c r="N14" s="4">
        <f>(MIN(H14,Thiet_ke!$B$16)-K14)/(Thiet_ke!$B$2*M14)</f>
        <v>0.7908221046883657</v>
      </c>
      <c r="O14" s="4">
        <f>IF(N14&gt;0,1/N14,"")</f>
        <v>1.2645068898195047</v>
      </c>
    </row>
    <row r="15" spans="1:15">
      <c r="A15">
        <v>1</v>
      </c>
      <c r="B15" s="4">
        <f>Thiet_ke!$B$20</f>
        <v>7.0</v>
      </c>
      <c r="C15" s="4">
        <f>Dau_vao!$B$21+(Dau_vao!$B$19-Dau_vao!$B$21)*13/200</f>
        <v>917.0</v>
      </c>
      <c r="D15" s="4">
        <f>2*PI()*C15*Thiet_ke!$B$7/(60*Thiet_ke!$B$15*B15)</f>
        <v>1.477326685660019</v>
      </c>
      <c r="E15" s="4">
        <f>D15*3.6</f>
        <v>5.318376068376068</v>
      </c>
      <c r="F15" s="4">
        <f>Thiet_ke!$B$12*(Dau_vao!$B$22*(C15/Dau_vao!$B$19)+Dau_vao!$B$23*(C15/Dau_vao!$B$19)^2-Dau_vao!$B$24*(C15/Dau_vao!$B$19)^3)</f>
        <v>37.33404257787736</v>
      </c>
      <c r="G15" s="4">
        <f>60000*F15/(2*PI()*C15)</f>
        <v>388.7828193155378</v>
      </c>
      <c r="H15" s="4">
        <f>G15*Thiet_ke!$B$15*B15*Dau_vao!$B$10/Thiet_ke!$B$7</f>
        <v>22491.503211062645</v>
      </c>
      <c r="I15" s="4">
        <f>IF(D15&lt;=Dau_vao!$B$14,Dau_vao!$B$13,Dau_vao!$B$13*(1+D15^2/1500))</f>
        <v>0.015</v>
      </c>
      <c r="J15" s="4">
        <f>Thiet_ke!$B$8*D15^2</f>
        <v>6.383795348277409</v>
      </c>
      <c r="K15" s="4">
        <f>Thiet_ke!$B$3*I15+J15</f>
        <v>1137.9672953482775</v>
      </c>
      <c r="L15" s="4">
        <f>(H15-J15)/Thiet_ke!$B$3</f>
        <v>0.29805736053567017</v>
      </c>
      <c r="M15" s="4">
        <f>1.05+0.05*B15^2</f>
        <v>3.5</v>
      </c>
      <c r="N15" s="4">
        <f>(MIN(H15,Thiet_ke!$B$16)-K15)/(Thiet_ke!$B$2*M15)</f>
        <v>0.7933693448156927</v>
      </c>
      <c r="O15" s="4">
        <f>IF(N15&gt;0,1/N15,"")</f>
        <v>1.2604469866834969</v>
      </c>
    </row>
    <row r="16" spans="1:15">
      <c r="A16">
        <v>1</v>
      </c>
      <c r="B16" s="4">
        <f>Thiet_ke!$B$20</f>
        <v>7.0</v>
      </c>
      <c r="C16" s="4">
        <f>Dau_vao!$B$21+(Dau_vao!$B$19-Dau_vao!$B$21)*14/200</f>
        <v>926.0</v>
      </c>
      <c r="D16" s="4">
        <f>2*PI()*C16*Thiet_ke!$B$7/(60*Thiet_ke!$B$15*B16)</f>
        <v>1.4918260751594083</v>
      </c>
      <c r="E16" s="4">
        <f>D16*3.6</f>
        <v>5.37057387057387</v>
      </c>
      <c r="F16" s="4">
        <f>Thiet_ke!$B$12*(Dau_vao!$B$22*(C16/Dau_vao!$B$19)+Dau_vao!$B$23*(C16/Dau_vao!$B$19)^2-Dau_vao!$B$24*(C16/Dau_vao!$B$19)^3)</f>
        <v>37.81459122783783</v>
      </c>
      <c r="G16" s="4">
        <f>60000*F16/(2*PI()*C16)</f>
        <v>389.9597698645668</v>
      </c>
      <c r="H16" s="4">
        <f>G16*Thiet_ke!$B$15*B16*Dau_vao!$B$10/Thiet_ke!$B$7</f>
        <v>22559.591063039625</v>
      </c>
      <c r="I16" s="4">
        <f>IF(D16&lt;=Dau_vao!$B$14,Dau_vao!$B$13,Dau_vao!$B$13*(1+D16^2/1500))</f>
        <v>0.015</v>
      </c>
      <c r="J16" s="4">
        <f>Thiet_ke!$B$8*D16^2</f>
        <v>6.509719237687161</v>
      </c>
      <c r="K16" s="4">
        <f>Thiet_ke!$B$3*I16+J16</f>
        <v>1138.0932192376874</v>
      </c>
      <c r="L16" s="4">
        <f>(H16-J16)/Thiet_ke!$B$3</f>
        <v>0.29895824758582024</v>
      </c>
      <c r="M16" s="4">
        <f>1.05+0.05*B16^2</f>
        <v>3.5</v>
      </c>
      <c r="N16" s="4">
        <f>(MIN(H16,Thiet_ke!$B$16)-K16)/(Thiet_ke!$B$2*M16)</f>
        <v>0.7958944025191135</v>
      </c>
      <c r="O16" s="4">
        <f>IF(N16&gt;0,1/N16,"")</f>
        <v>1.2564480876292945</v>
      </c>
    </row>
    <row r="17" spans="1:15">
      <c r="A17">
        <v>1</v>
      </c>
      <c r="B17" s="4">
        <f>Thiet_ke!$B$20</f>
        <v>7.0</v>
      </c>
      <c r="C17" s="4">
        <f>Dau_vao!$B$21+(Dau_vao!$B$19-Dau_vao!$B$21)*15/200</f>
        <v>935.0</v>
      </c>
      <c r="D17" s="4">
        <f>2*PI()*C17*Thiet_ke!$B$7/(60*Thiet_ke!$B$15*B17)</f>
        <v>1.506325464658798</v>
      </c>
      <c r="E17" s="4">
        <f>D17*3.6</f>
        <v>5.422771672771673</v>
      </c>
      <c r="F17" s="4">
        <f>Thiet_ke!$B$12*(Dau_vao!$B$22*(C17/Dau_vao!$B$19)+Dau_vao!$B$23*(C17/Dau_vao!$B$19)^2-Dau_vao!$B$24*(C17/Dau_vao!$B$19)^3)</f>
        <v>38.29634996844507</v>
      </c>
      <c r="G17" s="4">
        <f>60000*F17/(2*PI()*C17)</f>
        <v>391.1264213810813</v>
      </c>
      <c r="H17" s="4">
        <f>G17*Thiet_ke!$B$15*B17*Dau_vao!$B$10/Thiet_ke!$B$7</f>
        <v>22627.0831049361</v>
      </c>
      <c r="I17" s="4">
        <f>IF(D17&lt;=Dau_vao!$B$14,Dau_vao!$B$13,Dau_vao!$B$13*(1+D17^2/1500))</f>
        <v>0.015</v>
      </c>
      <c r="J17" s="4">
        <f>Thiet_ke!$B$8*D17^2</f>
        <v>6.636872986027666</v>
      </c>
      <c r="K17" s="4">
        <f>Thiet_ke!$B$3*I17+J17</f>
        <v>1138.2203729860278</v>
      </c>
      <c r="L17" s="4">
        <f>(H17-J17)/Thiet_ke!$B$3</f>
        <v>0.2998512204174514</v>
      </c>
      <c r="M17" s="4">
        <f>1.05+0.05*B17^2</f>
        <v>3.5</v>
      </c>
      <c r="N17" s="4">
        <f>(MIN(H17,Thiet_ke!$B$16)-K17)/(Thiet_ke!$B$2*M17)</f>
        <v>0.798397277798628</v>
      </c>
      <c r="O17" s="4">
        <f>IF(N17&gt;0,1/N17,"")</f>
        <v>1.2525092805391806</v>
      </c>
    </row>
    <row r="18" spans="1:15">
      <c r="A18">
        <v>1</v>
      </c>
      <c r="B18" s="4">
        <f>Thiet_ke!$B$20</f>
        <v>7.0</v>
      </c>
      <c r="C18" s="4">
        <f>Dau_vao!$B$21+(Dau_vao!$B$19-Dau_vao!$B$21)*16/200</f>
        <v>944.0</v>
      </c>
      <c r="D18" s="4">
        <f>2*PI()*C18*Thiet_ke!$B$7/(60*Thiet_ke!$B$15*B18)</f>
        <v>1.5208248541581875</v>
      </c>
      <c r="E18" s="4">
        <f>D18*3.6</f>
        <v>5.474969474969475</v>
      </c>
      <c r="F18" s="4">
        <f>Thiet_ke!$B$12*(Dau_vao!$B$22*(C18/Dau_vao!$B$19)+Dau_vao!$B$23*(C18/Dau_vao!$B$19)^2-Dau_vao!$B$24*(C18/Dau_vao!$B$19)^3)</f>
        <v>38.7792896798707</v>
      </c>
      <c r="G18" s="4">
        <f>60000*F18/(2*PI()*C18)</f>
        <v>392.2827738650813</v>
      </c>
      <c r="H18" s="4">
        <f>G18*Thiet_ke!$B$15*B18*Dau_vao!$B$10/Thiet_ke!$B$7</f>
        <v>22693.979336752094</v>
      </c>
      <c r="I18" s="4">
        <f>IF(D18&lt;=Dau_vao!$B$14,Dau_vao!$B$13,Dau_vao!$B$13*(1+D18^2/1500))</f>
        <v>0.015</v>
      </c>
      <c r="J18" s="4">
        <f>Thiet_ke!$B$8*D18^2</f>
        <v>6.765256593298921</v>
      </c>
      <c r="K18" s="4">
        <f>Thiet_ke!$B$3*I18+J18</f>
        <v>1138.3487565932992</v>
      </c>
      <c r="L18" s="4">
        <f>(H18-J18)/Thiet_ke!$B$3</f>
        <v>0.3007362790305637</v>
      </c>
      <c r="M18" s="4">
        <f>1.05+0.05*B18^2</f>
        <v>3.5</v>
      </c>
      <c r="N18" s="4">
        <f>(MIN(H18,Thiet_ke!$B$16)-K18)/(Thiet_ke!$B$2*M18)</f>
        <v>0.8008779706542373</v>
      </c>
      <c r="O18" s="4">
        <f>IF(N18&gt;0,1/N18,"")</f>
        <v>1.2486296747344667</v>
      </c>
    </row>
    <row r="19" spans="1:15">
      <c r="A19">
        <v>1</v>
      </c>
      <c r="B19" s="4">
        <f>Thiet_ke!$B$20</f>
        <v>7.0</v>
      </c>
      <c r="C19" s="4">
        <f>Dau_vao!$B$21+(Dau_vao!$B$19-Dau_vao!$B$21)*17/200</f>
        <v>953.0</v>
      </c>
      <c r="D19" s="4">
        <f>2*PI()*C19*Thiet_ke!$B$7/(60*Thiet_ke!$B$15*B19)</f>
        <v>1.5353242436575771</v>
      </c>
      <c r="E19" s="4">
        <f>D19*3.6</f>
        <v>5.527167277167278</v>
      </c>
      <c r="F19" s="4">
        <f>Thiet_ke!$B$12*(Dau_vao!$B$22*(C19/Dau_vao!$B$19)+Dau_vao!$B$23*(C19/Dau_vao!$B$19)^2-Dau_vao!$B$24*(C19/Dau_vao!$B$19)^3)</f>
        <v>39.26338124228629</v>
      </c>
      <c r="G19" s="4">
        <f>60000*F19/(2*PI()*C19)</f>
        <v>393.4288273165666</v>
      </c>
      <c r="H19" s="4">
        <f>G19*Thiet_ke!$B$15*B19*Dau_vao!$B$10/Thiet_ke!$B$7</f>
        <v>22760.279758487577</v>
      </c>
      <c r="I19" s="4">
        <f>IF(D19&lt;=Dau_vao!$B$14,Dau_vao!$B$13,Dau_vao!$B$13*(1+D19^2/1500))</f>
        <v>0.015</v>
      </c>
      <c r="J19" s="4">
        <f>Thiet_ke!$B$8*D19^2</f>
        <v>6.8948700595009305</v>
      </c>
      <c r="K19" s="4">
        <f>Thiet_ke!$B$3*I19+J19</f>
        <v>1138.478370059501</v>
      </c>
      <c r="L19" s="4">
        <f>(H19-J19)/Thiet_ke!$B$3</f>
        <v>0.30161342342515696</v>
      </c>
      <c r="M19" s="4">
        <f>1.05+0.05*B19^2</f>
        <v>3.5</v>
      </c>
      <c r="N19" s="4">
        <f>(MIN(H19,Thiet_ke!$B$16)-K19)/(Thiet_ke!$B$2*M19)</f>
        <v>0.80333648108594</v>
      </c>
      <c r="O19" s="4">
        <f>IF(N19&gt;0,1/N19,"")</f>
        <v>1.2448084003955762</v>
      </c>
    </row>
    <row r="20" spans="1:15">
      <c r="A20">
        <v>1</v>
      </c>
      <c r="B20" s="4">
        <f>Thiet_ke!$B$20</f>
        <v>7.0</v>
      </c>
      <c r="C20" s="4">
        <f>Dau_vao!$B$21+(Dau_vao!$B$19-Dau_vao!$B$21)*18/200</f>
        <v>962.0</v>
      </c>
      <c r="D20" s="4">
        <f>2*PI()*C20*Thiet_ke!$B$7/(60*Thiet_ke!$B$15*B20)</f>
        <v>1.5498236331569666</v>
      </c>
      <c r="E20" s="4">
        <f>D20*3.6</f>
        <v>5.57936507936508</v>
      </c>
      <c r="F20" s="4">
        <f>Thiet_ke!$B$12*(Dau_vao!$B$22*(C20/Dau_vao!$B$19)+Dau_vao!$B$23*(C20/Dau_vao!$B$19)^2-Dau_vao!$B$24*(C20/Dau_vao!$B$19)^3)</f>
        <v>39.74859553586345</v>
      </c>
      <c r="G20" s="4">
        <f>60000*F20/(2*PI()*C20)</f>
        <v>394.5645817355372</v>
      </c>
      <c r="H20" s="4">
        <f>G20*Thiet_ke!$B$15*B20*Dau_vao!$B$10/Thiet_ke!$B$7</f>
        <v>22825.984370142567</v>
      </c>
      <c r="I20" s="4">
        <f>IF(D20&lt;=Dau_vao!$B$14,Dau_vao!$B$13,Dau_vao!$B$13*(1+D20^2/1500))</f>
        <v>0.015</v>
      </c>
      <c r="J20" s="4">
        <f>Thiet_ke!$B$8*D20^2</f>
        <v>7.02571338463369</v>
      </c>
      <c r="K20" s="4">
        <f>Thiet_ke!$B$3*I20+J20</f>
        <v>1138.609213384634</v>
      </c>
      <c r="L20" s="4">
        <f>(H20-J20)/Thiet_ke!$B$3</f>
        <v>0.30248265360123133</v>
      </c>
      <c r="M20" s="4">
        <f>1.05+0.05*B20^2</f>
        <v>3.5</v>
      </c>
      <c r="N20" s="4">
        <f>(MIN(H20,Thiet_ke!$B$16)-K20)/(Thiet_ke!$B$2*M20)</f>
        <v>0.8057728090937372</v>
      </c>
      <c r="O20" s="4">
        <f>IF(N20&gt;0,1/N20,"")</f>
        <v>1.2410446080014943</v>
      </c>
    </row>
    <row r="21" spans="1:15">
      <c r="A21">
        <v>1</v>
      </c>
      <c r="B21" s="4">
        <f>Thiet_ke!$B$20</f>
        <v>7.0</v>
      </c>
      <c r="C21" s="4">
        <f>Dau_vao!$B$21+(Dau_vao!$B$19-Dau_vao!$B$21)*19/200</f>
        <v>971.0</v>
      </c>
      <c r="D21" s="4">
        <f>2*PI()*C21*Thiet_ke!$B$7/(60*Thiet_ke!$B$15*B21)</f>
        <v>1.564323022656356</v>
      </c>
      <c r="E21" s="4">
        <f>D21*3.6</f>
        <v>5.631562881562882</v>
      </c>
      <c r="F21" s="4">
        <f>Thiet_ke!$B$12*(Dau_vao!$B$22*(C21/Dau_vao!$B$19)+Dau_vao!$B$23*(C21/Dau_vao!$B$19)^2-Dau_vao!$B$24*(C21/Dau_vao!$B$19)^3)</f>
        <v>40.234903440773806</v>
      </c>
      <c r="G21" s="4">
        <f>60000*F21/(2*PI()*C21)</f>
        <v>395.6900371219933</v>
      </c>
      <c r="H21" s="4">
        <f>G21*Thiet_ke!$B$15*B21*Dau_vao!$B$10/Thiet_ke!$B$7</f>
        <v>22891.09317171705</v>
      </c>
      <c r="I21" s="4">
        <f>IF(D21&lt;=Dau_vao!$B$14,Dau_vao!$B$13,Dau_vao!$B$13*(1+D21^2/1500))</f>
        <v>0.015</v>
      </c>
      <c r="J21" s="4">
        <f>Thiet_ke!$B$8*D21^2</f>
        <v>7.157786568697202</v>
      </c>
      <c r="K21" s="4">
        <f>Thiet_ke!$B$3*I21+J21</f>
        <v>1138.7412865686974</v>
      </c>
      <c r="L21" s="4">
        <f>(H21-J21)/Thiet_ke!$B$3</f>
        <v>0.3033439695587867</v>
      </c>
      <c r="M21" s="4">
        <f>1.05+0.05*B21^2</f>
        <v>3.5</v>
      </c>
      <c r="N21" s="4">
        <f>(MIN(H21,Thiet_ke!$B$16)-K21)/(Thiet_ke!$B$2*M21)</f>
        <v>0.8081869546776278</v>
      </c>
      <c r="O21" s="4">
        <f>IF(N21&gt;0,1/N21,"")</f>
        <v>1.2373374677878626</v>
      </c>
    </row>
    <row r="22" spans="1:15">
      <c r="A22">
        <v>1</v>
      </c>
      <c r="B22" s="4">
        <f>Thiet_ke!$B$20</f>
        <v>7.0</v>
      </c>
      <c r="C22" s="4">
        <f>Dau_vao!$B$21+(Dau_vao!$B$19-Dau_vao!$B$21)*20/200</f>
        <v>980.0</v>
      </c>
      <c r="D22" s="4">
        <f>2*PI()*C22*Thiet_ke!$B$7/(60*Thiet_ke!$B$15*B22)</f>
        <v>1.5788224121557455</v>
      </c>
      <c r="E22" s="4">
        <f>D22*3.6</f>
        <v>5.683760683760684</v>
      </c>
      <c r="F22" s="4">
        <f>Thiet_ke!$B$12*(Dau_vao!$B$22*(C22/Dau_vao!$B$19)+Dau_vao!$B$23*(C22/Dau_vao!$B$19)^2-Dau_vao!$B$24*(C22/Dau_vao!$B$19)^3)</f>
        <v>40.72227583718894</v>
      </c>
      <c r="G22" s="4">
        <f>60000*F22/(2*PI()*C22)</f>
        <v>396.8051934759349</v>
      </c>
      <c r="H22" s="4">
        <f>G22*Thiet_ke!$B$15*B22*Dau_vao!$B$10/Thiet_ke!$B$7</f>
        <v>22955.60616321104</v>
      </c>
      <c r="I22" s="4">
        <f>IF(D22&lt;=Dau_vao!$B$14,Dau_vao!$B$13,Dau_vao!$B$13*(1+D22^2/1500))</f>
        <v>0.015</v>
      </c>
      <c r="J22" s="4">
        <f>Thiet_ke!$B$8*D22^2</f>
        <v>7.291089611691465</v>
      </c>
      <c r="K22" s="4">
        <f>Thiet_ke!$B$3*I22+J22</f>
        <v>1138.8745896116916</v>
      </c>
      <c r="L22" s="4">
        <f>(H22-J22)/Thiet_ke!$B$3</f>
        <v>0.3041973712978231</v>
      </c>
      <c r="M22" s="4">
        <f>1.05+0.05*B22^2</f>
        <v>3.5</v>
      </c>
      <c r="N22" s="4">
        <f>(MIN(H22,Thiet_ke!$B$16)-K22)/(Thiet_ke!$B$2*M22)</f>
        <v>0.8105789178376127</v>
      </c>
      <c r="O22" s="4">
        <f>IF(N22&gt;0,1/N22,"")</f>
        <v>1.2336861692229886</v>
      </c>
    </row>
    <row r="23" spans="1:15">
      <c r="A23">
        <v>1</v>
      </c>
      <c r="B23" s="4">
        <f>Thiet_ke!$B$20</f>
        <v>7.0</v>
      </c>
      <c r="C23" s="4">
        <f>Dau_vao!$B$21+(Dau_vao!$B$19-Dau_vao!$B$21)*21/200</f>
        <v>989.0</v>
      </c>
      <c r="D23" s="4">
        <f>2*PI()*C23*Thiet_ke!$B$7/(60*Thiet_ke!$B$15*B23)</f>
        <v>1.5933218016551347</v>
      </c>
      <c r="E23" s="4">
        <f>D23*3.6</f>
        <v>5.735958485958485</v>
      </c>
      <c r="F23" s="4">
        <f>Thiet_ke!$B$12*(Dau_vao!$B$22*(C23/Dau_vao!$B$19)+Dau_vao!$B$23*(C23/Dau_vao!$B$19)^2-Dau_vao!$B$24*(C23/Dau_vao!$B$19)^3)</f>
        <v>41.210683605280444</v>
      </c>
      <c r="G23" s="4">
        <f>60000*F23/(2*PI()*C23)</f>
        <v>397.91005079736175</v>
      </c>
      <c r="H23" s="4">
        <f>G23*Thiet_ke!$B$15*B23*Dau_vao!$B$10/Thiet_ke!$B$7</f>
        <v>23019.523344624533</v>
      </c>
      <c r="I23" s="4">
        <f>IF(D23&lt;=Dau_vao!$B$14,Dau_vao!$B$13,Dau_vao!$B$13*(1+D23^2/1500))</f>
        <v>0.015</v>
      </c>
      <c r="J23" s="4">
        <f>Thiet_ke!$B$8*D23^2</f>
        <v>7.425622513616477</v>
      </c>
      <c r="K23" s="4">
        <f>Thiet_ke!$B$3*I23+J23</f>
        <v>1139.0091225136166</v>
      </c>
      <c r="L23" s="4">
        <f>(H23-J23)/Thiet_ke!$B$3</f>
        <v>0.3050428588183406</v>
      </c>
      <c r="M23" s="4">
        <f>1.05+0.05*B23^2</f>
        <v>3.5</v>
      </c>
      <c r="N23" s="4">
        <f>(MIN(H23,Thiet_ke!$B$16)-K23)/(Thiet_ke!$B$2*M23)</f>
        <v>0.8129486985736919</v>
      </c>
      <c r="O23" s="4">
        <f>IF(N23&gt;0,1/N23,"")</f>
        <v>1.230089920501118</v>
      </c>
    </row>
    <row r="24" spans="1:15">
      <c r="A24">
        <v>1</v>
      </c>
      <c r="B24" s="4">
        <f>Thiet_ke!$B$20</f>
        <v>7.0</v>
      </c>
      <c r="C24" s="4">
        <f>Dau_vao!$B$21+(Dau_vao!$B$19-Dau_vao!$B$21)*22/200</f>
        <v>998.0</v>
      </c>
      <c r="D24" s="4">
        <f>2*PI()*C24*Thiet_ke!$B$7/(60*Thiet_ke!$B$15*B24)</f>
        <v>1.6078211911545246</v>
      </c>
      <c r="E24" s="4">
        <f>D24*3.6</f>
        <v>5.788156288156289</v>
      </c>
      <c r="F24" s="4">
        <f>Thiet_ke!$B$12*(Dau_vao!$B$22*(C24/Dau_vao!$B$19)+Dau_vao!$B$23*(C24/Dau_vao!$B$19)^2-Dau_vao!$B$24*(C24/Dau_vao!$B$19)^3)</f>
        <v>41.70009762521995</v>
      </c>
      <c r="G24" s="4">
        <f>60000*F24/(2*PI()*C24)</f>
        <v>399.0046090862742</v>
      </c>
      <c r="H24" s="4">
        <f>G24*Thiet_ke!$B$15*B24*Dau_vao!$B$10/Thiet_ke!$B$7</f>
        <v>23082.844715957523</v>
      </c>
      <c r="I24" s="4">
        <f>IF(D24&lt;=Dau_vao!$B$14,Dau_vao!$B$13,Dau_vao!$B$13*(1+D24^2/1500))</f>
        <v>0.015</v>
      </c>
      <c r="J24" s="4">
        <f>Thiet_ke!$B$8*D24^2</f>
        <v>7.561385274472248</v>
      </c>
      <c r="K24" s="4">
        <f>Thiet_ke!$B$3*I24+J24</f>
        <v>1139.1448852744725</v>
      </c>
      <c r="L24" s="4">
        <f>(H24-J24)/Thiet_ke!$B$3</f>
        <v>0.3058804321203391</v>
      </c>
      <c r="M24" s="4">
        <f>1.05+0.05*B24^2</f>
        <v>3.5</v>
      </c>
      <c r="N24" s="4">
        <f>(MIN(H24,Thiet_ke!$B$16)-K24)/(Thiet_ke!$B$2*M24)</f>
        <v>0.8152962968858648</v>
      </c>
      <c r="O24" s="4">
        <f>IF(N24&gt;0,1/N24,"")</f>
        <v>1.2265479480523045</v>
      </c>
    </row>
    <row r="25" spans="1:15">
      <c r="A25">
        <v>1</v>
      </c>
      <c r="B25" s="4">
        <f>Thiet_ke!$B$20</f>
        <v>7.0</v>
      </c>
      <c r="C25" s="4">
        <f>Dau_vao!$B$21+(Dau_vao!$B$19-Dau_vao!$B$21)*23/200</f>
        <v>1007.0</v>
      </c>
      <c r="D25" s="4">
        <f>2*PI()*C25*Thiet_ke!$B$7/(60*Thiet_ke!$B$15*B25)</f>
        <v>1.6223205806539138</v>
      </c>
      <c r="E25" s="4">
        <f>D25*3.6</f>
        <v>5.84035409035409</v>
      </c>
      <c r="F25" s="4">
        <f>Thiet_ke!$B$12*(Dau_vao!$B$22*(C25/Dau_vao!$B$19)+Dau_vao!$B$23*(C25/Dau_vao!$B$19)^2-Dau_vao!$B$24*(C25/Dau_vao!$B$19)^3)</f>
        <v>42.19048877717902</v>
      </c>
      <c r="G25" s="4">
        <f>60000*F25/(2*PI()*C25)</f>
        <v>400.0888683426719</v>
      </c>
      <c r="H25" s="4">
        <f>G25*Thiet_ke!$B$15*B25*Dau_vao!$B$10/Thiet_ke!$B$7</f>
        <v>23145.57027721002</v>
      </c>
      <c r="I25" s="4">
        <f>IF(D25&lt;=Dau_vao!$B$14,Dau_vao!$B$13,Dau_vao!$B$13*(1+D25^2/1500))</f>
        <v>0.015</v>
      </c>
      <c r="J25" s="4">
        <f>Thiet_ke!$B$8*D25^2</f>
        <v>7.698377894258763</v>
      </c>
      <c r="K25" s="4">
        <f>Thiet_ke!$B$3*I25+J25</f>
        <v>1139.281877894259</v>
      </c>
      <c r="L25" s="4">
        <f>(H25-J25)/Thiet_ke!$B$3</f>
        <v>0.3067100912038187</v>
      </c>
      <c r="M25" s="4">
        <f>1.05+0.05*B25^2</f>
        <v>3.5</v>
      </c>
      <c r="N25" s="4">
        <f>(MIN(H25,Thiet_ke!$B$16)-K25)/(Thiet_ke!$B$2*M25)</f>
        <v>0.8176217127741319</v>
      </c>
      <c r="O25" s="4">
        <f>IF(N25&gt;0,1/N25,"")</f>
        <v>1.2230594960682633</v>
      </c>
    </row>
    <row r="26" spans="1:15">
      <c r="A26">
        <v>1</v>
      </c>
      <c r="B26" s="4">
        <f>Thiet_ke!$B$20</f>
        <v>7.0</v>
      </c>
      <c r="C26" s="4">
        <f>Dau_vao!$B$21+(Dau_vao!$B$19-Dau_vao!$B$21)*24/200</f>
        <v>1016.0</v>
      </c>
      <c r="D26" s="4">
        <f>2*PI()*C26*Thiet_ke!$B$7/(60*Thiet_ke!$B$15*B26)</f>
        <v>1.6368199701533033</v>
      </c>
      <c r="E26" s="4">
        <f>D26*3.6</f>
        <v>5.892551892551892</v>
      </c>
      <c r="F26" s="4">
        <f>Thiet_ke!$B$12*(Dau_vao!$B$22*(C26/Dau_vao!$B$19)+Dau_vao!$B$23*(C26/Dau_vao!$B$19)^2-Dau_vao!$B$24*(C26/Dau_vao!$B$19)^3)</f>
        <v>42.681827941329296</v>
      </c>
      <c r="G26" s="4">
        <f>60000*F26/(2*PI()*C26)</f>
        <v>401.1628285665551</v>
      </c>
      <c r="H26" s="4">
        <f>G26*Thiet_ke!$B$15*B26*Dau_vao!$B$10/Thiet_ke!$B$7</f>
        <v>23207.700028382016</v>
      </c>
      <c r="I26" s="4">
        <f>IF(D26&lt;=Dau_vao!$B$14,Dau_vao!$B$13,Dau_vao!$B$13*(1+D26^2/1500))</f>
        <v>0.015</v>
      </c>
      <c r="J26" s="4">
        <f>Thiet_ke!$B$8*D26^2</f>
        <v>7.836600372976034</v>
      </c>
      <c r="K26" s="4">
        <f>Thiet_ke!$B$3*I26+J26</f>
        <v>1139.4201003729763</v>
      </c>
      <c r="L26" s="4">
        <f>(H26-J26)/Thiet_ke!$B$3</f>
        <v>0.3075318360687794</v>
      </c>
      <c r="M26" s="4">
        <f>1.05+0.05*B26^2</f>
        <v>3.5</v>
      </c>
      <c r="N26" s="4">
        <f>(MIN(H26,Thiet_ke!$B$16)-K26)/(Thiet_ke!$B$2*M26)</f>
        <v>0.819924946238493</v>
      </c>
      <c r="O26" s="4">
        <f>IF(N26&gt;0,1/N26,"")</f>
        <v>1.2196238260436196</v>
      </c>
    </row>
    <row r="27" spans="1:15">
      <c r="A27">
        <v>1</v>
      </c>
      <c r="B27" s="4">
        <f>Thiet_ke!$B$20</f>
        <v>7.0</v>
      </c>
      <c r="C27" s="4">
        <f>Dau_vao!$B$21+(Dau_vao!$B$19-Dau_vao!$B$21)*25/200</f>
        <v>1025.0</v>
      </c>
      <c r="D27" s="4">
        <f>2*PI()*C27*Thiet_ke!$B$7/(60*Thiet_ke!$B$15*B27)</f>
        <v>1.6513193596526927</v>
      </c>
      <c r="E27" s="4">
        <f>D27*3.6</f>
        <v>5.944749694749694</v>
      </c>
      <c r="F27" s="4">
        <f>Thiet_ke!$B$12*(Dau_vao!$B$22*(C27/Dau_vao!$B$19)+Dau_vao!$B$23*(C27/Dau_vao!$B$19)^2-Dau_vao!$B$24*(C27/Dau_vao!$B$19)^3)</f>
        <v>43.17408599784235</v>
      </c>
      <c r="G27" s="4">
        <f>60000*F27/(2*PI()*C27)</f>
        <v>402.22648975792356</v>
      </c>
      <c r="H27" s="4">
        <f>G27*Thiet_ke!$B$15*B27*Dau_vao!$B$10/Thiet_ke!$B$7</f>
        <v>23269.233969473516</v>
      </c>
      <c r="I27" s="4">
        <f>IF(D27&lt;=Dau_vao!$B$14,Dau_vao!$B$13,Dau_vao!$B$13*(1+D27^2/1500))</f>
        <v>0.015</v>
      </c>
      <c r="J27" s="4">
        <f>Thiet_ke!$B$8*D27^2</f>
        <v>7.976052710624055</v>
      </c>
      <c r="K27" s="4">
        <f>Thiet_ke!$B$3*I27+J27</f>
        <v>1139.5595527106243</v>
      </c>
      <c r="L27" s="4">
        <f>(H27-J27)/Thiet_ke!$B$3</f>
        <v>0.30834566671522107</v>
      </c>
      <c r="M27" s="4">
        <f>1.05+0.05*B27^2</f>
        <v>3.5</v>
      </c>
      <c r="N27" s="4">
        <f>(MIN(H27,Thiet_ke!$B$16)-K27)/(Thiet_ke!$B$2*M27)</f>
        <v>0.8222059972789483</v>
      </c>
      <c r="O27" s="4">
        <f>IF(N27&gt;0,1/N27,"")</f>
        <v>1.2162402163319808</v>
      </c>
    </row>
    <row r="28" spans="1:15">
      <c r="A28">
        <v>1</v>
      </c>
      <c r="B28" s="4">
        <f>Thiet_ke!$B$20</f>
        <v>7.0</v>
      </c>
      <c r="C28" s="4">
        <f>Dau_vao!$B$21+(Dau_vao!$B$19-Dau_vao!$B$21)*26/200</f>
        <v>1034.0</v>
      </c>
      <c r="D28" s="4">
        <f>2*PI()*C28*Thiet_ke!$B$7/(60*Thiet_ke!$B$15*B28)</f>
        <v>1.6658187491520824</v>
      </c>
      <c r="E28" s="4">
        <f>D28*3.6</f>
        <v>5.996947496947497</v>
      </c>
      <c r="F28" s="4">
        <f>Thiet_ke!$B$12*(Dau_vao!$B$22*(C28/Dau_vao!$B$19)+Dau_vao!$B$23*(C28/Dau_vao!$B$19)^2-Dau_vao!$B$24*(C28/Dau_vao!$B$19)^3)</f>
        <v>43.667233826889785</v>
      </c>
      <c r="G28" s="4">
        <f>60000*F28/(2*PI()*C28)</f>
        <v>403.27985191677743</v>
      </c>
      <c r="H28" s="4">
        <f>G28*Thiet_ke!$B$15*B28*Dau_vao!$B$10/Thiet_ke!$B$7</f>
        <v>23330.172100484506</v>
      </c>
      <c r="I28" s="4">
        <f>IF(D28&lt;=Dau_vao!$B$14,Dau_vao!$B$13,Dau_vao!$B$13*(1+D28^2/1500))</f>
        <v>0.015</v>
      </c>
      <c r="J28" s="4">
        <f>Thiet_ke!$B$8*D28^2</f>
        <v>8.116734907202831</v>
      </c>
      <c r="K28" s="4">
        <f>Thiet_ke!$B$3*I28+J28</f>
        <v>1139.700234907203</v>
      </c>
      <c r="L28" s="4">
        <f>(H28-J28)/Thiet_ke!$B$3</f>
        <v>0.30915158314314367</v>
      </c>
      <c r="M28" s="4">
        <f>1.05+0.05*B28^2</f>
        <v>3.5</v>
      </c>
      <c r="N28" s="4">
        <f>(MIN(H28,Thiet_ke!$B$16)-K28)/(Thiet_ke!$B$2*M28)</f>
        <v>0.8244648658954971</v>
      </c>
      <c r="O28" s="4">
        <f>IF(N28&gt;0,1/N28,"")</f>
        <v>1.212907961716288</v>
      </c>
    </row>
    <row r="29" spans="1:15">
      <c r="A29">
        <v>1</v>
      </c>
      <c r="B29" s="4">
        <f>Thiet_ke!$B$20</f>
        <v>7.0</v>
      </c>
      <c r="C29" s="4">
        <f>Dau_vao!$B$21+(Dau_vao!$B$19-Dau_vao!$B$21)*27/200</f>
        <v>1043.0</v>
      </c>
      <c r="D29" s="4">
        <f>2*PI()*C29*Thiet_ke!$B$7/(60*Thiet_ke!$B$15*B29)</f>
        <v>1.6803181386514718</v>
      </c>
      <c r="E29" s="4">
        <f>D29*3.6</f>
        <v>6.049145299145299</v>
      </c>
      <c r="F29" s="4">
        <f>Thiet_ke!$B$12*(Dau_vao!$B$22*(C29/Dau_vao!$B$19)+Dau_vao!$B$23*(C29/Dau_vao!$B$19)^2-Dau_vao!$B$24*(C29/Dau_vao!$B$19)^3)</f>
        <v>44.161242308643224</v>
      </c>
      <c r="G29" s="4">
        <f>60000*F29/(2*PI()*C29)</f>
        <v>404.3229150431168</v>
      </c>
      <c r="H29" s="4">
        <f>G29*Thiet_ke!$B$15*B29*Dau_vao!$B$10/Thiet_ke!$B$7</f>
        <v>23390.514421415002</v>
      </c>
      <c r="I29" s="4">
        <f>IF(D29&lt;=Dau_vao!$B$14,Dau_vao!$B$13,Dau_vao!$B$13*(1+D29^2/1500))</f>
        <v>0.015</v>
      </c>
      <c r="J29" s="4">
        <f>Thiet_ke!$B$8*D29^2</f>
        <v>8.258646962712355</v>
      </c>
      <c r="K29" s="4">
        <f>Thiet_ke!$B$3*I29+J29</f>
        <v>1139.8421469627126</v>
      </c>
      <c r="L29" s="4">
        <f>(H29-J29)/Thiet_ke!$B$3</f>
        <v>0.30994958535254735</v>
      </c>
      <c r="M29" s="4">
        <f>1.05+0.05*B29^2</f>
        <v>3.5</v>
      </c>
      <c r="N29" s="4">
        <f>(MIN(H29,Thiet_ke!$B$16)-K29)/(Thiet_ke!$B$2*M29)</f>
        <v>0.82670155208814</v>
      </c>
      <c r="O29" s="4">
        <f>IF(N29&gt;0,1/N29,"")</f>
        <v>1.2096263729929269</v>
      </c>
    </row>
    <row r="30" spans="1:15">
      <c r="A30">
        <v>1</v>
      </c>
      <c r="B30" s="4">
        <f>Thiet_ke!$B$20</f>
        <v>7.0</v>
      </c>
      <c r="C30" s="4">
        <f>Dau_vao!$B$21+(Dau_vao!$B$19-Dau_vao!$B$21)*28/200</f>
        <v>1052.0</v>
      </c>
      <c r="D30" s="4">
        <f>2*PI()*C30*Thiet_ke!$B$7/(60*Thiet_ke!$B$15*B30)</f>
        <v>1.6948175281508615</v>
      </c>
      <c r="E30" s="4">
        <f>D30*3.6</f>
        <v>6.101343101343102</v>
      </c>
      <c r="F30" s="4">
        <f>Thiet_ke!$B$12*(Dau_vao!$B$22*(C30/Dau_vao!$B$19)+Dau_vao!$B$23*(C30/Dau_vao!$B$19)^2-Dau_vao!$B$24*(C30/Dau_vao!$B$19)^3)</f>
        <v>44.65608232327426</v>
      </c>
      <c r="G30" s="4">
        <f>60000*F30/(2*PI()*C30)</f>
        <v>405.35567913694155</v>
      </c>
      <c r="H30" s="4">
        <f>G30*Thiet_ke!$B$15*B30*Dau_vao!$B$10/Thiet_ke!$B$7</f>
        <v>23450.260932265006</v>
      </c>
      <c r="I30" s="4">
        <f>IF(D30&lt;=Dau_vao!$B$14,Dau_vao!$B$13,Dau_vao!$B$13*(1+D30^2/1500))</f>
        <v>0.015</v>
      </c>
      <c r="J30" s="4">
        <f>Thiet_ke!$B$8*D30^2</f>
        <v>8.401788877152635</v>
      </c>
      <c r="K30" s="4">
        <f>Thiet_ke!$B$3*I30+J30</f>
        <v>1139.985288877153</v>
      </c>
      <c r="L30" s="4">
        <f>(H30-J30)/Thiet_ke!$B$3</f>
        <v>0.3107396733434322</v>
      </c>
      <c r="M30" s="4">
        <f>1.05+0.05*B30^2</f>
        <v>3.5</v>
      </c>
      <c r="N30" s="4">
        <f>(MIN(H30,Thiet_ke!$B$16)-K30)/(Thiet_ke!$B$2*M30)</f>
        <v>0.8289160558568773</v>
      </c>
      <c r="O30" s="4">
        <f>IF(N30&gt;0,1/N30,"")</f>
        <v>1.2063947765691034</v>
      </c>
    </row>
    <row r="31" spans="1:15">
      <c r="A31">
        <v>1</v>
      </c>
      <c r="B31" s="4">
        <f>Thiet_ke!$B$20</f>
        <v>7.0</v>
      </c>
      <c r="C31" s="4">
        <f>Dau_vao!$B$21+(Dau_vao!$B$19-Dau_vao!$B$21)*29/200</f>
        <v>1061.0</v>
      </c>
      <c r="D31" s="4">
        <f>2*PI()*C31*Thiet_ke!$B$7/(60*Thiet_ke!$B$15*B31)</f>
        <v>1.709316917650251</v>
      </c>
      <c r="E31" s="4">
        <f>D31*3.6</f>
        <v>6.153540903540904</v>
      </c>
      <c r="F31" s="4">
        <f>Thiet_ke!$B$12*(Dau_vao!$B$22*(C31/Dau_vao!$B$19)+Dau_vao!$B$23*(C31/Dau_vao!$B$19)^2-Dau_vao!$B$24*(C31/Dau_vao!$B$19)^3)</f>
        <v>45.151724750954486</v>
      </c>
      <c r="G31" s="4">
        <f>60000*F31/(2*PI()*C31)</f>
        <v>406.3781441982517</v>
      </c>
      <c r="H31" s="4">
        <f>G31*Thiet_ke!$B$15*B31*Dau_vao!$B$10/Thiet_ke!$B$7</f>
        <v>23509.41163303451</v>
      </c>
      <c r="I31" s="4">
        <f>IF(D31&lt;=Dau_vao!$B$14,Dau_vao!$B$13,Dau_vao!$B$13*(1+D31^2/1500))</f>
        <v>0.015</v>
      </c>
      <c r="J31" s="4">
        <f>Thiet_ke!$B$8*D31^2</f>
        <v>8.546160650523664</v>
      </c>
      <c r="K31" s="4">
        <f>Thiet_ke!$B$3*I31+J31</f>
        <v>1140.1296606505239</v>
      </c>
      <c r="L31" s="4">
        <f>(H31-J31)/Thiet_ke!$B$3</f>
        <v>0.3115218471157981</v>
      </c>
      <c r="M31" s="4">
        <f>1.05+0.05*B31^2</f>
        <v>3.5</v>
      </c>
      <c r="N31" s="4">
        <f>(MIN(H31,Thiet_ke!$B$16)-K31)/(Thiet_ke!$B$2*M31)</f>
        <v>0.8311083772017086</v>
      </c>
      <c r="O31" s="4">
        <f>IF(N31&gt;0,1/N31,"")</f>
        <v>1.2032125140730012</v>
      </c>
    </row>
    <row r="32" spans="1:15">
      <c r="A32">
        <v>1</v>
      </c>
      <c r="B32" s="4">
        <f>Thiet_ke!$B$20</f>
        <v>7.0</v>
      </c>
      <c r="C32" s="4">
        <f>Dau_vao!$B$21+(Dau_vao!$B$19-Dau_vao!$B$21)*30/200</f>
        <v>1070.0</v>
      </c>
      <c r="D32" s="4">
        <f>2*PI()*C32*Thiet_ke!$B$7/(60*Thiet_ke!$B$15*B32)</f>
        <v>1.7238163071496404</v>
      </c>
      <c r="E32" s="4">
        <f>D32*3.6</f>
        <v>6.205738705738706</v>
      </c>
      <c r="F32" s="4">
        <f>Thiet_ke!$B$12*(Dau_vao!$B$22*(C32/Dau_vao!$B$19)+Dau_vao!$B$23*(C32/Dau_vao!$B$19)^2-Dau_vao!$B$24*(C32/Dau_vao!$B$19)^3)</f>
        <v>45.64814047185552</v>
      </c>
      <c r="G32" s="4">
        <f>60000*F32/(2*PI()*C32)</f>
        <v>407.3903102270473</v>
      </c>
      <c r="H32" s="4">
        <f>G32*Thiet_ke!$B$15*B32*Dau_vao!$B$10/Thiet_ke!$B$7</f>
        <v>23567.96652372351</v>
      </c>
      <c r="I32" s="4">
        <f>IF(D32&lt;=Dau_vao!$B$14,Dau_vao!$B$13,Dau_vao!$B$13*(1+D32^2/1500))</f>
        <v>0.015</v>
      </c>
      <c r="J32" s="4">
        <f>Thiet_ke!$B$8*D32^2</f>
        <v>8.691762282825444</v>
      </c>
      <c r="K32" s="4">
        <f>Thiet_ke!$B$3*I32+J32</f>
        <v>1140.2752622828257</v>
      </c>
      <c r="L32" s="4">
        <f>(H32-J32)/Thiet_ke!$B$3</f>
        <v>0.31229610666964497</v>
      </c>
      <c r="M32" s="4">
        <f>1.05+0.05*B32^2</f>
        <v>3.5</v>
      </c>
      <c r="N32" s="4">
        <f>(MIN(H32,Thiet_ke!$B$16)-K32)/(Thiet_ke!$B$2*M32)</f>
        <v>0.8332785161226336</v>
      </c>
      <c r="O32" s="4">
        <f>IF(N32&gt;0,1/N32,"")</f>
        <v>1.2000789419762623</v>
      </c>
    </row>
    <row r="33" spans="1:15">
      <c r="A33">
        <v>1</v>
      </c>
      <c r="B33" s="4">
        <f>Thiet_ke!$B$20</f>
        <v>7.0</v>
      </c>
      <c r="C33" s="4">
        <f>Dau_vao!$B$21+(Dau_vao!$B$19-Dau_vao!$B$21)*31/200</f>
        <v>1079.0</v>
      </c>
      <c r="D33" s="4">
        <f>2*PI()*C33*Thiet_ke!$B$7/(60*Thiet_ke!$B$15*B33)</f>
        <v>1.7383156966490299</v>
      </c>
      <c r="E33" s="4">
        <f>D33*3.6</f>
        <v>6.257936507936508</v>
      </c>
      <c r="F33" s="4">
        <f>Thiet_ke!$B$12*(Dau_vao!$B$22*(C33/Dau_vao!$B$19)+Dau_vao!$B$23*(C33/Dau_vao!$B$19)^2-Dau_vao!$B$24*(C33/Dau_vao!$B$19)^3)</f>
        <v>46.14530036614894</v>
      </c>
      <c r="G33" s="4">
        <f>60000*F33/(2*PI()*C33)</f>
        <v>408.3921772233282</v>
      </c>
      <c r="H33" s="4">
        <f>G33*Thiet_ke!$B$15*B33*Dau_vao!$B$10/Thiet_ke!$B$7</f>
        <v>23625.925604332013</v>
      </c>
      <c r="I33" s="4">
        <f>IF(D33&lt;=Dau_vao!$B$14,Dau_vao!$B$13,Dau_vao!$B$13*(1+D33^2/1500))</f>
        <v>0.015</v>
      </c>
      <c r="J33" s="4">
        <f>Thiet_ke!$B$8*D33^2</f>
        <v>8.838593774057976</v>
      </c>
      <c r="K33" s="4">
        <f>Thiet_ke!$B$3*I33+J33</f>
        <v>1140.422093774058</v>
      </c>
      <c r="L33" s="4">
        <f>(H33-J33)/Thiet_ke!$B$3</f>
        <v>0.31306245200497296</v>
      </c>
      <c r="M33" s="4">
        <f>1.05+0.05*B33^2</f>
        <v>3.5</v>
      </c>
      <c r="N33" s="4">
        <f>(MIN(H33,Thiet_ke!$B$16)-K33)/(Thiet_ke!$B$2*M33)</f>
        <v>0.8354264726196529</v>
      </c>
      <c r="O33" s="4">
        <f>IF(N33&gt;0,1/N33,"")</f>
        <v>1.1969934312283554</v>
      </c>
    </row>
    <row r="34" spans="1:15">
      <c r="A34">
        <v>1</v>
      </c>
      <c r="B34" s="4">
        <f>Thiet_ke!$B$20</f>
        <v>7.0</v>
      </c>
      <c r="C34" s="4">
        <f>Dau_vao!$B$21+(Dau_vao!$B$19-Dau_vao!$B$21)*32/200</f>
        <v>1088.0</v>
      </c>
      <c r="D34" s="4">
        <f>2*PI()*C34*Thiet_ke!$B$7/(60*Thiet_ke!$B$15*B34)</f>
        <v>1.7528150861484195</v>
      </c>
      <c r="E34" s="4">
        <f>D34*3.6</f>
        <v>6.310134310134311</v>
      </c>
      <c r="F34" s="4">
        <f>Thiet_ke!$B$12*(Dau_vao!$B$22*(C34/Dau_vao!$B$19)+Dau_vao!$B$23*(C34/Dau_vao!$B$19)^2-Dau_vao!$B$24*(C34/Dau_vao!$B$19)^3)</f>
        <v>46.64317531400637</v>
      </c>
      <c r="G34" s="4">
        <f>60000*F34/(2*PI()*C34)</f>
        <v>409.3837451870946</v>
      </c>
      <c r="H34" s="4">
        <f>G34*Thiet_ke!$B$15*B34*Dau_vao!$B$10/Thiet_ke!$B$7</f>
        <v>23683.28887486002</v>
      </c>
      <c r="I34" s="4">
        <f>IF(D34&lt;=Dau_vao!$B$14,Dau_vao!$B$13,Dau_vao!$B$13*(1+D34^2/1500))</f>
        <v>0.015</v>
      </c>
      <c r="J34" s="4">
        <f>Thiet_ke!$B$8*D34^2</f>
        <v>8.986655124221263</v>
      </c>
      <c r="K34" s="4">
        <f>Thiet_ke!$B$3*I34+J34</f>
        <v>1140.5701551242214</v>
      </c>
      <c r="L34" s="4">
        <f>(H34-J34)/Thiet_ke!$B$3</f>
        <v>0.3138208831217819</v>
      </c>
      <c r="M34" s="4">
        <f>1.05+0.05*B34^2</f>
        <v>3.5</v>
      </c>
      <c r="N34" s="4">
        <f>(MIN(H34,Thiet_ke!$B$16)-K34)/(Thiet_ke!$B$2*M34)</f>
        <v>0.8375522466927661</v>
      </c>
      <c r="O34" s="4">
        <f>IF(N34&gt;0,1/N34,"")</f>
        <v>1.1939553669024108</v>
      </c>
    </row>
    <row r="35" spans="1:15">
      <c r="A35">
        <v>1</v>
      </c>
      <c r="B35" s="4">
        <f>Thiet_ke!$B$20</f>
        <v>7.0</v>
      </c>
      <c r="C35" s="4">
        <f>Dau_vao!$B$21+(Dau_vao!$B$19-Dau_vao!$B$21)*33/200</f>
        <v>1097.0</v>
      </c>
      <c r="D35" s="4">
        <f>2*PI()*C35*Thiet_ke!$B$7/(60*Thiet_ke!$B$15*B35)</f>
        <v>1.767314475647809</v>
      </c>
      <c r="E35" s="4">
        <f>D35*3.6</f>
        <v>6.362332112332113</v>
      </c>
      <c r="F35" s="4">
        <f>Thiet_ke!$B$12*(Dau_vao!$B$22*(C35/Dau_vao!$B$19)+Dau_vao!$B$23*(C35/Dau_vao!$B$19)^2-Dau_vao!$B$24*(C35/Dau_vao!$B$19)^3)</f>
        <v>47.1417361955994</v>
      </c>
      <c r="G35" s="4">
        <f>60000*F35/(2*PI()*C35)</f>
        <v>410.3650141183463</v>
      </c>
      <c r="H35" s="4">
        <f>G35*Thiet_ke!$B$15*B35*Dau_vao!$B$10/Thiet_ke!$B$7</f>
        <v>23740.05633530753</v>
      </c>
      <c r="I35" s="4">
        <f>IF(D35&lt;=Dau_vao!$B$14,Dau_vao!$B$13,Dau_vao!$B$13*(1+D35^2/1500))</f>
        <v>0.015</v>
      </c>
      <c r="J35" s="4">
        <f>Thiet_ke!$B$8*D35^2</f>
        <v>9.1359463333153</v>
      </c>
      <c r="K35" s="4">
        <f>Thiet_ke!$B$3*I35+J35</f>
        <v>1140.7194463333155</v>
      </c>
      <c r="L35" s="4">
        <f>(H35-J35)/Thiet_ke!$B$3</f>
        <v>0.31457140002007206</v>
      </c>
      <c r="M35" s="4">
        <f>1.05+0.05*B35^2</f>
        <v>3.5</v>
      </c>
      <c r="N35" s="4">
        <f>(MIN(H35,Thiet_ke!$B$16)-K35)/(Thiet_ke!$B$2*M35)</f>
        <v>0.8396558383419734</v>
      </c>
      <c r="O35" s="4">
        <f>IF(N35&gt;0,1/N35,"")</f>
        <v>1.1909641478521131</v>
      </c>
    </row>
    <row r="36" spans="1:15">
      <c r="A36">
        <v>1</v>
      </c>
      <c r="B36" s="4">
        <f>Thiet_ke!$B$20</f>
        <v>7.0</v>
      </c>
      <c r="C36" s="4">
        <f>Dau_vao!$B$21+(Dau_vao!$B$19-Dau_vao!$B$21)*34/200</f>
        <v>1106.0</v>
      </c>
      <c r="D36" s="4">
        <f>2*PI()*C36*Thiet_ke!$B$7/(60*Thiet_ke!$B$15*B36)</f>
        <v>1.7818138651471984</v>
      </c>
      <c r="E36" s="4">
        <f>D36*3.6</f>
        <v>6.414529914529915</v>
      </c>
      <c r="F36" s="4">
        <f>Thiet_ke!$B$12*(Dau_vao!$B$22*(C36/Dau_vao!$B$19)+Dau_vao!$B$23*(C36/Dau_vao!$B$19)^2-Dau_vao!$B$24*(C36/Dau_vao!$B$19)^3)</f>
        <v>47.64095389109963</v>
      </c>
      <c r="G36" s="4">
        <f>60000*F36/(2*PI()*C36)</f>
        <v>411.33598401708343</v>
      </c>
      <c r="H36" s="4">
        <f>G36*Thiet_ke!$B$15*B36*Dau_vao!$B$10/Thiet_ke!$B$7</f>
        <v>23796.22798567453</v>
      </c>
      <c r="I36" s="4">
        <f>IF(D36&lt;=Dau_vao!$B$14,Dau_vao!$B$13,Dau_vao!$B$13*(1+D36^2/1500))</f>
        <v>0.015</v>
      </c>
      <c r="J36" s="4">
        <f>Thiet_ke!$B$8*D36^2</f>
        <v>9.286467401340087</v>
      </c>
      <c r="K36" s="4">
        <f>Thiet_ke!$B$3*I36+J36</f>
        <v>1140.8699674013403</v>
      </c>
      <c r="L36" s="4">
        <f>(H36-J36)/Thiet_ke!$B$3</f>
        <v>0.315314002699843</v>
      </c>
      <c r="M36" s="4">
        <f>1.05+0.05*B36^2</f>
        <v>3.5</v>
      </c>
      <c r="N36" s="4">
        <f>(MIN(H36,Thiet_ke!$B$16)-K36)/(Thiet_ke!$B$2*M36)</f>
        <v>0.8417372475672743</v>
      </c>
      <c r="O36" s="4">
        <f>IF(N36&gt;0,1/N36,"")</f>
        <v>1.1880191863792706</v>
      </c>
    </row>
    <row r="37" spans="1:15">
      <c r="A37">
        <v>1</v>
      </c>
      <c r="B37" s="4">
        <f>Thiet_ke!$B$20</f>
        <v>7.0</v>
      </c>
      <c r="C37" s="4">
        <f>Dau_vao!$B$21+(Dau_vao!$B$19-Dau_vao!$B$21)*35/200</f>
        <v>1115.0</v>
      </c>
      <c r="D37" s="4">
        <f>2*PI()*C37*Thiet_ke!$B$7/(60*Thiet_ke!$B$15*B37)</f>
        <v>1.796313254646588</v>
      </c>
      <c r="E37" s="4">
        <f>D37*3.6</f>
        <v>6.466727716727717</v>
      </c>
      <c r="F37" s="4">
        <f>Thiet_ke!$B$12*(Dau_vao!$B$22*(C37/Dau_vao!$B$19)+Dau_vao!$B$23*(C37/Dau_vao!$B$19)^2-Dau_vao!$B$24*(C37/Dau_vao!$B$19)^3)</f>
        <v>48.14079928067868</v>
      </c>
      <c r="G37" s="4">
        <f>60000*F37/(2*PI()*C37)</f>
        <v>412.29665488330613</v>
      </c>
      <c r="H37" s="4">
        <f>G37*Thiet_ke!$B$15*B37*Dau_vao!$B$10/Thiet_ke!$B$7</f>
        <v>23851.803825961048</v>
      </c>
      <c r="I37" s="4">
        <f>IF(D37&lt;=Dau_vao!$B$14,Dau_vao!$B$13,Dau_vao!$B$13*(1+D37^2/1500))</f>
        <v>0.015</v>
      </c>
      <c r="J37" s="4">
        <f>Thiet_ke!$B$8*D37^2</f>
        <v>9.438218328295628</v>
      </c>
      <c r="K37" s="4">
        <f>Thiet_ke!$B$3*I37+J37</f>
        <v>1141.0217183282957</v>
      </c>
      <c r="L37" s="4">
        <f>(H37-J37)/Thiet_ke!$B$3</f>
        <v>0.3160486911610953</v>
      </c>
      <c r="M37" s="4">
        <f>1.05+0.05*B37^2</f>
        <v>3.5</v>
      </c>
      <c r="N37" s="4">
        <f>(MIN(H37,Thiet_ke!$B$16)-K37)/(Thiet_ke!$B$2*M37)</f>
        <v>0.84379647436867</v>
      </c>
      <c r="O37" s="4">
        <f>IF(N37&gt;0,1/N37,"")</f>
        <v>1.1851199079116819</v>
      </c>
    </row>
    <row r="38" spans="1:15">
      <c r="A38">
        <v>1</v>
      </c>
      <c r="B38" s="4">
        <f>Thiet_ke!$B$20</f>
        <v>7.0</v>
      </c>
      <c r="C38" s="4">
        <f>Dau_vao!$B$21+(Dau_vao!$B$19-Dau_vao!$B$21)*36/200</f>
        <v>1124.0</v>
      </c>
      <c r="D38" s="4">
        <f>2*PI()*C38*Thiet_ke!$B$7/(60*Thiet_ke!$B$15*B38)</f>
        <v>1.8108126441459775</v>
      </c>
      <c r="E38" s="4">
        <f>D38*3.6</f>
        <v>6.518925518925519</v>
      </c>
      <c r="F38" s="4">
        <f>Thiet_ke!$B$12*(Dau_vao!$B$22*(C38/Dau_vao!$B$19)+Dau_vao!$B$23*(C38/Dau_vao!$B$19)^2-Dau_vao!$B$24*(C38/Dau_vao!$B$19)^3)</f>
        <v>48.64124324450813</v>
      </c>
      <c r="G38" s="4">
        <f>60000*F38/(2*PI()*C38)</f>
        <v>413.2470267170141</v>
      </c>
      <c r="H38" s="4">
        <f>G38*Thiet_ke!$B$15*B38*Dau_vao!$B$10/Thiet_ke!$B$7</f>
        <v>23906.78385616706</v>
      </c>
      <c r="I38" s="4">
        <f>IF(D38&lt;=Dau_vao!$B$14,Dau_vao!$B$13,Dau_vao!$B$13*(1+D38^2/1500))</f>
        <v>0.015</v>
      </c>
      <c r="J38" s="4">
        <f>Thiet_ke!$B$8*D38^2</f>
        <v>9.59119911418192</v>
      </c>
      <c r="K38" s="4">
        <f>Thiet_ke!$B$3*I38+J38</f>
        <v>1141.1746991141822</v>
      </c>
      <c r="L38" s="4">
        <f>(H38-J38)/Thiet_ke!$B$3</f>
        <v>0.3167754654038285</v>
      </c>
      <c r="M38" s="4">
        <f>1.05+0.05*B38^2</f>
        <v>3.5</v>
      </c>
      <c r="N38" s="4">
        <f>(MIN(H38,Thiet_ke!$B$16)-K38)/(Thiet_ke!$B$2*M38)</f>
        <v>0.8458335187461594</v>
      </c>
      <c r="O38" s="4">
        <f>IF(N38&gt;0,1/N38,"")</f>
        <v>1.1822657506909549</v>
      </c>
    </row>
    <row r="39" spans="1:15">
      <c r="A39">
        <v>1</v>
      </c>
      <c r="B39" s="4">
        <f>Thiet_ke!$B$20</f>
        <v>7.0</v>
      </c>
      <c r="C39" s="4">
        <f>Dau_vao!$B$21+(Dau_vao!$B$19-Dau_vao!$B$21)*37/200</f>
        <v>1133.0</v>
      </c>
      <c r="D39" s="4">
        <f>2*PI()*C39*Thiet_ke!$B$7/(60*Thiet_ke!$B$15*B39)</f>
        <v>1.8253120336453668</v>
      </c>
      <c r="E39" s="4">
        <f>D39*3.6</f>
        <v>6.571123321123321</v>
      </c>
      <c r="F39" s="4">
        <f>Thiet_ke!$B$12*(Dau_vao!$B$22*(C39/Dau_vao!$B$19)+Dau_vao!$B$23*(C39/Dau_vao!$B$19)^2-Dau_vao!$B$24*(C39/Dau_vao!$B$19)^3)</f>
        <v>49.1422566627596</v>
      </c>
      <c r="G39" s="4">
        <f>60000*F39/(2*PI()*C39)</f>
        <v>414.18709951820756</v>
      </c>
      <c r="H39" s="4">
        <f>G39*Thiet_ke!$B$15*B39*Dau_vao!$B$10/Thiet_ke!$B$7</f>
        <v>23961.168076292575</v>
      </c>
      <c r="I39" s="4">
        <f>IF(D39&lt;=Dau_vao!$B$14,Dau_vao!$B$13,Dau_vao!$B$13*(1+D39^2/1500))</f>
        <v>0.015</v>
      </c>
      <c r="J39" s="4">
        <f>Thiet_ke!$B$8*D39^2</f>
        <v>9.74540975899896</v>
      </c>
      <c r="K39" s="4">
        <f>Thiet_ke!$B$3*I39+J39</f>
        <v>1141.328909758999</v>
      </c>
      <c r="L39" s="4">
        <f>(H39-J39)/Thiet_ke!$B$3</f>
        <v>0.31749432542804273</v>
      </c>
      <c r="M39" s="4">
        <f>1.05+0.05*B39^2</f>
        <v>3.5</v>
      </c>
      <c r="N39" s="4">
        <f>(MIN(H39,Thiet_ke!$B$16)-K39)/(Thiet_ke!$B$2*M39)</f>
        <v>0.8478483806997428</v>
      </c>
      <c r="O39" s="4">
        <f>IF(N39&gt;0,1/N39,"")</f>
        <v>1.1794561654699205</v>
      </c>
    </row>
    <row r="40" spans="1:15">
      <c r="A40">
        <v>1</v>
      </c>
      <c r="B40" s="4">
        <f>Thiet_ke!$B$20</f>
        <v>7.0</v>
      </c>
      <c r="C40" s="4">
        <f>Dau_vao!$B$21+(Dau_vao!$B$19-Dau_vao!$B$21)*38/200</f>
        <v>1142.0</v>
      </c>
      <c r="D40" s="4">
        <f>2*PI()*C40*Thiet_ke!$B$7/(60*Thiet_ke!$B$15*B40)</f>
        <v>1.8398114231447562</v>
      </c>
      <c r="E40" s="4">
        <f>D40*3.6</f>
        <v>6.623321123321123</v>
      </c>
      <c r="F40" s="4">
        <f>Thiet_ke!$B$12*(Dau_vao!$B$22*(C40/Dau_vao!$B$19)+Dau_vao!$B$23*(C40/Dau_vao!$B$19)^2-Dau_vao!$B$24*(C40/Dau_vao!$B$19)^3)</f>
        <v>49.643810415604676</v>
      </c>
      <c r="G40" s="4">
        <f>60000*F40/(2*PI()*C40)</f>
        <v>415.11687328688635</v>
      </c>
      <c r="H40" s="4">
        <f>G40*Thiet_ke!$B$15*B40*Dau_vao!$B$10/Thiet_ke!$B$7</f>
        <v>24014.95648633759</v>
      </c>
      <c r="I40" s="4">
        <f>IF(D40&lt;=Dau_vao!$B$14,Dau_vao!$B$13,Dau_vao!$B$13*(1+D40^2/1500))</f>
        <v>0.015</v>
      </c>
      <c r="J40" s="4">
        <f>Thiet_ke!$B$8*D40^2</f>
        <v>9.900850262746754</v>
      </c>
      <c r="K40" s="4">
        <f>Thiet_ke!$B$3*I40+J40</f>
        <v>1141.4843502627468</v>
      </c>
      <c r="L40" s="4">
        <f>(H40-J40)/Thiet_ke!$B$3</f>
        <v>0.31820527123373804</v>
      </c>
      <c r="M40" s="4">
        <f>1.05+0.05*B40^2</f>
        <v>3.5</v>
      </c>
      <c r="N40" s="4">
        <f>(MIN(H40,Thiet_ke!$B$16)-K40)/(Thiet_ke!$B$2*M40)</f>
        <v>0.8498410602294201</v>
      </c>
      <c r="O40" s="4">
        <f>IF(N40&gt;0,1/N40,"")</f>
        <v>1.1766906152193253</v>
      </c>
    </row>
    <row r="41" spans="1:15">
      <c r="A41">
        <v>1</v>
      </c>
      <c r="B41" s="4">
        <f>Thiet_ke!$B$20</f>
        <v>7.0</v>
      </c>
      <c r="C41" s="4">
        <f>Dau_vao!$B$21+(Dau_vao!$B$19-Dau_vao!$B$21)*39/200</f>
        <v>1151.0</v>
      </c>
      <c r="D41" s="4">
        <f>2*PI()*C41*Thiet_ke!$B$7/(60*Thiet_ke!$B$15*B41)</f>
        <v>1.8543108126441459</v>
      </c>
      <c r="E41" s="4">
        <f>D41*3.6</f>
        <v>6.675518925518925</v>
      </c>
      <c r="F41" s="4">
        <f>Thiet_ke!$B$12*(Dau_vao!$B$22*(C41/Dau_vao!$B$19)+Dau_vao!$B$23*(C41/Dau_vao!$B$19)^2-Dau_vao!$B$24*(C41/Dau_vao!$B$19)^3)</f>
        <v>50.14587538321496</v>
      </c>
      <c r="G41" s="4">
        <f>60000*F41/(2*PI()*C41)</f>
        <v>416.03634802305055</v>
      </c>
      <c r="H41" s="4">
        <f>G41*Thiet_ke!$B$15*B41*Dau_vao!$B$10/Thiet_ke!$B$7</f>
        <v>24068.1490863021</v>
      </c>
      <c r="I41" s="4">
        <f>IF(D41&lt;=Dau_vao!$B$14,Dau_vao!$B$13,Dau_vao!$B$13*(1+D41^2/1500))</f>
        <v>0.015</v>
      </c>
      <c r="J41" s="4">
        <f>Thiet_ke!$B$8*D41^2</f>
        <v>10.057520625425305</v>
      </c>
      <c r="K41" s="4">
        <f>Thiet_ke!$B$3*I41+J41</f>
        <v>1141.6410206254254</v>
      </c>
      <c r="L41" s="4">
        <f>(H41-J41)/Thiet_ke!$B$3</f>
        <v>0.3189083028209143</v>
      </c>
      <c r="M41" s="4">
        <f>1.05+0.05*B41^2</f>
        <v>3.5</v>
      </c>
      <c r="N41" s="4">
        <f>(MIN(H41,Thiet_ke!$B$16)-K41)/(Thiet_ke!$B$2*M41)</f>
        <v>0.8518115573351913</v>
      </c>
      <c r="O41" s="4">
        <f>IF(N41&gt;0,1/N41,"")</f>
        <v>1.1739685748434803</v>
      </c>
    </row>
    <row r="42" spans="1:15">
      <c r="A42">
        <v>1</v>
      </c>
      <c r="B42" s="4">
        <f>Thiet_ke!$B$20</f>
        <v>7.0</v>
      </c>
      <c r="C42" s="4">
        <f>Dau_vao!$B$21+(Dau_vao!$B$19-Dau_vao!$B$21)*40/200</f>
        <v>1160.0</v>
      </c>
      <c r="D42" s="4">
        <f>2*PI()*C42*Thiet_ke!$B$7/(60*Thiet_ke!$B$15*B42)</f>
        <v>1.8688102021435353</v>
      </c>
      <c r="E42" s="4">
        <f>D42*3.6</f>
        <v>6.727716727716727</v>
      </c>
      <c r="F42" s="4">
        <f>Thiet_ke!$B$12*(Dau_vao!$B$22*(C42/Dau_vao!$B$19)+Dau_vao!$B$23*(C42/Dau_vao!$B$19)^2-Dau_vao!$B$24*(C42/Dau_vao!$B$19)^3)</f>
        <v>50.648422445762066</v>
      </c>
      <c r="G42" s="4">
        <f>60000*F42/(2*PI()*C42)</f>
        <v>416.9455237267002</v>
      </c>
      <c r="H42" s="4">
        <f>G42*Thiet_ke!$B$15*B42*Dau_vao!$B$10/Thiet_ke!$B$7</f>
        <v>24120.745876186123</v>
      </c>
      <c r="I42" s="4">
        <f>IF(D42&lt;=Dau_vao!$B$14,Dau_vao!$B$13,Dau_vao!$B$13*(1+D42^2/1500))</f>
        <v>0.015</v>
      </c>
      <c r="J42" s="4">
        <f>Thiet_ke!$B$8*D42^2</f>
        <v>10.215420847034602</v>
      </c>
      <c r="K42" s="4">
        <f>Thiet_ke!$B$3*I42+J42</f>
        <v>1141.7989208470349</v>
      </c>
      <c r="L42" s="4">
        <f>(H42-J42)/Thiet_ke!$B$3</f>
        <v>0.3196034201895718</v>
      </c>
      <c r="M42" s="4">
        <f>1.05+0.05*B42^2</f>
        <v>3.5</v>
      </c>
      <c r="N42" s="4">
        <f>(MIN(H42,Thiet_ke!$B$16)-K42)/(Thiet_ke!$B$2*M42)</f>
        <v>0.8537598720170569</v>
      </c>
      <c r="O42" s="4">
        <f>IF(N42&gt;0,1/N42,"")</f>
        <v>1.171289530904565</v>
      </c>
    </row>
    <row r="43" spans="1:15">
      <c r="A43">
        <v>1</v>
      </c>
      <c r="B43" s="4">
        <f>Thiet_ke!$B$20</f>
        <v>7.0</v>
      </c>
      <c r="C43" s="4">
        <f>Dau_vao!$B$21+(Dau_vao!$B$19-Dau_vao!$B$21)*41/200</f>
        <v>1169.0</v>
      </c>
      <c r="D43" s="4">
        <f>2*PI()*C43*Thiet_ke!$B$7/(60*Thiet_ke!$B$15*B43)</f>
        <v>1.8833095916429252</v>
      </c>
      <c r="E43" s="4">
        <f>D43*3.6</f>
        <v>6.779914529914531</v>
      </c>
      <c r="F43" s="4">
        <f>Thiet_ke!$B$12*(Dau_vao!$B$22*(C43/Dau_vao!$B$19)+Dau_vao!$B$23*(C43/Dau_vao!$B$19)^2-Dau_vao!$B$24*(C43/Dau_vao!$B$19)^3)</f>
        <v>51.151422483417576</v>
      </c>
      <c r="G43" s="4">
        <f>60000*F43/(2*PI()*C43)</f>
        <v>417.8444003978351</v>
      </c>
      <c r="H43" s="4">
        <f>G43*Thiet_ke!$B$15*B43*Dau_vao!$B$10/Thiet_ke!$B$7</f>
        <v>24172.746855989637</v>
      </c>
      <c r="I43" s="4">
        <f>IF(D43&lt;=Dau_vao!$B$14,Dau_vao!$B$13,Dau_vao!$B$13*(1+D43^2/1500))</f>
        <v>0.015</v>
      </c>
      <c r="J43" s="4">
        <f>Thiet_ke!$B$8*D43^2</f>
        <v>10.374550927574658</v>
      </c>
      <c r="K43" s="4">
        <f>Thiet_ke!$B$3*I43+J43</f>
        <v>1141.9580509275747</v>
      </c>
      <c r="L43" s="4">
        <f>(H43-J43)/Thiet_ke!$B$3</f>
        <v>0.32029062333971015</v>
      </c>
      <c r="M43" s="4">
        <f>1.05+0.05*B43^2</f>
        <v>3.5</v>
      </c>
      <c r="N43" s="4">
        <f>(MIN(H43,Thiet_ke!$B$16)-K43)/(Thiet_ke!$B$2*M43)</f>
        <v>0.8556860042750162</v>
      </c>
      <c r="O43" s="4">
        <f>IF(N43&gt;0,1/N43,"")</f>
        <v>1.1686529813552982</v>
      </c>
    </row>
    <row r="44" spans="1:15">
      <c r="A44">
        <v>1</v>
      </c>
      <c r="B44" s="4">
        <f>Thiet_ke!$B$20</f>
        <v>7.0</v>
      </c>
      <c r="C44" s="4">
        <f>Dau_vao!$B$21+(Dau_vao!$B$19-Dau_vao!$B$21)*42/200</f>
        <v>1178.0</v>
      </c>
      <c r="D44" s="4">
        <f>2*PI()*C44*Thiet_ke!$B$7/(60*Thiet_ke!$B$15*B44)</f>
        <v>1.8978089811423142</v>
      </c>
      <c r="E44" s="4">
        <f>D44*3.6</f>
        <v>6.832112332112331</v>
      </c>
      <c r="F44" s="4">
        <f>Thiet_ke!$B$12*(Dau_vao!$B$22*(C44/Dau_vao!$B$19)+Dau_vao!$B$23*(C44/Dau_vao!$B$19)^2-Dau_vao!$B$24*(C44/Dau_vao!$B$19)^3)</f>
        <v>51.65484637635312</v>
      </c>
      <c r="G44" s="4">
        <f>60000*F44/(2*PI()*C44)</f>
        <v>418.73297803645556</v>
      </c>
      <c r="H44" s="4">
        <f>G44*Thiet_ke!$B$15*B44*Dau_vao!$B$10/Thiet_ke!$B$7</f>
        <v>24224.152025712658</v>
      </c>
      <c r="I44" s="4">
        <f>IF(D44&lt;=Dau_vao!$B$14,Dau_vao!$B$13,Dau_vao!$B$13*(1+D44^2/1500))</f>
        <v>0.015</v>
      </c>
      <c r="J44" s="4">
        <f>Thiet_ke!$B$8*D44^2</f>
        <v>10.534910867045454</v>
      </c>
      <c r="K44" s="4">
        <f>Thiet_ke!$B$3*I44+J44</f>
        <v>1142.1184108670457</v>
      </c>
      <c r="L44" s="4">
        <f>(H44-J44)/Thiet_ke!$B$3</f>
        <v>0.32096991227132965</v>
      </c>
      <c r="M44" s="4">
        <f>1.05+0.05*B44^2</f>
        <v>3.5</v>
      </c>
      <c r="N44" s="4">
        <f>(MIN(H44,Thiet_ke!$B$16)-K44)/(Thiet_ke!$B$2*M44)</f>
        <v>0.8575899541090697</v>
      </c>
      <c r="O44" s="4">
        <f>IF(N44&gt;0,1/N44,"")</f>
        <v>1.1660584352796866</v>
      </c>
    </row>
    <row r="45" spans="1:15">
      <c r="A45">
        <v>1</v>
      </c>
      <c r="B45" s="4">
        <f>Thiet_ke!$B$20</f>
        <v>7.0</v>
      </c>
      <c r="C45" s="4">
        <f>Dau_vao!$B$21+(Dau_vao!$B$19-Dau_vao!$B$21)*43/200</f>
        <v>1187.0</v>
      </c>
      <c r="D45" s="4">
        <f>2*PI()*C45*Thiet_ke!$B$7/(60*Thiet_ke!$B$15*B45)</f>
        <v>1.912308370641704</v>
      </c>
      <c r="E45" s="4">
        <f>D45*3.6</f>
        <v>6.884310134310134</v>
      </c>
      <c r="F45" s="4">
        <f>Thiet_ke!$B$12*(Dau_vao!$B$22*(C45/Dau_vao!$B$19)+Dau_vao!$B$23*(C45/Dau_vao!$B$19)^2-Dau_vao!$B$24*(C45/Dau_vao!$B$19)^3)</f>
        <v>52.15866500474027</v>
      </c>
      <c r="G45" s="4">
        <f>60000*F45/(2*PI()*C45)</f>
        <v>419.61125664256133</v>
      </c>
      <c r="H45" s="4">
        <f>G45*Thiet_ke!$B$15*B45*Dau_vao!$B$10/Thiet_ke!$B$7</f>
        <v>24274.961385355182</v>
      </c>
      <c r="I45" s="4">
        <f>IF(D45&lt;=Dau_vao!$B$14,Dau_vao!$B$13,Dau_vao!$B$13*(1+D45^2/1500))</f>
        <v>0.015</v>
      </c>
      <c r="J45" s="4">
        <f>Thiet_ke!$B$8*D45^2</f>
        <v>10.696500665447012</v>
      </c>
      <c r="K45" s="4">
        <f>Thiet_ke!$B$3*I45+J45</f>
        <v>1142.2800006654472</v>
      </c>
      <c r="L45" s="4">
        <f>(H45-J45)/Thiet_ke!$B$3</f>
        <v>0.32164128698443023</v>
      </c>
      <c r="M45" s="4">
        <f>1.05+0.05*B45^2</f>
        <v>3.5</v>
      </c>
      <c r="N45" s="4">
        <f>(MIN(H45,Thiet_ke!$B$16)-K45)/(Thiet_ke!$B$2*M45)</f>
        <v>0.8594717215192174</v>
      </c>
      <c r="O45" s="4">
        <f>IF(N45&gt;0,1/N45,"")</f>
        <v>1.1635054126415962</v>
      </c>
    </row>
    <row r="46" spans="1:15">
      <c r="A46">
        <v>1</v>
      </c>
      <c r="B46" s="4">
        <f>Thiet_ke!$B$20</f>
        <v>7.0</v>
      </c>
      <c r="C46" s="4">
        <f>Dau_vao!$B$21+(Dau_vao!$B$19-Dau_vao!$B$21)*44/200</f>
        <v>1196.0</v>
      </c>
      <c r="D46" s="4">
        <f>2*PI()*C46*Thiet_ke!$B$7/(60*Thiet_ke!$B$15*B46)</f>
        <v>1.9268077601410933</v>
      </c>
      <c r="E46" s="4">
        <f>D46*3.6</f>
        <v>6.936507936507936</v>
      </c>
      <c r="F46" s="4">
        <f>Thiet_ke!$B$12*(Dau_vao!$B$22*(C46/Dau_vao!$B$19)+Dau_vao!$B$23*(C46/Dau_vao!$B$19)^2-Dau_vao!$B$24*(C46/Dau_vao!$B$19)^3)</f>
        <v>52.66284924875066</v>
      </c>
      <c r="G46" s="4">
        <f>60000*F46/(2*PI()*C46)</f>
        <v>420.4792362161526</v>
      </c>
      <c r="H46" s="4">
        <f>G46*Thiet_ke!$B$15*B46*Dau_vao!$B$10/Thiet_ke!$B$7</f>
        <v>24325.17493491719</v>
      </c>
      <c r="I46" s="4">
        <f>IF(D46&lt;=Dau_vao!$B$14,Dau_vao!$B$13,Dau_vao!$B$13*(1+D46^2/1500))</f>
        <v>0.015</v>
      </c>
      <c r="J46" s="4">
        <f>Thiet_ke!$B$8*D46^2</f>
        <v>10.859320322779316</v>
      </c>
      <c r="K46" s="4">
        <f>Thiet_ke!$B$3*I46+J46</f>
        <v>1142.4428203227794</v>
      </c>
      <c r="L46" s="4">
        <f>(H46-J46)/Thiet_ke!$B$3</f>
        <v>0.3223047474790116</v>
      </c>
      <c r="M46" s="4">
        <f>1.05+0.05*B46^2</f>
        <v>3.5</v>
      </c>
      <c r="N46" s="4">
        <f>(MIN(H46,Thiet_ke!$B$16)-K46)/(Thiet_ke!$B$2*M46)</f>
        <v>0.8613313065054583</v>
      </c>
      <c r="O46" s="4">
        <f>IF(N46&gt;0,1/N46,"")</f>
        <v>1.1609934440408767</v>
      </c>
    </row>
    <row r="47" spans="1:15">
      <c r="A47">
        <v>1</v>
      </c>
      <c r="B47" s="4">
        <f>Thiet_ke!$B$20</f>
        <v>7.0</v>
      </c>
      <c r="C47" s="4">
        <f>Dau_vao!$B$21+(Dau_vao!$B$19-Dau_vao!$B$21)*45/200</f>
        <v>1205.0</v>
      </c>
      <c r="D47" s="4">
        <f>2*PI()*C47*Thiet_ke!$B$7/(60*Thiet_ke!$B$15*B47)</f>
        <v>1.9413071496404828</v>
      </c>
      <c r="E47" s="4">
        <f>D47*3.6</f>
        <v>6.988705738705738</v>
      </c>
      <c r="F47" s="4">
        <f>Thiet_ke!$B$12*(Dau_vao!$B$22*(C47/Dau_vao!$B$19)+Dau_vao!$B$23*(C47/Dau_vao!$B$19)^2-Dau_vao!$B$24*(C47/Dau_vao!$B$19)^3)</f>
        <v>53.16736998855586</v>
      </c>
      <c r="G47" s="4">
        <f>60000*F47/(2*PI()*C47)</f>
        <v>421.3369167572292</v>
      </c>
      <c r="H47" s="4">
        <f>G47*Thiet_ke!$B$15*B47*Dau_vao!$B$10/Thiet_ke!$B$7</f>
        <v>24374.792674398726</v>
      </c>
      <c r="I47" s="4">
        <f>IF(D47&lt;=Dau_vao!$B$14,Dau_vao!$B$13,Dau_vao!$B$13*(1+D47^2/1500))</f>
        <v>0.015</v>
      </c>
      <c r="J47" s="4">
        <f>Thiet_ke!$B$8*D47^2</f>
        <v>11.023369839042374</v>
      </c>
      <c r="K47" s="4">
        <f>Thiet_ke!$B$3*I47+J47</f>
        <v>1142.6068698390425</v>
      </c>
      <c r="L47" s="4">
        <f>(H47-J47)/Thiet_ke!$B$3</f>
        <v>0.32296029375507435</v>
      </c>
      <c r="M47" s="4">
        <f>1.05+0.05*B47^2</f>
        <v>3.5</v>
      </c>
      <c r="N47" s="4">
        <f>(MIN(H47,Thiet_ke!$B$16)-K47)/(Thiet_ke!$B$2*M47)</f>
        <v>0.8631687090677944</v>
      </c>
      <c r="O47" s="4">
        <f>IF(N47&gt;0,1/N47,"")</f>
        <v>1.158522070476791</v>
      </c>
    </row>
    <row r="48" spans="1:15">
      <c r="A48">
        <v>1</v>
      </c>
      <c r="B48" s="4">
        <f>Thiet_ke!$B$20</f>
        <v>7.0</v>
      </c>
      <c r="C48" s="4">
        <f>Dau_vao!$B$21+(Dau_vao!$B$19-Dau_vao!$B$21)*46/200</f>
        <v>1214.0</v>
      </c>
      <c r="D48" s="4">
        <f>2*PI()*C48*Thiet_ke!$B$7/(60*Thiet_ke!$B$15*B48)</f>
        <v>1.9558065391398725</v>
      </c>
      <c r="E48" s="4">
        <f>D48*3.6</f>
        <v>7.040903540903541</v>
      </c>
      <c r="F48" s="4">
        <f>Thiet_ke!$B$12*(Dau_vao!$B$22*(C48/Dau_vao!$B$19)+Dau_vao!$B$23*(C48/Dau_vao!$B$19)^2-Dau_vao!$B$24*(C48/Dau_vao!$B$19)^3)</f>
        <v>53.67219810432749</v>
      </c>
      <c r="G48" s="4">
        <f>60000*F48/(2*PI()*C48)</f>
        <v>422.1842982657912</v>
      </c>
      <c r="H48" s="4">
        <f>G48*Thiet_ke!$B$15*B48*Dau_vao!$B$10/Thiet_ke!$B$7</f>
        <v>24423.814603799754</v>
      </c>
      <c r="I48" s="4">
        <f>IF(D48&lt;=Dau_vao!$B$14,Dau_vao!$B$13,Dau_vao!$B$13*(1+D48^2/1500))</f>
        <v>0.015</v>
      </c>
      <c r="J48" s="4">
        <f>Thiet_ke!$B$8*D48^2</f>
        <v>11.188649214236186</v>
      </c>
      <c r="K48" s="4">
        <f>Thiet_ke!$B$3*I48+J48</f>
        <v>1142.7721492142364</v>
      </c>
      <c r="L48" s="4">
        <f>(H48-J48)/Thiet_ke!$B$3</f>
        <v>0.3236079258126181</v>
      </c>
      <c r="M48" s="4">
        <f>1.05+0.05*B48^2</f>
        <v>3.5</v>
      </c>
      <c r="N48" s="4">
        <f>(MIN(H48,Thiet_ke!$B$16)-K48)/(Thiet_ke!$B$2*M48)</f>
        <v>0.8649839292062239</v>
      </c>
      <c r="O48" s="4">
        <f>IF(N48&gt;0,1/N48,"")</f>
        <v>1.1560908431185273</v>
      </c>
    </row>
    <row r="49" spans="1:15">
      <c r="A49">
        <v>1</v>
      </c>
      <c r="B49" s="4">
        <f>Thiet_ke!$B$20</f>
        <v>7.0</v>
      </c>
      <c r="C49" s="4">
        <f>Dau_vao!$B$21+(Dau_vao!$B$19-Dau_vao!$B$21)*47/200</f>
        <v>1223.0</v>
      </c>
      <c r="D49" s="4">
        <f>2*PI()*C49*Thiet_ke!$B$7/(60*Thiet_ke!$B$15*B49)</f>
        <v>1.970305928639262</v>
      </c>
      <c r="E49" s="4">
        <f>D49*3.6</f>
        <v>7.093101343101343</v>
      </c>
      <c r="F49" s="4">
        <f>Thiet_ke!$B$12*(Dau_vao!$B$22*(C49/Dau_vao!$B$19)+Dau_vao!$B$23*(C49/Dau_vao!$B$19)^2-Dau_vao!$B$24*(C49/Dau_vao!$B$19)^3)</f>
        <v>54.177304476237154</v>
      </c>
      <c r="G49" s="4">
        <f>60000*F49/(2*PI()*C49)</f>
        <v>423.02138074183864</v>
      </c>
      <c r="H49" s="4">
        <f>G49*Thiet_ke!$B$15*B49*Dau_vao!$B$10/Thiet_ke!$B$7</f>
        <v>24472.240723120274</v>
      </c>
      <c r="I49" s="4">
        <f>IF(D49&lt;=Dau_vao!$B$14,Dau_vao!$B$13,Dau_vao!$B$13*(1+D49^2/1500))</f>
        <v>0.015</v>
      </c>
      <c r="J49" s="4">
        <f>Thiet_ke!$B$8*D49^2</f>
        <v>11.355158448360747</v>
      </c>
      <c r="K49" s="4">
        <f>Thiet_ke!$B$3*I49+J49</f>
        <v>1142.938658448361</v>
      </c>
      <c r="L49" s="4">
        <f>(H49-J49)/Thiet_ke!$B$3</f>
        <v>0.3242476436516427</v>
      </c>
      <c r="M49" s="4">
        <f>1.05+0.05*B49^2</f>
        <v>3.5</v>
      </c>
      <c r="N49" s="4">
        <f>(MIN(H49,Thiet_ke!$B$16)-K49)/(Thiet_ke!$B$2*M49)</f>
        <v>0.8667769669207472</v>
      </c>
      <c r="O49" s="4">
        <f>IF(N49&gt;0,1/N49,"")</f>
        <v>1.1536993230825363</v>
      </c>
    </row>
    <row r="50" spans="1:15">
      <c r="A50">
        <v>1</v>
      </c>
      <c r="B50" s="4">
        <f>Thiet_ke!$B$20</f>
        <v>7.0</v>
      </c>
      <c r="C50" s="4">
        <f>Dau_vao!$B$21+(Dau_vao!$B$19-Dau_vao!$B$21)*48/200</f>
        <v>1232.0</v>
      </c>
      <c r="D50" s="4">
        <f>2*PI()*C50*Thiet_ke!$B$7/(60*Thiet_ke!$B$15*B50)</f>
        <v>1.9848053181386514</v>
      </c>
      <c r="E50" s="4">
        <f>D50*3.6</f>
        <v>7.145299145299145</v>
      </c>
      <c r="F50" s="4">
        <f>Thiet_ke!$B$12*(Dau_vao!$B$22*(C50/Dau_vao!$B$19)+Dau_vao!$B$23*(C50/Dau_vao!$B$19)^2-Dau_vao!$B$24*(C50/Dau_vao!$B$19)^3)</f>
        <v>54.682659984456436</v>
      </c>
      <c r="G50" s="4">
        <f>60000*F50/(2*PI()*C50)</f>
        <v>423.84816418537145</v>
      </c>
      <c r="H50" s="4">
        <f>G50*Thiet_ke!$B$15*B50*Dau_vao!$B$10/Thiet_ke!$B$7</f>
        <v>24520.071032360305</v>
      </c>
      <c r="I50" s="4">
        <f>IF(D50&lt;=Dau_vao!$B$14,Dau_vao!$B$13,Dau_vao!$B$13*(1+D50^2/1500))</f>
        <v>0.015</v>
      </c>
      <c r="J50" s="4">
        <f>Thiet_ke!$B$8*D50^2</f>
        <v>11.522897541416059</v>
      </c>
      <c r="K50" s="4">
        <f>Thiet_ke!$B$3*I50+J50</f>
        <v>1143.1063975414163</v>
      </c>
      <c r="L50" s="4">
        <f>(H50-J50)/Thiet_ke!$B$3</f>
        <v>0.3248794472721485</v>
      </c>
      <c r="M50" s="4">
        <f>1.05+0.05*B50^2</f>
        <v>3.5</v>
      </c>
      <c r="N50" s="4">
        <f>(MIN(H50,Thiet_ke!$B$16)-K50)/(Thiet_ke!$B$2*M50)</f>
        <v>0.8685478222113651</v>
      </c>
      <c r="O50" s="4">
        <f>IF(N50&gt;0,1/N50,"")</f>
        <v>1.1513470812164968</v>
      </c>
    </row>
    <row r="51" spans="1:15">
      <c r="A51">
        <v>1</v>
      </c>
      <c r="B51" s="4">
        <f>Thiet_ke!$B$20</f>
        <v>7.0</v>
      </c>
      <c r="C51" s="4">
        <f>Dau_vao!$B$21+(Dau_vao!$B$19-Dau_vao!$B$21)*49/200</f>
        <v>1241.0</v>
      </c>
      <c r="D51" s="4">
        <f>2*PI()*C51*Thiet_ke!$B$7/(60*Thiet_ke!$B$15*B51)</f>
        <v>1.9993047076380408</v>
      </c>
      <c r="E51" s="4">
        <f>D51*3.6</f>
        <v>7.197496947496947</v>
      </c>
      <c r="F51" s="4">
        <f>Thiet_ke!$B$12*(Dau_vao!$B$22*(C51/Dau_vao!$B$19)+Dau_vao!$B$23*(C51/Dau_vao!$B$19)^2-Dau_vao!$B$24*(C51/Dau_vao!$B$19)^3)</f>
        <v>55.188235509156954</v>
      </c>
      <c r="G51" s="4">
        <f>60000*F51/(2*PI()*C51)</f>
        <v>424.66464859638967</v>
      </c>
      <c r="H51" s="4">
        <f>G51*Thiet_ke!$B$15*B51*Dau_vao!$B$10/Thiet_ke!$B$7</f>
        <v>24567.305531519836</v>
      </c>
      <c r="I51" s="4">
        <f>IF(D51&lt;=Dau_vao!$B$14,Dau_vao!$B$13,Dau_vao!$B$13*(1+D51^2/1500))</f>
        <v>0.015</v>
      </c>
      <c r="J51" s="4">
        <f>Thiet_ke!$B$8*D51^2</f>
        <v>11.691866493402124</v>
      </c>
      <c r="K51" s="4">
        <f>Thiet_ke!$B$3*I51+J51</f>
        <v>1143.2753664934023</v>
      </c>
      <c r="L51" s="4">
        <f>(H51-J51)/Thiet_ke!$B$3</f>
        <v>0.3255033366741354</v>
      </c>
      <c r="M51" s="4">
        <f>1.05+0.05*B51^2</f>
        <v>3.5</v>
      </c>
      <c r="N51" s="4">
        <f>(MIN(H51,Thiet_ke!$B$16)-K51)/(Thiet_ke!$B$2*M51)</f>
        <v>0.8702964950780767</v>
      </c>
      <c r="O51" s="4">
        <f>IF(N51&gt;0,1/N51,"")</f>
        <v>1.1490336978896913</v>
      </c>
    </row>
    <row r="52" spans="1:15">
      <c r="A52">
        <v>1</v>
      </c>
      <c r="B52" s="4">
        <f>Thiet_ke!$B$20</f>
        <v>7.0</v>
      </c>
      <c r="C52" s="4">
        <f>Dau_vao!$B$21+(Dau_vao!$B$19-Dau_vao!$B$21)*50/200</f>
        <v>1250.0</v>
      </c>
      <c r="D52" s="4">
        <f>2*PI()*C52*Thiet_ke!$B$7/(60*Thiet_ke!$B$15*B52)</f>
        <v>2.0138040971374305</v>
      </c>
      <c r="E52" s="4">
        <f>D52*3.6</f>
        <v>7.24969474969475</v>
      </c>
      <c r="F52" s="4">
        <f>Thiet_ke!$B$12*(Dau_vao!$B$22*(C52/Dau_vao!$B$19)+Dau_vao!$B$23*(C52/Dau_vao!$B$19)^2-Dau_vao!$B$24*(C52/Dau_vao!$B$19)^3)</f>
        <v>55.69400193051032</v>
      </c>
      <c r="G52" s="4">
        <f>60000*F52/(2*PI()*C52)</f>
        <v>425.47083397489337</v>
      </c>
      <c r="H52" s="4">
        <f>G52*Thiet_ke!$B$15*B52*Dau_vao!$B$10/Thiet_ke!$B$7</f>
        <v>24613.944220598874</v>
      </c>
      <c r="I52" s="4">
        <f>IF(D52&lt;=Dau_vao!$B$14,Dau_vao!$B$13,Dau_vao!$B$13*(1+D52^2/1500))</f>
        <v>0.015</v>
      </c>
      <c r="J52" s="4">
        <f>Thiet_ke!$B$8*D52^2</f>
        <v>11.862065304318945</v>
      </c>
      <c r="K52" s="4">
        <f>Thiet_ke!$B$3*I52+J52</f>
        <v>1143.4455653043192</v>
      </c>
      <c r="L52" s="4">
        <f>(H52-J52)/Thiet_ke!$B$3</f>
        <v>0.32611931185760334</v>
      </c>
      <c r="M52" s="4">
        <f>1.05+0.05*B52^2</f>
        <v>3.5</v>
      </c>
      <c r="N52" s="4">
        <f>(MIN(H52,Thiet_ke!$B$16)-K52)/(Thiet_ke!$B$2*M52)</f>
        <v>0.8720229855208826</v>
      </c>
      <c r="O52" s="4">
        <f>IF(N52&gt;0,1/N52,"")</f>
        <v>1.1467587627895763</v>
      </c>
    </row>
    <row r="53" spans="1:15">
      <c r="A53">
        <v>1</v>
      </c>
      <c r="B53" s="4">
        <f>Thiet_ke!$B$20</f>
        <v>7.0</v>
      </c>
      <c r="C53" s="4">
        <f>Dau_vao!$B$21+(Dau_vao!$B$19-Dau_vao!$B$21)*51/200</f>
        <v>1259.0</v>
      </c>
      <c r="D53" s="4">
        <f>2*PI()*C53*Thiet_ke!$B$7/(60*Thiet_ke!$B$15*B53)</f>
        <v>2.02830348663682</v>
      </c>
      <c r="E53" s="4">
        <f>D53*3.6</f>
        <v>7.301892551892552</v>
      </c>
      <c r="F53" s="4">
        <f>Thiet_ke!$B$12*(Dau_vao!$B$22*(C53/Dau_vao!$B$19)+Dau_vao!$B$23*(C53/Dau_vao!$B$19)^2-Dau_vao!$B$24*(C53/Dau_vao!$B$19)^3)</f>
        <v>56.199930128688095</v>
      </c>
      <c r="G53" s="4">
        <f>60000*F53/(2*PI()*C53)</f>
        <v>426.2667203208824</v>
      </c>
      <c r="H53" s="4">
        <f>G53*Thiet_ke!$B$15*B53*Dau_vao!$B$10/Thiet_ke!$B$7</f>
        <v>24659.9870995974</v>
      </c>
      <c r="I53" s="4">
        <f>IF(D53&lt;=Dau_vao!$B$14,Dau_vao!$B$13,Dau_vao!$B$13*(1+D53^2/1500))</f>
        <v>0.015</v>
      </c>
      <c r="J53" s="4">
        <f>Thiet_ke!$B$8*D53^2</f>
        <v>12.033493974166511</v>
      </c>
      <c r="K53" s="4">
        <f>Thiet_ke!$B$3*I53+J53</f>
        <v>1143.6169939741667</v>
      </c>
      <c r="L53" s="4">
        <f>(H53-J53)/Thiet_ke!$B$3</f>
        <v>0.3267273728225522</v>
      </c>
      <c r="M53" s="4">
        <f>1.05+0.05*B53^2</f>
        <v>3.5</v>
      </c>
      <c r="N53" s="4">
        <f>(MIN(H53,Thiet_ke!$B$16)-K53)/(Thiet_ke!$B$2*M53)</f>
        <v>0.8737272935397821</v>
      </c>
      <c r="O53" s="4">
        <f>IF(N53&gt;0,1/N53,"")</f>
        <v>1.1445218747243686</v>
      </c>
    </row>
    <row r="54" spans="1:15">
      <c r="A54">
        <v>1</v>
      </c>
      <c r="B54" s="4">
        <f>Thiet_ke!$B$20</f>
        <v>7.0</v>
      </c>
      <c r="C54" s="4">
        <f>Dau_vao!$B$21+(Dau_vao!$B$19-Dau_vao!$B$21)*52/200</f>
        <v>1268.0</v>
      </c>
      <c r="D54" s="4">
        <f>2*PI()*C54*Thiet_ke!$B$7/(60*Thiet_ke!$B$15*B54)</f>
        <v>2.0428028761362094</v>
      </c>
      <c r="E54" s="4">
        <f>D54*3.6</f>
        <v>7.354090354090354</v>
      </c>
      <c r="F54" s="4">
        <f>Thiet_ke!$B$12*(Dau_vao!$B$22*(C54/Dau_vao!$B$19)+Dau_vao!$B$23*(C54/Dau_vao!$B$19)^2-Dau_vao!$B$24*(C54/Dau_vao!$B$19)^3)</f>
        <v>56.70599098386193</v>
      </c>
      <c r="G54" s="4">
        <f>60000*F54/(2*PI()*C54)</f>
        <v>427.0523076343569</v>
      </c>
      <c r="H54" s="4">
        <f>G54*Thiet_ke!$B$15*B54*Dau_vao!$B$10/Thiet_ke!$B$7</f>
        <v>24705.434168515432</v>
      </c>
      <c r="I54" s="4">
        <f>IF(D54&lt;=Dau_vao!$B$14,Dau_vao!$B$13,Dau_vao!$B$13*(1+D54^2/1500))</f>
        <v>0.015</v>
      </c>
      <c r="J54" s="4">
        <f>Thiet_ke!$B$8*D54^2</f>
        <v>12.206152502944832</v>
      </c>
      <c r="K54" s="4">
        <f>Thiet_ke!$B$3*I54+J54</f>
        <v>1143.789652502945</v>
      </c>
      <c r="L54" s="4">
        <f>(H54-J54)/Thiet_ke!$B$3</f>
        <v>0.3273275195689821</v>
      </c>
      <c r="M54" s="4">
        <f>1.05+0.05*B54^2</f>
        <v>3.5</v>
      </c>
      <c r="N54" s="4">
        <f>(MIN(H54,Thiet_ke!$B$16)-K54)/(Thiet_ke!$B$2*M54)</f>
        <v>0.8754094191347757</v>
      </c>
      <c r="O54" s="4">
        <f>IF(N54&gt;0,1/N54,"")</f>
        <v>1.1423226414314405</v>
      </c>
    </row>
    <row r="55" spans="1:15">
      <c r="A55">
        <v>1</v>
      </c>
      <c r="B55" s="4">
        <f>Thiet_ke!$B$20</f>
        <v>7.0</v>
      </c>
      <c r="C55" s="4">
        <f>Dau_vao!$B$21+(Dau_vao!$B$19-Dau_vao!$B$21)*53/200</f>
        <v>1277.0</v>
      </c>
      <c r="D55" s="4">
        <f>2*PI()*C55*Thiet_ke!$B$7/(60*Thiet_ke!$B$15*B55)</f>
        <v>2.057302265635599</v>
      </c>
      <c r="E55" s="4">
        <f>D55*3.6</f>
        <v>7.406288156288156</v>
      </c>
      <c r="F55" s="4">
        <f>Thiet_ke!$B$12*(Dau_vao!$B$22*(C55/Dau_vao!$B$19)+Dau_vao!$B$23*(C55/Dau_vao!$B$19)^2-Dau_vao!$B$24*(C55/Dau_vao!$B$19)^3)</f>
        <v>57.212155376203384</v>
      </c>
      <c r="G55" s="4">
        <f>60000*F55/(2*PI()*C55)</f>
        <v>427.8275959153167</v>
      </c>
      <c r="H55" s="4">
        <f>G55*Thiet_ke!$B$15*B55*Dau_vao!$B$10/Thiet_ke!$B$7</f>
        <v>24750.28542735297</v>
      </c>
      <c r="I55" s="4">
        <f>IF(D55&lt;=Dau_vao!$B$14,Dau_vao!$B$13,Dau_vao!$B$13*(1+D55^2/1500))</f>
        <v>0.015</v>
      </c>
      <c r="J55" s="4">
        <f>Thiet_ke!$B$8*D55^2</f>
        <v>12.380040890653904</v>
      </c>
      <c r="K55" s="4">
        <f>Thiet_ke!$B$3*I55+J55</f>
        <v>1143.963540890654</v>
      </c>
      <c r="L55" s="4">
        <f>(H55-J55)/Thiet_ke!$B$3</f>
        <v>0.32791975209689317</v>
      </c>
      <c r="M55" s="4">
        <f>1.05+0.05*B55^2</f>
        <v>3.5</v>
      </c>
      <c r="N55" s="4">
        <f>(MIN(H55,Thiet_ke!$B$16)-K55)/(Thiet_ke!$B$2*M55)</f>
        <v>0.8770693623058635</v>
      </c>
      <c r="O55" s="4">
        <f>IF(N55&gt;0,1/N55,"")</f>
        <v>1.1401606793913597</v>
      </c>
    </row>
    <row r="56" spans="1:15">
      <c r="A56">
        <v>1</v>
      </c>
      <c r="B56" s="4">
        <f>Thiet_ke!$B$20</f>
        <v>7.0</v>
      </c>
      <c r="C56" s="4">
        <f>Dau_vao!$B$21+(Dau_vao!$B$19-Dau_vao!$B$21)*54/200</f>
        <v>1286.0</v>
      </c>
      <c r="D56" s="4">
        <f>2*PI()*C56*Thiet_ke!$B$7/(60*Thiet_ke!$B$15*B56)</f>
        <v>2.0718016551349883</v>
      </c>
      <c r="E56" s="4">
        <f>D56*3.6</f>
        <v>7.458485958485958</v>
      </c>
      <c r="F56" s="4">
        <f>Thiet_ke!$B$12*(Dau_vao!$B$22*(C56/Dau_vao!$B$19)+Dau_vao!$B$23*(C56/Dau_vao!$B$19)^2-Dau_vao!$B$24*(C56/Dau_vao!$B$19)^3)</f>
        <v>57.71839418588409</v>
      </c>
      <c r="G56" s="4">
        <f>60000*F56/(2*PI()*C56)</f>
        <v>428.592585163762</v>
      </c>
      <c r="H56" s="4">
        <f>G56*Thiet_ke!$B$15*B56*Dau_vao!$B$10/Thiet_ke!$B$7</f>
        <v>24794.540876110004</v>
      </c>
      <c r="I56" s="4">
        <f>IF(D56&lt;=Dau_vao!$B$14,Dau_vao!$B$13,Dau_vao!$B$13*(1+D56^2/1500))</f>
        <v>0.015</v>
      </c>
      <c r="J56" s="4">
        <f>Thiet_ke!$B$8*D56^2</f>
        <v>12.555159137293726</v>
      </c>
      <c r="K56" s="4">
        <f>Thiet_ke!$B$3*I56+J56</f>
        <v>1144.1386591372939</v>
      </c>
      <c r="L56" s="4">
        <f>(H56-J56)/Thiet_ke!$B$3</f>
        <v>0.3285040704062852</v>
      </c>
      <c r="M56" s="4">
        <f>1.05+0.05*B56^2</f>
        <v>3.5</v>
      </c>
      <c r="N56" s="4">
        <f>(MIN(H56,Thiet_ke!$B$16)-K56)/(Thiet_ke!$B$2*M56)</f>
        <v>0.8787071230530452</v>
      </c>
      <c r="O56" s="4">
        <f>IF(N56&gt;0,1/N56,"")</f>
        <v>1.1380356136473844</v>
      </c>
    </row>
    <row r="57" spans="1:15">
      <c r="A57">
        <v>1</v>
      </c>
      <c r="B57" s="4">
        <f>Thiet_ke!$B$20</f>
        <v>7.0</v>
      </c>
      <c r="C57" s="4">
        <f>Dau_vao!$B$21+(Dau_vao!$B$19-Dau_vao!$B$21)*55/200</f>
        <v>1295.0</v>
      </c>
      <c r="D57" s="4">
        <f>2*PI()*C57*Thiet_ke!$B$7/(60*Thiet_ke!$B$15*B57)</f>
        <v>2.0863010446343777</v>
      </c>
      <c r="E57" s="4">
        <f>D57*3.6</f>
        <v>7.51068376068376</v>
      </c>
      <c r="F57" s="4">
        <f>Thiet_ke!$B$12*(Dau_vao!$B$22*(C57/Dau_vao!$B$19)+Dau_vao!$B$23*(C57/Dau_vao!$B$19)^2-Dau_vao!$B$24*(C57/Dau_vao!$B$19)^3)</f>
        <v>58.22467829307563</v>
      </c>
      <c r="G57" s="4">
        <f>60000*F57/(2*PI()*C57)</f>
        <v>429.3472753796926</v>
      </c>
      <c r="H57" s="4">
        <f>G57*Thiet_ke!$B$15*B57*Dau_vao!$B$10/Thiet_ke!$B$7</f>
        <v>24838.200514786546</v>
      </c>
      <c r="I57" s="4">
        <f>IF(D57&lt;=Dau_vao!$B$14,Dau_vao!$B$13,Dau_vao!$B$13*(1+D57^2/1500))</f>
        <v>0.015</v>
      </c>
      <c r="J57" s="4">
        <f>Thiet_ke!$B$8*D57^2</f>
        <v>12.7315072428643</v>
      </c>
      <c r="K57" s="4">
        <f>Thiet_ke!$B$3*I57+J57</f>
        <v>1144.3150072428646</v>
      </c>
      <c r="L57" s="4">
        <f>(H57-J57)/Thiet_ke!$B$3</f>
        <v>0.3290804744971583</v>
      </c>
      <c r="M57" s="4">
        <f>1.05+0.05*B57^2</f>
        <v>3.5</v>
      </c>
      <c r="N57" s="4">
        <f>(MIN(H57,Thiet_ke!$B$16)-K57)/(Thiet_ke!$B$2*M57)</f>
        <v>0.8803227013763211</v>
      </c>
      <c r="O57" s="4">
        <f>IF(N57&gt;0,1/N57,"")</f>
        <v>1.135947077630251</v>
      </c>
    </row>
    <row r="58" spans="1:15">
      <c r="A58">
        <v>1</v>
      </c>
      <c r="B58" s="4">
        <f>Thiet_ke!$B$20</f>
        <v>7.0</v>
      </c>
      <c r="C58" s="4">
        <f>Dau_vao!$B$21+(Dau_vao!$B$19-Dau_vao!$B$21)*56/200</f>
        <v>1304.0</v>
      </c>
      <c r="D58" s="4">
        <f>2*PI()*C58*Thiet_ke!$B$7/(60*Thiet_ke!$B$15*B58)</f>
        <v>2.100800434133767</v>
      </c>
      <c r="E58" s="4">
        <f>D58*3.6</f>
        <v>7.562881562881562</v>
      </c>
      <c r="F58" s="4">
        <f>Thiet_ke!$B$12*(Dau_vao!$B$22*(C58/Dau_vao!$B$19)+Dau_vao!$B$23*(C58/Dau_vao!$B$19)^2-Dau_vao!$B$24*(C58/Dau_vao!$B$19)^3)</f>
        <v>58.73097857794961</v>
      </c>
      <c r="G58" s="4">
        <f>60000*F58/(2*PI()*C58)</f>
        <v>430.0916665631086</v>
      </c>
      <c r="H58" s="4">
        <f>G58*Thiet_ke!$B$15*B58*Dau_vao!$B$10/Thiet_ke!$B$7</f>
        <v>24881.26434338258</v>
      </c>
      <c r="I58" s="4">
        <f>IF(D58&lt;=Dau_vao!$B$14,Dau_vao!$B$13,Dau_vao!$B$13*(1+D58^2/1500))</f>
        <v>0.015</v>
      </c>
      <c r="J58" s="4">
        <f>Thiet_ke!$B$8*D58^2</f>
        <v>12.909085207365628</v>
      </c>
      <c r="K58" s="4">
        <f>Thiet_ke!$B$3*I58+J58</f>
        <v>1144.492585207366</v>
      </c>
      <c r="L58" s="4">
        <f>(H58-J58)/Thiet_ke!$B$3</f>
        <v>0.32964896436951246</v>
      </c>
      <c r="M58" s="4">
        <f>1.05+0.05*B58^2</f>
        <v>3.5</v>
      </c>
      <c r="N58" s="4">
        <f>(MIN(H58,Thiet_ke!$B$16)-K58)/(Thiet_ke!$B$2*M58)</f>
        <v>0.8819160972756906</v>
      </c>
      <c r="O58" s="4">
        <f>IF(N58&gt;0,1/N58,"")</f>
        <v>1.133894712988095</v>
      </c>
    </row>
    <row r="59" spans="1:15">
      <c r="A59">
        <v>1</v>
      </c>
      <c r="B59" s="4">
        <f>Thiet_ke!$B$20</f>
        <v>7.0</v>
      </c>
      <c r="C59" s="4">
        <f>Dau_vao!$B$21+(Dau_vao!$B$19-Dau_vao!$B$21)*57/200</f>
        <v>1313.0</v>
      </c>
      <c r="D59" s="4">
        <f>2*PI()*C59*Thiet_ke!$B$7/(60*Thiet_ke!$B$15*B59)</f>
        <v>2.115299823633157</v>
      </c>
      <c r="E59" s="4">
        <f>D59*3.6</f>
        <v>7.615079365079366</v>
      </c>
      <c r="F59" s="4">
        <f>Thiet_ke!$B$12*(Dau_vao!$B$22*(C59/Dau_vao!$B$19)+Dau_vao!$B$23*(C59/Dau_vao!$B$19)^2-Dau_vao!$B$24*(C59/Dau_vao!$B$19)^3)</f>
        <v>59.23726592067765</v>
      </c>
      <c r="G59" s="4">
        <f>60000*F59/(2*PI()*C59)</f>
        <v>430.82575871401025</v>
      </c>
      <c r="H59" s="4">
        <f>G59*Thiet_ke!$B$15*B59*Dau_vao!$B$10/Thiet_ke!$B$7</f>
        <v>24923.732361898128</v>
      </c>
      <c r="I59" s="4">
        <f>IF(D59&lt;=Dau_vao!$B$14,Dau_vao!$B$13,Dau_vao!$B$13*(1+D59^2/1500))</f>
        <v>0.015</v>
      </c>
      <c r="J59" s="4">
        <f>Thiet_ke!$B$8*D59^2</f>
        <v>13.087893030797712</v>
      </c>
      <c r="K59" s="4">
        <f>Thiet_ke!$B$3*I59+J59</f>
        <v>1144.6713930307978</v>
      </c>
      <c r="L59" s="4">
        <f>(H59-J59)/Thiet_ke!$B$3</f>
        <v>0.33020954002334774</v>
      </c>
      <c r="M59" s="4">
        <f>1.05+0.05*B59^2</f>
        <v>3.5</v>
      </c>
      <c r="N59" s="4">
        <f>(MIN(H59,Thiet_ke!$B$16)-K59)/(Thiet_ke!$B$2*M59)</f>
        <v>0.8834873107511547</v>
      </c>
      <c r="O59" s="4">
        <f>IF(N59&gt;0,1/N59,"")</f>
        <v>1.1318781694213405</v>
      </c>
    </row>
    <row r="60" spans="1:15">
      <c r="A60">
        <v>1</v>
      </c>
      <c r="B60" s="4">
        <f>Thiet_ke!$B$20</f>
        <v>7.0</v>
      </c>
      <c r="C60" s="4">
        <f>Dau_vao!$B$21+(Dau_vao!$B$19-Dau_vao!$B$21)*58/200</f>
        <v>1322.0</v>
      </c>
      <c r="D60" s="4">
        <f>2*PI()*C60*Thiet_ke!$B$7/(60*Thiet_ke!$B$15*B60)</f>
        <v>2.1297992131325465</v>
      </c>
      <c r="E60" s="4">
        <f>D60*3.6</f>
        <v>7.667277167277168</v>
      </c>
      <c r="F60" s="4">
        <f>Thiet_ke!$B$12*(Dau_vao!$B$22*(C60/Dau_vao!$B$19)+Dau_vao!$B$23*(C60/Dau_vao!$B$19)^2-Dau_vao!$B$24*(C60/Dau_vao!$B$19)^3)</f>
        <v>59.74351120143131</v>
      </c>
      <c r="G60" s="4">
        <f>60000*F60/(2*PI()*C60)</f>
        <v>431.54955183239696</v>
      </c>
      <c r="H60" s="4">
        <f>G60*Thiet_ke!$B$15*B60*Dau_vao!$B$10/Thiet_ke!$B$7</f>
        <v>24965.604570333166</v>
      </c>
      <c r="I60" s="4">
        <f>IF(D60&lt;=Dau_vao!$B$14,Dau_vao!$B$13,Dau_vao!$B$13*(1+D60^2/1500))</f>
        <v>0.015</v>
      </c>
      <c r="J60" s="4">
        <f>Thiet_ke!$B$8*D60^2</f>
        <v>13.267930713160542</v>
      </c>
      <c r="K60" s="4">
        <f>Thiet_ke!$B$3*I60+J60</f>
        <v>1144.8514307131607</v>
      </c>
      <c r="L60" s="4">
        <f>(H60-J60)/Thiet_ke!$B$3</f>
        <v>0.3307622014586639</v>
      </c>
      <c r="M60" s="4">
        <f>1.05+0.05*B60^2</f>
        <v>3.5</v>
      </c>
      <c r="N60" s="4">
        <f>(MIN(H60,Thiet_ke!$B$16)-K60)/(Thiet_ke!$B$2*M60)</f>
        <v>0.8850363418027125</v>
      </c>
      <c r="O60" s="4">
        <f>IF(N60&gt;0,1/N60,"")</f>
        <v>1.1298971045224204</v>
      </c>
    </row>
    <row r="61" spans="1:15">
      <c r="A61">
        <v>1</v>
      </c>
      <c r="B61" s="4">
        <f>Thiet_ke!$B$20</f>
        <v>7.0</v>
      </c>
      <c r="C61" s="4">
        <f>Dau_vao!$B$21+(Dau_vao!$B$19-Dau_vao!$B$21)*59/200</f>
        <v>1331.0</v>
      </c>
      <c r="D61" s="4">
        <f>2*PI()*C61*Thiet_ke!$B$7/(60*Thiet_ke!$B$15*B61)</f>
        <v>2.1442986026319355</v>
      </c>
      <c r="E61" s="4">
        <f>D61*3.6</f>
        <v>7.719474969474968</v>
      </c>
      <c r="F61" s="4">
        <f>Thiet_ke!$B$12*(Dau_vao!$B$22*(C61/Dau_vao!$B$19)+Dau_vao!$B$23*(C61/Dau_vao!$B$19)^2-Dau_vao!$B$24*(C61/Dau_vao!$B$19)^3)</f>
        <v>60.24968530038224</v>
      </c>
      <c r="G61" s="4">
        <f>60000*F61/(2*PI()*C61)</f>
        <v>432.2630459182692</v>
      </c>
      <c r="H61" s="4">
        <f>G61*Thiet_ke!$B$15*B61*Dau_vao!$B$10/Thiet_ke!$B$7</f>
        <v>25006.880968687707</v>
      </c>
      <c r="I61" s="4">
        <f>IF(D61&lt;=Dau_vao!$B$14,Dau_vao!$B$13,Dau_vao!$B$13*(1+D61^2/1500))</f>
        <v>0.015</v>
      </c>
      <c r="J61" s="4">
        <f>Thiet_ke!$B$8*D61^2</f>
        <v>13.44919825445412</v>
      </c>
      <c r="K61" s="4">
        <f>Thiet_ke!$B$3*I61+J61</f>
        <v>1145.0326982544543</v>
      </c>
      <c r="L61" s="4">
        <f>(H61-J61)/Thiet_ke!$B$3</f>
        <v>0.33130694867546123</v>
      </c>
      <c r="M61" s="4">
        <f>1.05+0.05*B61^2</f>
        <v>3.5</v>
      </c>
      <c r="N61" s="4">
        <f>(MIN(H61,Thiet_ke!$B$16)-K61)/(Thiet_ke!$B$2*M61)</f>
        <v>0.8865631904303642</v>
      </c>
      <c r="O61" s="4">
        <f>IF(N61&gt;0,1/N61,"")</f>
        <v>1.127951183620166</v>
      </c>
    </row>
    <row r="62" spans="1:15">
      <c r="A62">
        <v>1</v>
      </c>
      <c r="B62" s="4">
        <f>Thiet_ke!$B$20</f>
        <v>7.0</v>
      </c>
      <c r="C62" s="4">
        <f>Dau_vao!$B$21+(Dau_vao!$B$19-Dau_vao!$B$21)*60/200</f>
        <v>1340.0</v>
      </c>
      <c r="D62" s="4">
        <f>2*PI()*C62*Thiet_ke!$B$7/(60*Thiet_ke!$B$15*B62)</f>
        <v>2.1587979921313254</v>
      </c>
      <c r="E62" s="4">
        <f>D62*3.6</f>
        <v>7.771672771672772</v>
      </c>
      <c r="F62" s="4">
        <f>Thiet_ke!$B$12*(Dau_vao!$B$22*(C62/Dau_vao!$B$19)+Dau_vao!$B$23*(C62/Dau_vao!$B$19)^2-Dau_vao!$B$24*(C62/Dau_vao!$B$19)^3)</f>
        <v>60.75575909770202</v>
      </c>
      <c r="G62" s="4">
        <f>60000*F62/(2*PI()*C62)</f>
        <v>432.9662409716269</v>
      </c>
      <c r="H62" s="4">
        <f>G62*Thiet_ke!$B$15*B62*Dau_vao!$B$10/Thiet_ke!$B$7</f>
        <v>25047.56155696175</v>
      </c>
      <c r="I62" s="4">
        <f>IF(D62&lt;=Dau_vao!$B$14,Dau_vao!$B$13,Dau_vao!$B$13*(1+D62^2/1500))</f>
        <v>0.015</v>
      </c>
      <c r="J62" s="4">
        <f>Thiet_ke!$B$8*D62^2</f>
        <v>13.631695654678458</v>
      </c>
      <c r="K62" s="4">
        <f>Thiet_ke!$B$3*I62+J62</f>
        <v>1145.2151956546786</v>
      </c>
      <c r="L62" s="4">
        <f>(H62-J62)/Thiet_ke!$B$3</f>
        <v>0.3318437816737395</v>
      </c>
      <c r="M62" s="4">
        <f>1.05+0.05*B62^2</f>
        <v>3.5</v>
      </c>
      <c r="N62" s="4">
        <f>(MIN(H62,Thiet_ke!$B$16)-K62)/(Thiet_ke!$B$2*M62)</f>
        <v>0.88806785663411</v>
      </c>
      <c r="O62" s="4">
        <f>IF(N62&gt;0,1/N62,"")</f>
        <v>1.1260400796287426</v>
      </c>
    </row>
    <row r="63" spans="1:15">
      <c r="A63">
        <v>1</v>
      </c>
      <c r="B63" s="4">
        <f>Thiet_ke!$B$20</f>
        <v>7.0</v>
      </c>
      <c r="C63" s="4">
        <f>Dau_vao!$B$21+(Dau_vao!$B$19-Dau_vao!$B$21)*61/200</f>
        <v>1349.0</v>
      </c>
      <c r="D63" s="4">
        <f>2*PI()*C63*Thiet_ke!$B$7/(60*Thiet_ke!$B$15*B63)</f>
        <v>2.173297381630715</v>
      </c>
      <c r="E63" s="4">
        <f>D63*3.6</f>
        <v>7.823870573870574</v>
      </c>
      <c r="F63" s="4">
        <f>Thiet_ke!$B$12*(Dau_vao!$B$22*(C63/Dau_vao!$B$19)+Dau_vao!$B$23*(C63/Dau_vao!$B$19)^2-Dau_vao!$B$24*(C63/Dau_vao!$B$19)^3)</f>
        <v>61.26170347356226</v>
      </c>
      <c r="G63" s="4">
        <f>60000*F63/(2*PI()*C63)</f>
        <v>433.65913699247005</v>
      </c>
      <c r="H63" s="4">
        <f>G63*Thiet_ke!$B$15*B63*Dau_vao!$B$10/Thiet_ke!$B$7</f>
        <v>25087.646335155296</v>
      </c>
      <c r="I63" s="4">
        <f>IF(D63&lt;=Dau_vao!$B$14,Dau_vao!$B$13,Dau_vao!$B$13*(1+D63^2/1500))</f>
        <v>0.015</v>
      </c>
      <c r="J63" s="4">
        <f>Thiet_ke!$B$8*D63^2</f>
        <v>13.815422913833546</v>
      </c>
      <c r="K63" s="4">
        <f>Thiet_ke!$B$3*I63+J63</f>
        <v>1145.3989229138338</v>
      </c>
      <c r="L63" s="4">
        <f>(H63-J63)/Thiet_ke!$B$3</f>
        <v>0.3323727004534989</v>
      </c>
      <c r="M63" s="4">
        <f>1.05+0.05*B63^2</f>
        <v>3.5</v>
      </c>
      <c r="N63" s="4">
        <f>(MIN(H63,Thiet_ke!$B$16)-K63)/(Thiet_ke!$B$2*M63)</f>
        <v>0.8895503404139499</v>
      </c>
      <c r="O63" s="4">
        <f>IF(N63&gt;0,1/N63,"")</f>
        <v>1.1241634729009857</v>
      </c>
    </row>
    <row r="64" spans="1:15">
      <c r="A64">
        <v>1</v>
      </c>
      <c r="B64" s="4">
        <f>Thiet_ke!$B$20</f>
        <v>7.0</v>
      </c>
      <c r="C64" s="4">
        <f>Dau_vao!$B$21+(Dau_vao!$B$19-Dau_vao!$B$21)*62/200</f>
        <v>1358.0</v>
      </c>
      <c r="D64" s="4">
        <f>2*PI()*C64*Thiet_ke!$B$7/(60*Thiet_ke!$B$15*B64)</f>
        <v>2.1877967711301047</v>
      </c>
      <c r="E64" s="4">
        <f>D64*3.6</f>
        <v>7.876068376068377</v>
      </c>
      <c r="F64" s="4">
        <f>Thiet_ke!$B$12*(Dau_vao!$B$22*(C64/Dau_vao!$B$19)+Dau_vao!$B$23*(C64/Dau_vao!$B$19)^2-Dau_vao!$B$24*(C64/Dau_vao!$B$19)^3)</f>
        <v>61.76748930813455</v>
      </c>
      <c r="G64" s="4">
        <f>60000*F64/(2*PI()*C64)</f>
        <v>434.34173398079867</v>
      </c>
      <c r="H64" s="4">
        <f>G64*Thiet_ke!$B$15*B64*Dau_vao!$B$10/Thiet_ke!$B$7</f>
        <v>25127.135303268344</v>
      </c>
      <c r="I64" s="4">
        <f>IF(D64&lt;=Dau_vao!$B$14,Dau_vao!$B$13,Dau_vao!$B$13*(1+D64^2/1500))</f>
        <v>0.015</v>
      </c>
      <c r="J64" s="4">
        <f>Thiet_ke!$B$8*D64^2</f>
        <v>14.000380031919388</v>
      </c>
      <c r="K64" s="4">
        <f>Thiet_ke!$B$3*I64+J64</f>
        <v>1145.5838800319195</v>
      </c>
      <c r="L64" s="4">
        <f>(H64-J64)/Thiet_ke!$B$3</f>
        <v>0.33289370501473936</v>
      </c>
      <c r="M64" s="4">
        <f>1.05+0.05*B64^2</f>
        <v>3.5</v>
      </c>
      <c r="N64" s="4">
        <f>(MIN(H64,Thiet_ke!$B$16)-K64)/(Thiet_ke!$B$2*M64)</f>
        <v>0.8910106417698839</v>
      </c>
      <c r="O64" s="4">
        <f>IF(N64&gt;0,1/N64,"")</f>
        <v>1.122321051086014</v>
      </c>
    </row>
    <row r="65" spans="1:15">
      <c r="A65">
        <v>1</v>
      </c>
      <c r="B65" s="4">
        <f>Thiet_ke!$B$20</f>
        <v>7.0</v>
      </c>
      <c r="C65" s="4">
        <f>Dau_vao!$B$21+(Dau_vao!$B$19-Dau_vao!$B$21)*63/200</f>
        <v>1367.0</v>
      </c>
      <c r="D65" s="4">
        <f>2*PI()*C65*Thiet_ke!$B$7/(60*Thiet_ke!$B$15*B65)</f>
        <v>2.2022961606294937</v>
      </c>
      <c r="E65" s="4">
        <f>D65*3.6</f>
        <v>7.928266178266178</v>
      </c>
      <c r="F65" s="4">
        <f>Thiet_ke!$B$12*(Dau_vao!$B$22*(C65/Dau_vao!$B$19)+Dau_vao!$B$23*(C65/Dau_vao!$B$19)^2-Dau_vao!$B$24*(C65/Dau_vao!$B$19)^3)</f>
        <v>62.27308748159049</v>
      </c>
      <c r="G65" s="4">
        <f>60000*F65/(2*PI()*C65)</f>
        <v>435.01403193661247</v>
      </c>
      <c r="H65" s="4">
        <f>G65*Thiet_ke!$B$15*B65*Dau_vao!$B$10/Thiet_ke!$B$7</f>
        <v>25166.0284613009</v>
      </c>
      <c r="I65" s="4">
        <f>IF(D65&lt;=Dau_vao!$B$14,Dau_vao!$B$13,Dau_vao!$B$13*(1+D65^2/1500))</f>
        <v>0.015</v>
      </c>
      <c r="J65" s="4">
        <f>Thiet_ke!$B$8*D65^2</f>
        <v>14.186567008935972</v>
      </c>
      <c r="K65" s="4">
        <f>Thiet_ke!$B$3*I65+J65</f>
        <v>1145.7700670089362</v>
      </c>
      <c r="L65" s="4">
        <f>(H65-J65)/Thiet_ke!$B$3</f>
        <v>0.33340679535746093</v>
      </c>
      <c r="M65" s="4">
        <f>1.05+0.05*B65^2</f>
        <v>3.5</v>
      </c>
      <c r="N65" s="4">
        <f>(MIN(H65,Thiet_ke!$B$16)-K65)/(Thiet_ke!$B$2*M65)</f>
        <v>0.892448760701912</v>
      </c>
      <c r="O65" s="4">
        <f>IF(N65&gt;0,1/N65,"")</f>
        <v>1.120512508990991</v>
      </c>
    </row>
    <row r="66" spans="1:15">
      <c r="A66">
        <v>1</v>
      </c>
      <c r="B66" s="4">
        <f>Thiet_ke!$B$20</f>
        <v>7.0</v>
      </c>
      <c r="C66" s="4">
        <f>Dau_vao!$B$21+(Dau_vao!$B$19-Dau_vao!$B$21)*64/200</f>
        <v>1376.0</v>
      </c>
      <c r="D66" s="4">
        <f>2*PI()*C66*Thiet_ke!$B$7/(60*Thiet_ke!$B$15*B66)</f>
        <v>2.216795550128883</v>
      </c>
      <c r="E66" s="4">
        <f>D66*3.6</f>
        <v>7.98046398046398</v>
      </c>
      <c r="F66" s="4">
        <f>Thiet_ke!$B$12*(Dau_vao!$B$22*(C66/Dau_vao!$B$19)+Dau_vao!$B$23*(C66/Dau_vao!$B$19)^2-Dau_vao!$B$24*(C66/Dau_vao!$B$19)^3)</f>
        <v>62.778468874101684</v>
      </c>
      <c r="G66" s="4">
        <f>60000*F66/(2*PI()*C66)</f>
        <v>435.67603085991175</v>
      </c>
      <c r="H66" s="4">
        <f>G66*Thiet_ke!$B$15*B66*Dau_vao!$B$10/Thiet_ke!$B$7</f>
        <v>25204.325809252947</v>
      </c>
      <c r="I66" s="4">
        <f>IF(D66&lt;=Dau_vao!$B$14,Dau_vao!$B$13,Dau_vao!$B$13*(1+D66^2/1500))</f>
        <v>0.015</v>
      </c>
      <c r="J66" s="4">
        <f>Thiet_ke!$B$8*D66^2</f>
        <v>14.373983844883313</v>
      </c>
      <c r="K66" s="4">
        <f>Thiet_ke!$B$3*I66+J66</f>
        <v>1145.9574838448834</v>
      </c>
      <c r="L66" s="4">
        <f>(H66-J66)/Thiet_ke!$B$3</f>
        <v>0.33391197148166346</v>
      </c>
      <c r="M66" s="4">
        <f>1.05+0.05*B66^2</f>
        <v>3.5</v>
      </c>
      <c r="N66" s="4">
        <f>(MIN(H66,Thiet_ke!$B$16)-K66)/(Thiet_ke!$B$2*M66)</f>
        <v>0.8938646972100339</v>
      </c>
      <c r="O66" s="4">
        <f>IF(N66&gt;0,1/N66,"")</f>
        <v>1.118737548446918</v>
      </c>
    </row>
    <row r="67" spans="1:15">
      <c r="A67">
        <v>1</v>
      </c>
      <c r="B67" s="4">
        <f>Thiet_ke!$B$20</f>
        <v>7.0</v>
      </c>
      <c r="C67" s="4">
        <f>Dau_vao!$B$21+(Dau_vao!$B$19-Dau_vao!$B$21)*65/200</f>
        <v>1385.0</v>
      </c>
      <c r="D67" s="4">
        <f>2*PI()*C67*Thiet_ke!$B$7/(60*Thiet_ke!$B$15*B67)</f>
        <v>2.2312949396282726</v>
      </c>
      <c r="E67" s="4">
        <f>D67*3.6</f>
        <v>8.032661782661782</v>
      </c>
      <c r="F67" s="4">
        <f>Thiet_ke!$B$12*(Dau_vao!$B$22*(C67/Dau_vao!$B$19)+Dau_vao!$B$23*(C67/Dau_vao!$B$19)^2-Dau_vao!$B$24*(C67/Dau_vao!$B$19)^3)</f>
        <v>63.28360436583975</v>
      </c>
      <c r="G67" s="4">
        <f>60000*F67/(2*PI()*C67)</f>
        <v>436.3277307506966</v>
      </c>
      <c r="H67" s="4">
        <f>G67*Thiet_ke!$B$15*B67*Dau_vao!$B$10/Thiet_ke!$B$7</f>
        <v>25242.027347124495</v>
      </c>
      <c r="I67" s="4">
        <f>IF(D67&lt;=Dau_vao!$B$14,Dau_vao!$B$13,Dau_vao!$B$13*(1+D67^2/1500))</f>
        <v>0.015</v>
      </c>
      <c r="J67" s="4">
        <f>Thiet_ke!$B$8*D67^2</f>
        <v>14.562630539761406</v>
      </c>
      <c r="K67" s="4">
        <f>Thiet_ke!$B$3*I67+J67</f>
        <v>1146.1461305397615</v>
      </c>
      <c r="L67" s="4">
        <f>(H67-J67)/Thiet_ke!$B$3</f>
        <v>0.334409233387347</v>
      </c>
      <c r="M67" s="4">
        <f>1.05+0.05*B67^2</f>
        <v>3.5</v>
      </c>
      <c r="N67" s="4">
        <f>(MIN(H67,Thiet_ke!$B$16)-K67)/(Thiet_ke!$B$2*M67)</f>
        <v>0.8952584512942499</v>
      </c>
      <c r="O67" s="4">
        <f>IF(N67&gt;0,1/N67,"")</f>
        <v>1.1169958781783387</v>
      </c>
    </row>
    <row r="68" spans="1:15">
      <c r="A68">
        <v>1</v>
      </c>
      <c r="B68" s="4">
        <f>Thiet_ke!$B$20</f>
        <v>7.0</v>
      </c>
      <c r="C68" s="4">
        <f>Dau_vao!$B$21+(Dau_vao!$B$19-Dau_vao!$B$21)*66/200</f>
        <v>1394.0</v>
      </c>
      <c r="D68" s="4">
        <f>2*PI()*C68*Thiet_ke!$B$7/(60*Thiet_ke!$B$15*B68)</f>
        <v>2.2457943291276625</v>
      </c>
      <c r="E68" s="4">
        <f>D68*3.6</f>
        <v>8.084859584859585</v>
      </c>
      <c r="F68" s="4">
        <f>Thiet_ke!$B$12*(Dau_vao!$B$22*(C68/Dau_vao!$B$19)+Dau_vao!$B$23*(C68/Dau_vao!$B$19)^2-Dau_vao!$B$24*(C68/Dau_vao!$B$19)^3)</f>
        <v>63.78846483697627</v>
      </c>
      <c r="G68" s="4">
        <f>60000*F68/(2*PI()*C68)</f>
        <v>436.9691316089666</v>
      </c>
      <c r="H68" s="4">
        <f>G68*Thiet_ke!$B$15*B68*Dau_vao!$B$10/Thiet_ke!$B$7</f>
        <v>25279.133074915553</v>
      </c>
      <c r="I68" s="4">
        <f>IF(D68&lt;=Dau_vao!$B$14,Dau_vao!$B$13,Dau_vao!$B$13*(1+D68^2/1500))</f>
        <v>0.015</v>
      </c>
      <c r="J68" s="4">
        <f>Thiet_ke!$B$8*D68^2</f>
        <v>14.752507093570255</v>
      </c>
      <c r="K68" s="4">
        <f>Thiet_ke!$B$3*I68+J68</f>
        <v>1146.3360070935705</v>
      </c>
      <c r="L68" s="4">
        <f>(H68-J68)/Thiet_ke!$B$3</f>
        <v>0.3348985810745117</v>
      </c>
      <c r="M68" s="4">
        <f>1.05+0.05*B68^2</f>
        <v>3.5</v>
      </c>
      <c r="N68" s="4">
        <f>(MIN(H68,Thiet_ke!$B$16)-K68)/(Thiet_ke!$B$2*M68)</f>
        <v>0.89663002295456</v>
      </c>
      <c r="O68" s="4">
        <f>IF(N68&gt;0,1/N68,"")</f>
        <v>1.1152872136768486</v>
      </c>
    </row>
    <row r="69" spans="1:15">
      <c r="A69">
        <v>1</v>
      </c>
      <c r="B69" s="4">
        <f>Thiet_ke!$B$20</f>
        <v>7.0</v>
      </c>
      <c r="C69" s="4">
        <f>Dau_vao!$B$21+(Dau_vao!$B$19-Dau_vao!$B$21)*67/200</f>
        <v>1403.0</v>
      </c>
      <c r="D69" s="4">
        <f>2*PI()*C69*Thiet_ke!$B$7/(60*Thiet_ke!$B$15*B69)</f>
        <v>2.2602937186270515</v>
      </c>
      <c r="E69" s="4">
        <f>D69*3.6</f>
        <v>8.137057387057386</v>
      </c>
      <c r="F69" s="4">
        <f>Thiet_ke!$B$12*(Dau_vao!$B$22*(C69/Dau_vao!$B$19)+Dau_vao!$B$23*(C69/Dau_vao!$B$19)^2-Dau_vao!$B$24*(C69/Dau_vao!$B$19)^3)</f>
        <v>64.29302116768284</v>
      </c>
      <c r="G69" s="4">
        <f>60000*F69/(2*PI()*C69)</f>
        <v>437.60023343472216</v>
      </c>
      <c r="H69" s="4">
        <f>G69*Thiet_ke!$B$15*B69*Dau_vao!$B$10/Thiet_ke!$B$7</f>
        <v>25315.642992626104</v>
      </c>
      <c r="I69" s="4">
        <f>IF(D69&lt;=Dau_vao!$B$14,Dau_vao!$B$13,Dau_vao!$B$13*(1+D69^2/1500))</f>
        <v>0.015</v>
      </c>
      <c r="J69" s="4">
        <f>Thiet_ke!$B$8*D69^2</f>
        <v>14.943613506309848</v>
      </c>
      <c r="K69" s="4">
        <f>Thiet_ke!$B$3*I69+J69</f>
        <v>1146.5271135063101</v>
      </c>
      <c r="L69" s="4">
        <f>(H69-J69)/Thiet_ke!$B$3</f>
        <v>0.3353800145431573</v>
      </c>
      <c r="M69" s="4">
        <f>1.05+0.05*B69^2</f>
        <v>3.5</v>
      </c>
      <c r="N69" s="4">
        <f>(MIN(H69,Thiet_ke!$B$16)-K69)/(Thiet_ke!$B$2*M69)</f>
        <v>0.897979412190964</v>
      </c>
      <c r="O69" s="4">
        <f>IF(N69&gt;0,1/N69,"")</f>
        <v>1.1136112770782993</v>
      </c>
    </row>
    <row r="70" spans="1:15">
      <c r="A70">
        <v>1</v>
      </c>
      <c r="B70" s="4">
        <f>Thiet_ke!$B$20</f>
        <v>7.0</v>
      </c>
      <c r="C70" s="4">
        <f>Dau_vao!$B$21+(Dau_vao!$B$19-Dau_vao!$B$21)*68/200</f>
        <v>1412.0</v>
      </c>
      <c r="D70" s="4">
        <f>2*PI()*C70*Thiet_ke!$B$7/(60*Thiet_ke!$B$15*B70)</f>
        <v>2.2747931081264414</v>
      </c>
      <c r="E70" s="4">
        <f>D70*3.6</f>
        <v>8.189255189255189</v>
      </c>
      <c r="F70" s="4">
        <f>Thiet_ke!$B$12*(Dau_vao!$B$22*(C70/Dau_vao!$B$19)+Dau_vao!$B$23*(C70/Dau_vao!$B$19)^2-Dau_vao!$B$24*(C70/Dau_vao!$B$19)^3)</f>
        <v>64.79724423813109</v>
      </c>
      <c r="G70" s="4">
        <f>60000*F70/(2*PI()*C70)</f>
        <v>438.22103622796305</v>
      </c>
      <c r="H70" s="4">
        <f>G70*Thiet_ke!$B$15*B70*Dau_vao!$B$10/Thiet_ke!$B$7</f>
        <v>25351.557100256163</v>
      </c>
      <c r="I70" s="4">
        <f>IF(D70&lt;=Dau_vao!$B$14,Dau_vao!$B$13,Dau_vao!$B$13*(1+D70^2/1500))</f>
        <v>0.015</v>
      </c>
      <c r="J70" s="4">
        <f>Thiet_ke!$B$8*D70^2</f>
        <v>15.135949777980201</v>
      </c>
      <c r="K70" s="4">
        <f>Thiet_ke!$B$3*I70+J70</f>
        <v>1146.7194497779803</v>
      </c>
      <c r="L70" s="4">
        <f>(H70-J70)/Thiet_ke!$B$3</f>
        <v>0.3358535337932841</v>
      </c>
      <c r="M70" s="4">
        <f>1.05+0.05*B70^2</f>
        <v>3.5</v>
      </c>
      <c r="N70" s="4">
        <f>(MIN(H70,Thiet_ke!$B$16)-K70)/(Thiet_ke!$B$2*M70)</f>
        <v>0.8993066190034621</v>
      </c>
      <c r="O70" s="4">
        <f>IF(N70&gt;0,1/N70,"")</f>
        <v>1.1119677970435913</v>
      </c>
    </row>
    <row r="71" spans="1:15">
      <c r="A71">
        <v>1</v>
      </c>
      <c r="B71" s="4">
        <f>Thiet_ke!$B$20</f>
        <v>7.0</v>
      </c>
      <c r="C71" s="4">
        <f>Dau_vao!$B$21+(Dau_vao!$B$19-Dau_vao!$B$21)*69/200</f>
        <v>1421.0</v>
      </c>
      <c r="D71" s="4">
        <f>2*PI()*C71*Thiet_ke!$B$7/(60*Thiet_ke!$B$15*B71)</f>
        <v>2.289292497625831</v>
      </c>
      <c r="E71" s="4">
        <f>D71*3.6</f>
        <v>8.241452991452991</v>
      </c>
      <c r="F71" s="4">
        <f>Thiet_ke!$B$12*(Dau_vao!$B$22*(C71/Dau_vao!$B$19)+Dau_vao!$B$23*(C71/Dau_vao!$B$19)^2-Dau_vao!$B$24*(C71/Dau_vao!$B$19)^3)</f>
        <v>65.30110492849258</v>
      </c>
      <c r="G71" s="4">
        <f>60000*F71/(2*PI()*C71)</f>
        <v>438.83153998868926</v>
      </c>
      <c r="H71" s="4">
        <f>G71*Thiet_ke!$B$15*B71*Dau_vao!$B$10/Thiet_ke!$B$7</f>
        <v>25386.875397805714</v>
      </c>
      <c r="I71" s="4">
        <f>IF(D71&lt;=Dau_vao!$B$14,Dau_vao!$B$13,Dau_vao!$B$13*(1+D71^2/1500))</f>
        <v>0.015</v>
      </c>
      <c r="J71" s="4">
        <f>Thiet_ke!$B$8*D71^2</f>
        <v>15.329515908581303</v>
      </c>
      <c r="K71" s="4">
        <f>Thiet_ke!$B$3*I71+J71</f>
        <v>1146.9130159085814</v>
      </c>
      <c r="L71" s="4">
        <f>(H71-J71)/Thiet_ke!$B$3</f>
        <v>0.3363191388248918</v>
      </c>
      <c r="M71" s="4">
        <f>1.05+0.05*B71^2</f>
        <v>3.5</v>
      </c>
      <c r="N71" s="4">
        <f>(MIN(H71,Thiet_ke!$B$16)-K71)/(Thiet_ke!$B$2*M71)</f>
        <v>0.900611643392054</v>
      </c>
      <c r="O71" s="4">
        <f>IF(N71&gt;0,1/N71,"")</f>
        <v>1.1103565086429603</v>
      </c>
    </row>
    <row r="72" spans="1:15">
      <c r="A72">
        <v>1</v>
      </c>
      <c r="B72" s="4">
        <f>Thiet_ke!$B$20</f>
        <v>7.0</v>
      </c>
      <c r="C72" s="4">
        <f>Dau_vao!$B$21+(Dau_vao!$B$19-Dau_vao!$B$21)*70/200</f>
        <v>1430.0</v>
      </c>
      <c r="D72" s="4">
        <f>2*PI()*C72*Thiet_ke!$B$7/(60*Thiet_ke!$B$15*B72)</f>
        <v>2.3037918871252203</v>
      </c>
      <c r="E72" s="4">
        <f>D72*3.6</f>
        <v>8.293650793650793</v>
      </c>
      <c r="F72" s="4">
        <f>Thiet_ke!$B$12*(Dau_vao!$B$22*(C72/Dau_vao!$B$19)+Dau_vao!$B$23*(C72/Dau_vao!$B$19)^2-Dau_vao!$B$24*(C72/Dau_vao!$B$19)^3)</f>
        <v>65.80457411893899</v>
      </c>
      <c r="G72" s="4">
        <f>60000*F72/(2*PI()*C72)</f>
        <v>439.43174471690116</v>
      </c>
      <c r="H72" s="4">
        <f>G72*Thiet_ke!$B$15*B72*Dau_vao!$B$10/Thiet_ke!$B$7</f>
        <v>25421.59788527478</v>
      </c>
      <c r="I72" s="4">
        <f>IF(D72&lt;=Dau_vao!$B$14,Dau_vao!$B$13,Dau_vao!$B$13*(1+D72^2/1500))</f>
        <v>0.015</v>
      </c>
      <c r="J72" s="4">
        <f>Thiet_ke!$B$8*D72^2</f>
        <v>15.524311898113154</v>
      </c>
      <c r="K72" s="4">
        <f>Thiet_ke!$B$3*I72+J72</f>
        <v>1147.1078118981134</v>
      </c>
      <c r="L72" s="4">
        <f>(H72-J72)/Thiet_ke!$B$3</f>
        <v>0.3367768296379807</v>
      </c>
      <c r="M72" s="4">
        <f>1.05+0.05*B72^2</f>
        <v>3.5</v>
      </c>
      <c r="N72" s="4">
        <f>(MIN(H72,Thiet_ke!$B$16)-K72)/(Thiet_ke!$B$2*M72)</f>
        <v>0.9018944853567403</v>
      </c>
      <c r="O72" s="4">
        <f>IF(N72&gt;0,1/N72,"")</f>
        <v>1.1087771532436574</v>
      </c>
    </row>
    <row r="73" spans="1:15">
      <c r="A73">
        <v>1</v>
      </c>
      <c r="B73" s="4">
        <f>Thiet_ke!$B$20</f>
        <v>7.0</v>
      </c>
      <c r="C73" s="4">
        <f>Dau_vao!$B$21+(Dau_vao!$B$19-Dau_vao!$B$21)*71/200</f>
        <v>1439.0</v>
      </c>
      <c r="D73" s="4">
        <f>2*PI()*C73*Thiet_ke!$B$7/(60*Thiet_ke!$B$15*B73)</f>
        <v>2.3182912766246098</v>
      </c>
      <c r="E73" s="4">
        <f>D73*3.6</f>
        <v>8.345848595848596</v>
      </c>
      <c r="F73" s="4">
        <f>Thiet_ke!$B$12*(Dau_vao!$B$22*(C73/Dau_vao!$B$19)+Dau_vao!$B$23*(C73/Dau_vao!$B$19)^2-Dau_vao!$B$24*(C73/Dau_vao!$B$19)^3)</f>
        <v>66.30762268964183</v>
      </c>
      <c r="G73" s="4">
        <f>60000*F73/(2*PI()*C73)</f>
        <v>440.0216504125982</v>
      </c>
      <c r="H73" s="4">
        <f>G73*Thiet_ke!$B$15*B73*Dau_vao!$B$10/Thiet_ke!$B$7</f>
        <v>25455.724562663338</v>
      </c>
      <c r="I73" s="4">
        <f>IF(D73&lt;=Dau_vao!$B$14,Dau_vao!$B$13,Dau_vao!$B$13*(1+D73^2/1500))</f>
        <v>0.015</v>
      </c>
      <c r="J73" s="4">
        <f>Thiet_ke!$B$8*D73^2</f>
        <v>15.720337746575758</v>
      </c>
      <c r="K73" s="4">
        <f>Thiet_ke!$B$3*I73+J73</f>
        <v>1147.303837746576</v>
      </c>
      <c r="L73" s="4">
        <f>(H73-J73)/Thiet_ke!$B$3</f>
        <v>0.3372266062325505</v>
      </c>
      <c r="M73" s="4">
        <f>1.05+0.05*B73^2</f>
        <v>3.5</v>
      </c>
      <c r="N73" s="4">
        <f>(MIN(H73,Thiet_ke!$B$16)-K73)/(Thiet_ke!$B$2*M73)</f>
        <v>0.9031551448975205</v>
      </c>
      <c r="O73" s="4">
        <f>IF(N73&gt;0,1/N73,"")</f>
        <v>1.1072294784009322</v>
      </c>
    </row>
    <row r="74" spans="1:15">
      <c r="A74">
        <v>1</v>
      </c>
      <c r="B74" s="4">
        <f>Thiet_ke!$B$20</f>
        <v>7.0</v>
      </c>
      <c r="C74" s="4">
        <f>Dau_vao!$B$21+(Dau_vao!$B$19-Dau_vao!$B$21)*72/200</f>
        <v>1448.0</v>
      </c>
      <c r="D74" s="4">
        <f>2*PI()*C74*Thiet_ke!$B$7/(60*Thiet_ke!$B$15*B74)</f>
        <v>2.332790666123999</v>
      </c>
      <c r="E74" s="4">
        <f>D74*3.6</f>
        <v>8.398046398046397</v>
      </c>
      <c r="F74" s="4">
        <f>Thiet_ke!$B$12*(Dau_vao!$B$22*(C74/Dau_vao!$B$19)+Dau_vao!$B$23*(C74/Dau_vao!$B$19)^2-Dau_vao!$B$24*(C74/Dau_vao!$B$19)^3)</f>
        <v>66.81022152077274</v>
      </c>
      <c r="G74" s="4">
        <f>60000*F74/(2*PI()*C74)</f>
        <v>440.6012570757807</v>
      </c>
      <c r="H74" s="4">
        <f>G74*Thiet_ke!$B$15*B74*Dau_vao!$B$10/Thiet_ke!$B$7</f>
        <v>25489.255429971396</v>
      </c>
      <c r="I74" s="4">
        <f>IF(D74&lt;=Dau_vao!$B$14,Dau_vao!$B$13,Dau_vao!$B$13*(1+D74^2/1500))</f>
        <v>0.015</v>
      </c>
      <c r="J74" s="4">
        <f>Thiet_ke!$B$8*D74^2</f>
        <v>15.917593453969115</v>
      </c>
      <c r="K74" s="4">
        <f>Thiet_ke!$B$3*I74+J74</f>
        <v>1147.5010934539694</v>
      </c>
      <c r="L74" s="4">
        <f>(H74-J74)/Thiet_ke!$B$3</f>
        <v>0.33766846860860145</v>
      </c>
      <c r="M74" s="4">
        <f>1.05+0.05*B74^2</f>
        <v>3.5</v>
      </c>
      <c r="N74" s="4">
        <f>(MIN(H74,Thiet_ke!$B$16)-K74)/(Thiet_ke!$B$2*M74)</f>
        <v>0.9043936220143945</v>
      </c>
      <c r="O74" s="4">
        <f>IF(N74&gt;0,1/N74,"")</f>
        <v>1.105713237752227</v>
      </c>
    </row>
    <row r="75" spans="1:15">
      <c r="A75">
        <v>1</v>
      </c>
      <c r="B75" s="4">
        <f>Thiet_ke!$B$20</f>
        <v>7.0</v>
      </c>
      <c r="C75" s="4">
        <f>Dau_vao!$B$21+(Dau_vao!$B$19-Dau_vao!$B$21)*73/200</f>
        <v>1457.0</v>
      </c>
      <c r="D75" s="4">
        <f>2*PI()*C75*Thiet_ke!$B$7/(60*Thiet_ke!$B$15*B75)</f>
        <v>2.347290055623389</v>
      </c>
      <c r="E75" s="4">
        <f>D75*3.6</f>
        <v>8.450244200244201</v>
      </c>
      <c r="F75" s="4">
        <f>Thiet_ke!$B$12*(Dau_vao!$B$22*(C75/Dau_vao!$B$19)+Dau_vao!$B$23*(C75/Dau_vao!$B$19)^2-Dau_vao!$B$24*(C75/Dau_vao!$B$19)^3)</f>
        <v>67.31234149250334</v>
      </c>
      <c r="G75" s="4">
        <f>60000*F75/(2*PI()*C75)</f>
        <v>441.17056470644866</v>
      </c>
      <c r="H75" s="4">
        <f>G75*Thiet_ke!$B$15*B75*Dau_vao!$B$10/Thiet_ke!$B$7</f>
        <v>25522.19048719896</v>
      </c>
      <c r="I75" s="4">
        <f>IF(D75&lt;=Dau_vao!$B$14,Dau_vao!$B$13,Dau_vao!$B$13*(1+D75^2/1500))</f>
        <v>0.015</v>
      </c>
      <c r="J75" s="4">
        <f>Thiet_ke!$B$8*D75^2</f>
        <v>16.116079020293224</v>
      </c>
      <c r="K75" s="4">
        <f>Thiet_ke!$B$3*I75+J75</f>
        <v>1147.6995790202934</v>
      </c>
      <c r="L75" s="4">
        <f>(H75-J75)/Thiet_ke!$B$3</f>
        <v>0.33810241676613345</v>
      </c>
      <c r="M75" s="4">
        <f>1.05+0.05*B75^2</f>
        <v>3.5</v>
      </c>
      <c r="N75" s="4">
        <f>(MIN(H75,Thiet_ke!$B$16)-K75)/(Thiet_ke!$B$2*M75)</f>
        <v>0.9056099167073628</v>
      </c>
      <c r="O75" s="4">
        <f>IF(N75&gt;0,1/N75,"")</f>
        <v>1.1042281909144975</v>
      </c>
    </row>
    <row r="76" spans="1:15">
      <c r="A76">
        <v>1</v>
      </c>
      <c r="B76" s="4">
        <f>Thiet_ke!$B$20</f>
        <v>7.0</v>
      </c>
      <c r="C76" s="4">
        <f>Dau_vao!$B$21+(Dau_vao!$B$19-Dau_vao!$B$21)*74/200</f>
        <v>1466.0</v>
      </c>
      <c r="D76" s="4">
        <f>2*PI()*C76*Thiet_ke!$B$7/(60*Thiet_ke!$B$15*B76)</f>
        <v>2.361789445122778</v>
      </c>
      <c r="E76" s="4">
        <f>D76*3.6</f>
        <v>8.502442002442</v>
      </c>
      <c r="F76" s="4">
        <f>Thiet_ke!$B$12*(Dau_vao!$B$22*(C76/Dau_vao!$B$19)+Dau_vao!$B$23*(C76/Dau_vao!$B$19)^2-Dau_vao!$B$24*(C76/Dau_vao!$B$19)^3)</f>
        <v>67.81395348500523</v>
      </c>
      <c r="G76" s="4">
        <f>60000*F76/(2*PI()*C76)</f>
        <v>441.7295733046021</v>
      </c>
      <c r="H76" s="4">
        <f>G76*Thiet_ke!$B$15*B76*Dau_vao!$B$10/Thiet_ke!$B$7</f>
        <v>25554.52973434602</v>
      </c>
      <c r="I76" s="4">
        <f>IF(D76&lt;=Dau_vao!$B$14,Dau_vao!$B$13,Dau_vao!$B$13*(1+D76^2/1500))</f>
        <v>0.015</v>
      </c>
      <c r="J76" s="4">
        <f>Thiet_ke!$B$8*D76^2</f>
        <v>16.31579444554808</v>
      </c>
      <c r="K76" s="4">
        <f>Thiet_ke!$B$3*I76+J76</f>
        <v>1147.8992944455483</v>
      </c>
      <c r="L76" s="4">
        <f>(H76-J76)/Thiet_ke!$B$3</f>
        <v>0.33852845070514637</v>
      </c>
      <c r="M76" s="4">
        <f>1.05+0.05*B76^2</f>
        <v>3.5</v>
      </c>
      <c r="N76" s="4">
        <f>(MIN(H76,Thiet_ke!$B$16)-K76)/(Thiet_ke!$B$2*M76)</f>
        <v>0.9068040289764246</v>
      </c>
      <c r="O76" s="4">
        <f>IF(N76&gt;0,1/N76,"")</f>
        <v>1.1027741033845784</v>
      </c>
    </row>
    <row r="77" spans="1:15">
      <c r="A77">
        <v>1</v>
      </c>
      <c r="B77" s="4">
        <f>Thiet_ke!$B$20</f>
        <v>7.0</v>
      </c>
      <c r="C77" s="4">
        <f>Dau_vao!$B$21+(Dau_vao!$B$19-Dau_vao!$B$21)*75/200</f>
        <v>1475.0</v>
      </c>
      <c r="D77" s="4">
        <f>2*PI()*C77*Thiet_ke!$B$7/(60*Thiet_ke!$B$15*B77)</f>
        <v>2.376288834622168</v>
      </c>
      <c r="E77" s="4">
        <f>D77*3.6</f>
        <v>8.554639804639805</v>
      </c>
      <c r="F77" s="4">
        <f>Thiet_ke!$B$12*(Dau_vao!$B$22*(C77/Dau_vao!$B$19)+Dau_vao!$B$23*(C77/Dau_vao!$B$19)^2-Dau_vao!$B$24*(C77/Dau_vao!$B$19)^3)</f>
        <v>68.31502837844995</v>
      </c>
      <c r="G77" s="4">
        <f>60000*F77/(2*PI()*C77)</f>
        <v>442.27828287024073</v>
      </c>
      <c r="H77" s="4">
        <f>G77*Thiet_ke!$B$15*B77*Dau_vao!$B$10/Thiet_ke!$B$7</f>
        <v>25586.273171412588</v>
      </c>
      <c r="I77" s="4">
        <f>IF(D77&lt;=Dau_vao!$B$14,Dau_vao!$B$13,Dau_vao!$B$13*(1+D77^2/1500))</f>
        <v>0.015</v>
      </c>
      <c r="J77" s="4">
        <f>Thiet_ke!$B$8*D77^2</f>
        <v>16.516739729733697</v>
      </c>
      <c r="K77" s="4">
        <f>Thiet_ke!$B$3*I77+J77</f>
        <v>1148.1002397297339</v>
      </c>
      <c r="L77" s="4">
        <f>(H77-J77)/Thiet_ke!$B$3</f>
        <v>0.33894657042564047</v>
      </c>
      <c r="M77" s="4">
        <f>1.05+0.05*B77^2</f>
        <v>3.5</v>
      </c>
      <c r="N77" s="4">
        <f>(MIN(H77,Thiet_ke!$B$16)-K77)/(Thiet_ke!$B$2*M77)</f>
        <v>0.907975958821581</v>
      </c>
      <c r="O77" s="4">
        <f>IF(N77&gt;0,1/N77,"")</f>
        <v>1.1013507464425079</v>
      </c>
    </row>
    <row r="78" spans="1:15">
      <c r="A78">
        <v>1</v>
      </c>
      <c r="B78" s="4">
        <f>Thiet_ke!$B$20</f>
        <v>7.0</v>
      </c>
      <c r="C78" s="4">
        <f>Dau_vao!$B$21+(Dau_vao!$B$19-Dau_vao!$B$21)*76/200</f>
        <v>1484.0</v>
      </c>
      <c r="D78" s="4">
        <f>2*PI()*C78*Thiet_ke!$B$7/(60*Thiet_ke!$B$15*B78)</f>
        <v>2.3907882241215574</v>
      </c>
      <c r="E78" s="4">
        <f>D78*3.6</f>
        <v>8.606837606837606</v>
      </c>
      <c r="F78" s="4">
        <f>Thiet_ke!$B$12*(Dau_vao!$B$22*(C78/Dau_vao!$B$19)+Dau_vao!$B$23*(C78/Dau_vao!$B$19)^2-Dau_vao!$B$24*(C78/Dau_vao!$B$19)^3)</f>
        <v>68.8155370530092</v>
      </c>
      <c r="G78" s="4">
        <f>60000*F78/(2*PI()*C78)</f>
        <v>442.81669340336504</v>
      </c>
      <c r="H78" s="4">
        <f>G78*Thiet_ke!$B$15*B78*Dau_vao!$B$10/Thiet_ke!$B$7</f>
        <v>25617.420798398663</v>
      </c>
      <c r="I78" s="4">
        <f>IF(D78&lt;=Dau_vao!$B$14,Dau_vao!$B$13,Dau_vao!$B$13*(1+D78^2/1500))</f>
        <v>0.015</v>
      </c>
      <c r="J78" s="4">
        <f>Thiet_ke!$B$8*D78^2</f>
        <v>16.71891487285006</v>
      </c>
      <c r="K78" s="4">
        <f>Thiet_ke!$B$3*I78+J78</f>
        <v>1148.3024148728502</v>
      </c>
      <c r="L78" s="4">
        <f>(H78-J78)/Thiet_ke!$B$3</f>
        <v>0.3393567759276157</v>
      </c>
      <c r="M78" s="4">
        <f>1.05+0.05*B78^2</f>
        <v>3.5</v>
      </c>
      <c r="N78" s="4">
        <f>(MIN(H78,Thiet_ke!$B$16)-K78)/(Thiet_ke!$B$2*M78)</f>
        <v>0.9091257062428316</v>
      </c>
      <c r="O78" s="4">
        <f>IF(N78&gt;0,1/N78,"")</f>
        <v>1.0999578970577424</v>
      </c>
    </row>
    <row r="79" spans="1:15">
      <c r="A79">
        <v>1</v>
      </c>
      <c r="B79" s="4">
        <f>Thiet_ke!$B$20</f>
        <v>7.0</v>
      </c>
      <c r="C79" s="4">
        <f>Dau_vao!$B$21+(Dau_vao!$B$19-Dau_vao!$B$21)*77/200</f>
        <v>1493.0</v>
      </c>
      <c r="D79" s="4">
        <f>2*PI()*C79*Thiet_ke!$B$7/(60*Thiet_ke!$B$15*B79)</f>
        <v>2.405287613620947</v>
      </c>
      <c r="E79" s="4">
        <f>D79*3.6</f>
        <v>8.65903540903541</v>
      </c>
      <c r="F79" s="4">
        <f>Thiet_ke!$B$12*(Dau_vao!$B$22*(C79/Dau_vao!$B$19)+Dau_vao!$B$23*(C79/Dau_vao!$B$19)^2-Dau_vao!$B$24*(C79/Dau_vao!$B$19)^3)</f>
        <v>69.31545038885447</v>
      </c>
      <c r="G79" s="4">
        <f>60000*F79/(2*PI()*C79)</f>
        <v>443.34480490397436</v>
      </c>
      <c r="H79" s="4">
        <f>G79*Thiet_ke!$B$15*B79*Dau_vao!$B$10/Thiet_ke!$B$7</f>
        <v>25647.97261530422</v>
      </c>
      <c r="I79" s="4">
        <f>IF(D79&lt;=Dau_vao!$B$14,Dau_vao!$B$13,Dau_vao!$B$13*(1+D79^2/1500))</f>
        <v>0.015</v>
      </c>
      <c r="J79" s="4">
        <f>Thiet_ke!$B$8*D79^2</f>
        <v>16.922319874897173</v>
      </c>
      <c r="K79" s="4">
        <f>Thiet_ke!$B$3*I79+J79</f>
        <v>1148.5058198748973</v>
      </c>
      <c r="L79" s="4">
        <f>(H79-J79)/Thiet_ke!$B$3</f>
        <v>0.33975906721107174</v>
      </c>
      <c r="M79" s="4">
        <f>1.05+0.05*B79^2</f>
        <v>3.5</v>
      </c>
      <c r="N79" s="4">
        <f>(MIN(H79,Thiet_ke!$B$16)-K79)/(Thiet_ke!$B$2*M79)</f>
        <v>0.9102532712401755</v>
      </c>
      <c r="O79" s="4">
        <f>IF(N79&gt;0,1/N79,"")</f>
        <v>1.0985953377981812</v>
      </c>
    </row>
    <row r="80" spans="1:15">
      <c r="A80">
        <v>1</v>
      </c>
      <c r="B80" s="4">
        <f>Thiet_ke!$B$20</f>
        <v>7.0</v>
      </c>
      <c r="C80" s="4">
        <f>Dau_vao!$B$21+(Dau_vao!$B$19-Dau_vao!$B$21)*78/200</f>
        <v>1502.0</v>
      </c>
      <c r="D80" s="4">
        <f>2*PI()*C80*Thiet_ke!$B$7/(60*Thiet_ke!$B$15*B80)</f>
        <v>2.4197870031203363</v>
      </c>
      <c r="E80" s="4">
        <f>D80*3.6</f>
        <v>8.71123321123321</v>
      </c>
      <c r="F80" s="4">
        <f>Thiet_ke!$B$12*(Dau_vao!$B$22*(C80/Dau_vao!$B$19)+Dau_vao!$B$23*(C80/Dau_vao!$B$19)^2-Dau_vao!$B$24*(C80/Dau_vao!$B$19)^3)</f>
        <v>69.81473926615747</v>
      </c>
      <c r="G80" s="4">
        <f>60000*F80/(2*PI()*C80)</f>
        <v>443.86261737206945</v>
      </c>
      <c r="H80" s="4">
        <f>G80*Thiet_ke!$B$15*B80*Dau_vao!$B$10/Thiet_ke!$B$7</f>
        <v>25677.92862212929</v>
      </c>
      <c r="I80" s="4">
        <f>IF(D80&lt;=Dau_vao!$B$14,Dau_vao!$B$13,Dau_vao!$B$13*(1+D80^2/1500))</f>
        <v>0.015</v>
      </c>
      <c r="J80" s="4">
        <f>Thiet_ke!$B$8*D80^2</f>
        <v>17.12695473587504</v>
      </c>
      <c r="K80" s="4">
        <f>Thiet_ke!$B$3*I80+J80</f>
        <v>1148.7104547358751</v>
      </c>
      <c r="L80" s="4">
        <f>(H80-J80)/Thiet_ke!$B$3</f>
        <v>0.34015344427600896</v>
      </c>
      <c r="M80" s="4">
        <f>1.05+0.05*B80^2</f>
        <v>3.5</v>
      </c>
      <c r="N80" s="4">
        <f>(MIN(H80,Thiet_ke!$B$16)-K80)/(Thiet_ke!$B$2*M80)</f>
        <v>0.9113586538136137</v>
      </c>
      <c r="O80" s="4">
        <f>IF(N80&gt;0,1/N80,"")</f>
        <v>1.097262856741924</v>
      </c>
    </row>
    <row r="81" spans="1:15">
      <c r="A81">
        <v>1</v>
      </c>
      <c r="B81" s="4">
        <f>Thiet_ke!$B$20</f>
        <v>7.0</v>
      </c>
      <c r="C81" s="4">
        <f>Dau_vao!$B$21+(Dau_vao!$B$19-Dau_vao!$B$21)*79/200</f>
        <v>1511.0</v>
      </c>
      <c r="D81" s="4">
        <f>2*PI()*C81*Thiet_ke!$B$7/(60*Thiet_ke!$B$15*B81)</f>
        <v>2.434286392619726</v>
      </c>
      <c r="E81" s="4">
        <f>D81*3.6</f>
        <v>8.763431013431013</v>
      </c>
      <c r="F81" s="4">
        <f>Thiet_ke!$B$12*(Dau_vao!$B$22*(C81/Dau_vao!$B$19)+Dau_vao!$B$23*(C81/Dau_vao!$B$19)^2-Dau_vao!$B$24*(C81/Dau_vao!$B$19)^3)</f>
        <v>70.31337456508975</v>
      </c>
      <c r="G81" s="4">
        <f>60000*F81/(2*PI()*C81)</f>
        <v>444.3701308076498</v>
      </c>
      <c r="H81" s="4">
        <f>G81*Thiet_ke!$B$15*B81*Dau_vao!$B$10/Thiet_ke!$B$7</f>
        <v>25707.28881887387</v>
      </c>
      <c r="I81" s="4">
        <f>IF(D81&lt;=Dau_vao!$B$14,Dau_vao!$B$13,Dau_vao!$B$13*(1+D81^2/1500))</f>
        <v>0.015</v>
      </c>
      <c r="J81" s="4">
        <f>Thiet_ke!$B$8*D81^2</f>
        <v>17.332819455783657</v>
      </c>
      <c r="K81" s="4">
        <f>Thiet_ke!$B$3*I81+J81</f>
        <v>1148.9163194557839</v>
      </c>
      <c r="L81" s="4">
        <f>(H81-J81)/Thiet_ke!$B$3</f>
        <v>0.3405399071224273</v>
      </c>
      <c r="M81" s="4">
        <f>1.05+0.05*B81^2</f>
        <v>3.5</v>
      </c>
      <c r="N81" s="4">
        <f>(MIN(H81,Thiet_ke!$B$16)-K81)/(Thiet_ke!$B$2*M81)</f>
        <v>0.9124418539631464</v>
      </c>
      <c r="O81" s="4">
        <f>IF(N81&gt;0,1/N81,"")</f>
        <v>1.0959602473917096</v>
      </c>
    </row>
    <row r="82" spans="1:15">
      <c r="A82">
        <v>1</v>
      </c>
      <c r="B82" s="4">
        <f>Thiet_ke!$B$20</f>
        <v>7.0</v>
      </c>
      <c r="C82" s="4">
        <f>Dau_vao!$B$21+(Dau_vao!$B$19-Dau_vao!$B$21)*80/200</f>
        <v>1520.0</v>
      </c>
      <c r="D82" s="4">
        <f>2*PI()*C82*Thiet_ke!$B$7/(60*Thiet_ke!$B$15*B82)</f>
        <v>2.4487857821191152</v>
      </c>
      <c r="E82" s="4">
        <f>D82*3.6</f>
        <v>8.815628815628815</v>
      </c>
      <c r="F82" s="4">
        <f>Thiet_ke!$B$12*(Dau_vao!$B$22*(C82/Dau_vao!$B$19)+Dau_vao!$B$23*(C82/Dau_vao!$B$19)^2-Dau_vao!$B$24*(C82/Dau_vao!$B$19)^3)</f>
        <v>70.81132716582292</v>
      </c>
      <c r="G82" s="4">
        <f>60000*F82/(2*PI()*C82)</f>
        <v>444.8673452107156</v>
      </c>
      <c r="H82" s="4">
        <f>G82*Thiet_ke!$B$15*B82*Dau_vao!$B$10/Thiet_ke!$B$7</f>
        <v>25736.053205537934</v>
      </c>
      <c r="I82" s="4">
        <f>IF(D82&lt;=Dau_vao!$B$14,Dau_vao!$B$13,Dau_vao!$B$13*(1+D82^2/1500))</f>
        <v>0.015</v>
      </c>
      <c r="J82" s="4">
        <f>Thiet_ke!$B$8*D82^2</f>
        <v>17.539914034623028</v>
      </c>
      <c r="K82" s="4">
        <f>Thiet_ke!$B$3*I82+J82</f>
        <v>1149.1234140346232</v>
      </c>
      <c r="L82" s="4">
        <f>(H82-J82)/Thiet_ke!$B$3</f>
        <v>0.34091845575032653</v>
      </c>
      <c r="M82" s="4">
        <f>1.05+0.05*B82^2</f>
        <v>3.5</v>
      </c>
      <c r="N82" s="4">
        <f>(MIN(H82,Thiet_ke!$B$16)-K82)/(Thiet_ke!$B$2*M82)</f>
        <v>0.9135028716887724</v>
      </c>
      <c r="O82" s="4">
        <f>IF(N82&gt;0,1/N82,"")</f>
        <v>1.0946873085919504</v>
      </c>
    </row>
    <row r="83" spans="1:15">
      <c r="A83">
        <v>1</v>
      </c>
      <c r="B83" s="4">
        <f>Thiet_ke!$B$20</f>
        <v>7.0</v>
      </c>
      <c r="C83" s="4">
        <f>Dau_vao!$B$21+(Dau_vao!$B$19-Dau_vao!$B$21)*81/200</f>
        <v>1529.0</v>
      </c>
      <c r="D83" s="4">
        <f>2*PI()*C83*Thiet_ke!$B$7/(60*Thiet_ke!$B$15*B83)</f>
        <v>2.463285171618505</v>
      </c>
      <c r="E83" s="4">
        <f>D83*3.6</f>
        <v>8.86782661782662</v>
      </c>
      <c r="F83" s="4">
        <f>Thiet_ke!$B$12*(Dau_vao!$B$22*(C83/Dau_vao!$B$19)+Dau_vao!$B$23*(C83/Dau_vao!$B$19)^2-Dau_vao!$B$24*(C83/Dau_vao!$B$19)^3)</f>
        <v>71.30856794852853</v>
      </c>
      <c r="G83" s="4">
        <f>60000*F83/(2*PI()*C83)</f>
        <v>445.35426058126666</v>
      </c>
      <c r="H83" s="4">
        <f>G83*Thiet_ke!$B$15*B83*Dau_vao!$B$10/Thiet_ke!$B$7</f>
        <v>25764.221782121505</v>
      </c>
      <c r="I83" s="4">
        <f>IF(D83&lt;=Dau_vao!$B$14,Dau_vao!$B$13,Dau_vao!$B$13*(1+D83^2/1500))</f>
        <v>0.015</v>
      </c>
      <c r="J83" s="4">
        <f>Thiet_ke!$B$8*D83^2</f>
        <v>17.748238472393158</v>
      </c>
      <c r="K83" s="4">
        <f>Thiet_ke!$B$3*I83+J83</f>
        <v>1149.3317384723935</v>
      </c>
      <c r="L83" s="4">
        <f>(H83-J83)/Thiet_ke!$B$3</f>
        <v>0.3412890901597069</v>
      </c>
      <c r="M83" s="4">
        <f>1.05+0.05*B83^2</f>
        <v>3.5</v>
      </c>
      <c r="N83" s="4">
        <f>(MIN(H83,Thiet_ke!$B$16)-K83)/(Thiet_ke!$B$2*M83)</f>
        <v>0.9145417069904928</v>
      </c>
      <c r="O83" s="4">
        <f>IF(N83&gt;0,1/N83,"")</f>
        <v>1.0934438444483054</v>
      </c>
    </row>
    <row r="84" spans="1:15">
      <c r="A84">
        <v>1</v>
      </c>
      <c r="B84" s="4">
        <f>Thiet_ke!$B$20</f>
        <v>7.0</v>
      </c>
      <c r="C84" s="4">
        <f>Dau_vao!$B$21+(Dau_vao!$B$19-Dau_vao!$B$21)*82/200</f>
        <v>1538.0</v>
      </c>
      <c r="D84" s="4">
        <f>2*PI()*C84*Thiet_ke!$B$7/(60*Thiet_ke!$B$15*B84)</f>
        <v>2.477784561117894</v>
      </c>
      <c r="E84" s="4">
        <f>D84*3.6</f>
        <v>8.920024420024419</v>
      </c>
      <c r="F84" s="4">
        <f>Thiet_ke!$B$12*(Dau_vao!$B$22*(C84/Dau_vao!$B$19)+Dau_vao!$B$23*(C84/Dau_vao!$B$19)^2-Dau_vao!$B$24*(C84/Dau_vao!$B$19)^3)</f>
        <v>71.80506779337827</v>
      </c>
      <c r="G84" s="4">
        <f>60000*F84/(2*PI()*C84)</f>
        <v>445.83087691930325</v>
      </c>
      <c r="H84" s="4">
        <f>G84*Thiet_ke!$B$15*B84*Dau_vao!$B$10/Thiet_ke!$B$7</f>
        <v>25791.79454862459</v>
      </c>
      <c r="I84" s="4">
        <f>IF(D84&lt;=Dau_vao!$B$14,Dau_vao!$B$13,Dau_vao!$B$13*(1+D84^2/1500))</f>
        <v>0.015</v>
      </c>
      <c r="J84" s="4">
        <f>Thiet_ke!$B$8*D84^2</f>
        <v>17.957792769094024</v>
      </c>
      <c r="K84" s="4">
        <f>Thiet_ke!$B$3*I84+J84</f>
        <v>1149.5412927690943</v>
      </c>
      <c r="L84" s="4">
        <f>(H84-J84)/Thiet_ke!$B$3</f>
        <v>0.3416518103505684</v>
      </c>
      <c r="M84" s="4">
        <f>1.05+0.05*B84^2</f>
        <v>3.5</v>
      </c>
      <c r="N84" s="4">
        <f>(MIN(H84,Thiet_ke!$B$16)-K84)/(Thiet_ke!$B$2*M84)</f>
        <v>0.9155583598683075</v>
      </c>
      <c r="O84" s="4">
        <f>IF(N84&gt;0,1/N84,"")</f>
        <v>1.0922296642497356</v>
      </c>
    </row>
    <row r="85" spans="1:15">
      <c r="A85">
        <v>1</v>
      </c>
      <c r="B85" s="4">
        <f>Thiet_ke!$B$20</f>
        <v>7.0</v>
      </c>
      <c r="C85" s="4">
        <f>Dau_vao!$B$21+(Dau_vao!$B$19-Dau_vao!$B$21)*83/200</f>
        <v>1547.0</v>
      </c>
      <c r="D85" s="4">
        <f>2*PI()*C85*Thiet_ke!$B$7/(60*Thiet_ke!$B$15*B85)</f>
        <v>2.492283950617284</v>
      </c>
      <c r="E85" s="4">
        <f>D85*3.6</f>
        <v>8.972222222222223</v>
      </c>
      <c r="F85" s="4">
        <f>Thiet_ke!$B$12*(Dau_vao!$B$22*(C85/Dau_vao!$B$19)+Dau_vao!$B$23*(C85/Dau_vao!$B$19)^2-Dau_vao!$B$24*(C85/Dau_vao!$B$19)^3)</f>
        <v>72.3007975805437</v>
      </c>
      <c r="G85" s="4">
        <f>60000*F85/(2*PI()*C85)</f>
        <v>446.29719422482526</v>
      </c>
      <c r="H85" s="4">
        <f>G85*Thiet_ke!$B$15*B85*Dau_vao!$B$10/Thiet_ke!$B$7</f>
        <v>25818.771505047163</v>
      </c>
      <c r="I85" s="4">
        <f>IF(D85&lt;=Dau_vao!$B$14,Dau_vao!$B$13,Dau_vao!$B$13*(1+D85^2/1500))</f>
        <v>0.015</v>
      </c>
      <c r="J85" s="4">
        <f>Thiet_ke!$B$8*D85^2</f>
        <v>18.168576924725656</v>
      </c>
      <c r="K85" s="4">
        <f>Thiet_ke!$B$3*I85+J85</f>
        <v>1149.7520769247258</v>
      </c>
      <c r="L85" s="4">
        <f>(H85-J85)/Thiet_ke!$B$3</f>
        <v>0.3420066163229108</v>
      </c>
      <c r="M85" s="4">
        <f>1.05+0.05*B85^2</f>
        <v>3.5</v>
      </c>
      <c r="N85" s="4">
        <f>(MIN(H85,Thiet_ke!$B$16)-K85)/(Thiet_ke!$B$2*M85)</f>
        <v>0.9165528303222158</v>
      </c>
      <c r="O85" s="4">
        <f>IF(N85&gt;0,1/N85,"")</f>
        <v>1.0910445823929737</v>
      </c>
    </row>
    <row r="86" spans="1:15">
      <c r="A86">
        <v>1</v>
      </c>
      <c r="B86" s="4">
        <f>Thiet_ke!$B$20</f>
        <v>7.0</v>
      </c>
      <c r="C86" s="4">
        <f>Dau_vao!$B$21+(Dau_vao!$B$19-Dau_vao!$B$21)*84/200</f>
        <v>1556.0</v>
      </c>
      <c r="D86" s="4">
        <f>2*PI()*C86*Thiet_ke!$B$7/(60*Thiet_ke!$B$15*B86)</f>
        <v>2.5067833401166735</v>
      </c>
      <c r="E86" s="4">
        <f>D86*3.6</f>
        <v>9.024420024420024</v>
      </c>
      <c r="F86" s="4">
        <f>Thiet_ke!$B$12*(Dau_vao!$B$22*(C86/Dau_vao!$B$19)+Dau_vao!$B$23*(C86/Dau_vao!$B$19)^2-Dau_vao!$B$24*(C86/Dau_vao!$B$19)^3)</f>
        <v>72.79572819019643</v>
      </c>
      <c r="G86" s="4">
        <f>60000*F86/(2*PI()*C86)</f>
        <v>446.7532124978327</v>
      </c>
      <c r="H86" s="4">
        <f>G86*Thiet_ke!$B$15*B86*Dau_vao!$B$10/Thiet_ke!$B$7</f>
        <v>25845.152651389242</v>
      </c>
      <c r="I86" s="4">
        <f>IF(D86&lt;=Dau_vao!$B$14,Dau_vao!$B$13,Dau_vao!$B$13*(1+D86^2/1500))</f>
        <v>0.015</v>
      </c>
      <c r="J86" s="4">
        <f>Thiet_ke!$B$8*D86^2</f>
        <v>18.380590939288034</v>
      </c>
      <c r="K86" s="4">
        <f>Thiet_ke!$B$3*I86+J86</f>
        <v>1149.9640909392883</v>
      </c>
      <c r="L86" s="4">
        <f>(H86-J86)/Thiet_ke!$B$3</f>
        <v>0.3423535080767343</v>
      </c>
      <c r="M86" s="4">
        <f>1.05+0.05*B86^2</f>
        <v>3.5</v>
      </c>
      <c r="N86" s="4">
        <f>(MIN(H86,Thiet_ke!$B$16)-K86)/(Thiet_ke!$B$2*M86)</f>
        <v>0.9175251183522183</v>
      </c>
      <c r="O86" s="4">
        <f>IF(N86&gt;0,1/N86,"")</f>
        <v>1.0898884183093518</v>
      </c>
    </row>
    <row r="87" spans="1:15">
      <c r="A87">
        <v>1</v>
      </c>
      <c r="B87" s="4">
        <f>Thiet_ke!$B$20</f>
        <v>7.0</v>
      </c>
      <c r="C87" s="4">
        <f>Dau_vao!$B$21+(Dau_vao!$B$19-Dau_vao!$B$21)*85/200</f>
        <v>1565.0</v>
      </c>
      <c r="D87" s="4">
        <f>2*PI()*C87*Thiet_ke!$B$7/(60*Thiet_ke!$B$15*B87)</f>
        <v>2.5212827296160625</v>
      </c>
      <c r="E87" s="4">
        <f>D87*3.6</f>
        <v>9.076617826617825</v>
      </c>
      <c r="F87" s="4">
        <f>Thiet_ke!$B$12*(Dau_vao!$B$22*(C87/Dau_vao!$B$19)+Dau_vao!$B$23*(C87/Dau_vao!$B$19)^2-Dau_vao!$B$24*(C87/Dau_vao!$B$19)^3)</f>
        <v>73.28983050250802</v>
      </c>
      <c r="G87" s="4">
        <f>60000*F87/(2*PI()*C87)</f>
        <v>447.1989317383254</v>
      </c>
      <c r="H87" s="4">
        <f>G87*Thiet_ke!$B$15*B87*Dau_vao!$B$10/Thiet_ke!$B$7</f>
        <v>25870.93798765081</v>
      </c>
      <c r="I87" s="4">
        <f>IF(D87&lt;=Dau_vao!$B$14,Dau_vao!$B$13,Dau_vao!$B$13*(1+D87^2/1500))</f>
        <v>0.015</v>
      </c>
      <c r="J87" s="4">
        <f>Thiet_ke!$B$8*D87^2</f>
        <v>18.593834812781154</v>
      </c>
      <c r="K87" s="4">
        <f>Thiet_ke!$B$3*I87+J87</f>
        <v>1150.1773348127813</v>
      </c>
      <c r="L87" s="4">
        <f>(H87-J87)/Thiet_ke!$B$3</f>
        <v>0.3426924856120387</v>
      </c>
      <c r="M87" s="4">
        <f>1.05+0.05*B87^2</f>
        <v>3.5</v>
      </c>
      <c r="N87" s="4">
        <f>(MIN(H87,Thiet_ke!$B$16)-K87)/(Thiet_ke!$B$2*M87)</f>
        <v>0.9184752239583143</v>
      </c>
      <c r="O87" s="4">
        <f>IF(N87&gt;0,1/N87,"")</f>
        <v>1.0887609963939384</v>
      </c>
    </row>
    <row r="88" spans="1:15">
      <c r="A88">
        <v>1</v>
      </c>
      <c r="B88" s="4">
        <f>Thiet_ke!$B$20</f>
        <v>7.0</v>
      </c>
      <c r="C88" s="4">
        <f>Dau_vao!$B$21+(Dau_vao!$B$19-Dau_vao!$B$21)*86/200</f>
        <v>1574.0</v>
      </c>
      <c r="D88" s="4">
        <f>2*PI()*C88*Thiet_ke!$B$7/(60*Thiet_ke!$B$15*B88)</f>
        <v>2.5357821191154524</v>
      </c>
      <c r="E88" s="4">
        <f>D88*3.6</f>
        <v>9.128815628815628</v>
      </c>
      <c r="F88" s="4">
        <f>Thiet_ke!$B$12*(Dau_vao!$B$22*(C88/Dau_vao!$B$19)+Dau_vao!$B$23*(C88/Dau_vao!$B$19)^2-Dau_vao!$B$24*(C88/Dau_vao!$B$19)^3)</f>
        <v>73.78307539765014</v>
      </c>
      <c r="G88" s="4">
        <f>60000*F88/(2*PI()*C88)</f>
        <v>447.63435194630364</v>
      </c>
      <c r="H88" s="4">
        <f>G88*Thiet_ke!$B$15*B88*Dau_vao!$B$10/Thiet_ke!$B$7</f>
        <v>25896.127513831903</v>
      </c>
      <c r="I88" s="4">
        <f>IF(D88&lt;=Dau_vao!$B$14,Dau_vao!$B$13,Dau_vao!$B$13*(1+D88^2/1500))</f>
        <v>0.015</v>
      </c>
      <c r="J88" s="4">
        <f>Thiet_ke!$B$8*D88^2</f>
        <v>18.80830854520504</v>
      </c>
      <c r="K88" s="4">
        <f>Thiet_ke!$B$3*I88+J88</f>
        <v>1150.3918085452053</v>
      </c>
      <c r="L88" s="4">
        <f>(H88-J88)/Thiet_ke!$B$3</f>
        <v>0.3430235489288245</v>
      </c>
      <c r="M88" s="4">
        <f>1.05+0.05*B88^2</f>
        <v>3.5</v>
      </c>
      <c r="N88" s="4">
        <f>(MIN(H88,Thiet_ke!$B$16)-K88)/(Thiet_ke!$B$2*M88)</f>
        <v>0.9194031471405052</v>
      </c>
      <c r="O88" s="4">
        <f>IF(N88&gt;0,1/N88,"")</f>
        <v>1.0876621459369202</v>
      </c>
    </row>
    <row r="89" spans="1:15">
      <c r="A89">
        <v>1</v>
      </c>
      <c r="B89" s="4">
        <f>Thiet_ke!$B$20</f>
        <v>7.0</v>
      </c>
      <c r="C89" s="4">
        <f>Dau_vao!$B$21+(Dau_vao!$B$19-Dau_vao!$B$21)*87/200</f>
        <v>1583.0</v>
      </c>
      <c r="D89" s="4">
        <f>2*PI()*C89*Thiet_ke!$B$7/(60*Thiet_ke!$B$15*B89)</f>
        <v>2.550281508614842</v>
      </c>
      <c r="E89" s="4">
        <f>D89*3.6</f>
        <v>9.181013431013431</v>
      </c>
      <c r="F89" s="4">
        <f>Thiet_ke!$B$12*(Dau_vao!$B$22*(C89/Dau_vao!$B$19)+Dau_vao!$B$23*(C89/Dau_vao!$B$19)^2-Dau_vao!$B$24*(C89/Dau_vao!$B$19)^3)</f>
        <v>74.27543375579434</v>
      </c>
      <c r="G89" s="4">
        <f>60000*F89/(2*PI()*C89)</f>
        <v>448.05947312176716</v>
      </c>
      <c r="H89" s="4">
        <f>G89*Thiet_ke!$B$15*B89*Dau_vao!$B$10/Thiet_ke!$B$7</f>
        <v>25920.72122993248</v>
      </c>
      <c r="I89" s="4">
        <f>IF(D89&lt;=Dau_vao!$B$14,Dau_vao!$B$13,Dau_vao!$B$13*(1+D89^2/1500))</f>
        <v>0.015</v>
      </c>
      <c r="J89" s="4">
        <f>Thiet_ke!$B$8*D89^2</f>
        <v>19.024012136559673</v>
      </c>
      <c r="K89" s="4">
        <f>Thiet_ke!$B$3*I89+J89</f>
        <v>1150.6075121365598</v>
      </c>
      <c r="L89" s="4">
        <f>(H89-J89)/Thiet_ke!$B$3</f>
        <v>0.343346698027091</v>
      </c>
      <c r="M89" s="4">
        <f>1.05+0.05*B89^2</f>
        <v>3.5</v>
      </c>
      <c r="N89" s="4">
        <f>(MIN(H89,Thiet_ke!$B$16)-K89)/(Thiet_ke!$B$2*M89)</f>
        <v>0.9203088878987894</v>
      </c>
      <c r="O89" s="4">
        <f>IF(N89&gt;0,1/N89,"")</f>
        <v>1.086591701057194</v>
      </c>
    </row>
    <row r="90" spans="1:15">
      <c r="A90">
        <v>1</v>
      </c>
      <c r="B90" s="4">
        <f>Thiet_ke!$B$20</f>
        <v>7.0</v>
      </c>
      <c r="C90" s="4">
        <f>Dau_vao!$B$21+(Dau_vao!$B$19-Dau_vao!$B$21)*88/200</f>
        <v>1592.0</v>
      </c>
      <c r="D90" s="4">
        <f>2*PI()*C90*Thiet_ke!$B$7/(60*Thiet_ke!$B$15*B90)</f>
        <v>2.5647808981142317</v>
      </c>
      <c r="E90" s="4">
        <f>D90*3.6</f>
        <v>9.233211233211234</v>
      </c>
      <c r="F90" s="4">
        <f>Thiet_ke!$B$12*(Dau_vao!$B$22*(C90/Dau_vao!$B$19)+Dau_vao!$B$23*(C90/Dau_vao!$B$19)^2-Dau_vao!$B$24*(C90/Dau_vao!$B$19)^3)</f>
        <v>74.76687645711225</v>
      </c>
      <c r="G90" s="4">
        <f>60000*F90/(2*PI()*C90)</f>
        <v>448.4742952647162</v>
      </c>
      <c r="H90" s="4">
        <f>G90*Thiet_ke!$B$15*B90*Dau_vao!$B$10/Thiet_ke!$B$7</f>
        <v>25944.719135952564</v>
      </c>
      <c r="I90" s="4">
        <f>IF(D90&lt;=Dau_vao!$B$14,Dau_vao!$B$13,Dau_vao!$B$13*(1+D90^2/1500))</f>
        <v>0.015</v>
      </c>
      <c r="J90" s="4">
        <f>Thiet_ke!$B$8*D90^2</f>
        <v>19.240945586845065</v>
      </c>
      <c r="K90" s="4">
        <f>Thiet_ke!$B$3*I90+J90</f>
        <v>1150.8244455868453</v>
      </c>
      <c r="L90" s="4">
        <f>(H90-J90)/Thiet_ke!$B$3</f>
        <v>0.3436619329068387</v>
      </c>
      <c r="M90" s="4">
        <f>1.05+0.05*B90^2</f>
        <v>3.5</v>
      </c>
      <c r="N90" s="4">
        <f>(MIN(H90,Thiet_ke!$B$16)-K90)/(Thiet_ke!$B$2*M90)</f>
        <v>0.9211924462331681</v>
      </c>
      <c r="O90" s="4">
        <f>IF(N90&gt;0,1/N90,"")</f>
        <v>1.0855495006380942</v>
      </c>
    </row>
    <row r="91" spans="1:15">
      <c r="A91">
        <v>1</v>
      </c>
      <c r="B91" s="4">
        <f>Thiet_ke!$B$20</f>
        <v>7.0</v>
      </c>
      <c r="C91" s="4">
        <f>Dau_vao!$B$21+(Dau_vao!$B$19-Dau_vao!$B$21)*89/200</f>
        <v>1601.0</v>
      </c>
      <c r="D91" s="4">
        <f>2*PI()*C91*Thiet_ke!$B$7/(60*Thiet_ke!$B$15*B91)</f>
        <v>2.5792802876136207</v>
      </c>
      <c r="E91" s="4">
        <f>D91*3.6</f>
        <v>9.285409035409035</v>
      </c>
      <c r="F91" s="4">
        <f>Thiet_ke!$B$12*(Dau_vao!$B$22*(C91/Dau_vao!$B$19)+Dau_vao!$B$23*(C91/Dau_vao!$B$19)^2-Dau_vao!$B$24*(C91/Dau_vao!$B$19)^3)</f>
        <v>75.25737438177545</v>
      </c>
      <c r="G91" s="4">
        <f>60000*F91/(2*PI()*C91)</f>
        <v>448.8788183751506</v>
      </c>
      <c r="H91" s="4">
        <f>G91*Thiet_ke!$B$15*B91*Dau_vao!$B$10/Thiet_ke!$B$7</f>
        <v>25968.12123189215</v>
      </c>
      <c r="I91" s="4">
        <f>IF(D91&lt;=Dau_vao!$B$14,Dau_vao!$B$13,Dau_vao!$B$13*(1+D91^2/1500))</f>
        <v>0.015</v>
      </c>
      <c r="J91" s="4">
        <f>Thiet_ke!$B$8*D91^2</f>
        <v>19.459108896061192</v>
      </c>
      <c r="K91" s="4">
        <f>Thiet_ke!$B$3*I91+J91</f>
        <v>1151.0426088960614</v>
      </c>
      <c r="L91" s="4">
        <f>(H91-J91)/Thiet_ke!$B$3</f>
        <v>0.34396925356806746</v>
      </c>
      <c r="M91" s="4">
        <f>1.05+0.05*B91^2</f>
        <v>3.5</v>
      </c>
      <c r="N91" s="4">
        <f>(MIN(H91,Thiet_ke!$B$16)-K91)/(Thiet_ke!$B$2*M91)</f>
        <v>0.9220538221436406</v>
      </c>
      <c r="O91" s="4">
        <f>IF(N91&gt;0,1/N91,"")</f>
        <v>1.084535388265238</v>
      </c>
    </row>
    <row r="92" spans="1:15">
      <c r="A92">
        <v>1</v>
      </c>
      <c r="B92" s="4">
        <f>Thiet_ke!$B$20</f>
        <v>7.0</v>
      </c>
      <c r="C92" s="4">
        <f>Dau_vao!$B$21+(Dau_vao!$B$19-Dau_vao!$B$21)*90/200</f>
        <v>1610.0</v>
      </c>
      <c r="D92" s="4">
        <f>2*PI()*C92*Thiet_ke!$B$7/(60*Thiet_ke!$B$15*B92)</f>
        <v>2.59377967711301</v>
      </c>
      <c r="E92" s="4">
        <f>D92*3.6</f>
        <v>9.337606837606836</v>
      </c>
      <c r="F92" s="4">
        <f>Thiet_ke!$B$12*(Dau_vao!$B$22*(C92/Dau_vao!$B$19)+Dau_vao!$B$23*(C92/Dau_vao!$B$19)^2-Dau_vao!$B$24*(C92/Dau_vao!$B$19)^3)</f>
        <v>75.74689840995556</v>
      </c>
      <c r="G92" s="4">
        <f>60000*F92/(2*PI()*C92)</f>
        <v>449.27304245307045</v>
      </c>
      <c r="H92" s="4">
        <f>G92*Thiet_ke!$B$15*B92*Dau_vao!$B$10/Thiet_ke!$B$7</f>
        <v>25990.927517751228</v>
      </c>
      <c r="I92" s="4">
        <f>IF(D92&lt;=Dau_vao!$B$14,Dau_vao!$B$13,Dau_vao!$B$13*(1+D92^2/1500))</f>
        <v>0.015</v>
      </c>
      <c r="J92" s="4">
        <f>Thiet_ke!$B$8*D92^2</f>
        <v>19.678502064208082</v>
      </c>
      <c r="K92" s="4">
        <f>Thiet_ke!$B$3*I92+J92</f>
        <v>1151.2620020642082</v>
      </c>
      <c r="L92" s="4">
        <f>(H92-J92)/Thiet_ke!$B$3</f>
        <v>0.34426866001077716</v>
      </c>
      <c r="M92" s="4">
        <f>1.05+0.05*B92^2</f>
        <v>3.5</v>
      </c>
      <c r="N92" s="4">
        <f>(MIN(H92,Thiet_ke!$B$16)-K92)/(Thiet_ke!$B$2*M92)</f>
        <v>0.9228930156302069</v>
      </c>
      <c r="O92" s="4">
        <f>IF(N92&gt;0,1/N92,"")</f>
        <v>1.0835492121664176</v>
      </c>
    </row>
    <row r="93" spans="1:15">
      <c r="A93">
        <v>1</v>
      </c>
      <c r="B93" s="4">
        <f>Thiet_ke!$B$20</f>
        <v>7.0</v>
      </c>
      <c r="C93" s="4">
        <f>Dau_vao!$B$21+(Dau_vao!$B$19-Dau_vao!$B$21)*91/200</f>
        <v>1619.0</v>
      </c>
      <c r="D93" s="4">
        <f>2*PI()*C93*Thiet_ke!$B$7/(60*Thiet_ke!$B$15*B93)</f>
        <v>2.6082790666124</v>
      </c>
      <c r="E93" s="4">
        <f>D93*3.6</f>
        <v>9.389804639804641</v>
      </c>
      <c r="F93" s="4">
        <f>Thiet_ke!$B$12*(Dau_vao!$B$22*(C93/Dau_vao!$B$19)+Dau_vao!$B$23*(C93/Dau_vao!$B$19)^2-Dau_vao!$B$24*(C93/Dau_vao!$B$19)^3)</f>
        <v>76.23541942182418</v>
      </c>
      <c r="G93" s="4">
        <f>60000*F93/(2*PI()*C93)</f>
        <v>449.6569674984756</v>
      </c>
      <c r="H93" s="4">
        <f>G93*Thiet_ke!$B$15*B93*Dau_vao!$B$10/Thiet_ke!$B$7</f>
        <v>26013.137993529825</v>
      </c>
      <c r="I93" s="4">
        <f>IF(D93&lt;=Dau_vao!$B$14,Dau_vao!$B$13,Dau_vao!$B$13*(1+D93^2/1500))</f>
        <v>0.015</v>
      </c>
      <c r="J93" s="4">
        <f>Thiet_ke!$B$8*D93^2</f>
        <v>19.899125091285725</v>
      </c>
      <c r="K93" s="4">
        <f>Thiet_ke!$B$3*I93+J93</f>
        <v>1151.4826250912859</v>
      </c>
      <c r="L93" s="4">
        <f>(H93-J93)/Thiet_ke!$B$3</f>
        <v>0.3445601522349681</v>
      </c>
      <c r="M93" s="4">
        <f>1.05+0.05*B93^2</f>
        <v>3.5</v>
      </c>
      <c r="N93" s="4">
        <f>(MIN(H93,Thiet_ke!$B$16)-K93)/(Thiet_ke!$B$2*M93)</f>
        <v>0.923710026692868</v>
      </c>
      <c r="O93" s="4">
        <f>IF(N93&gt;0,1/N93,"")</f>
        <v>1.082590825153507</v>
      </c>
    </row>
    <row r="94" spans="1:15">
      <c r="A94">
        <v>1</v>
      </c>
      <c r="B94" s="4">
        <f>Thiet_ke!$B$20</f>
        <v>7.0</v>
      </c>
      <c r="C94" s="4">
        <f>Dau_vao!$B$21+(Dau_vao!$B$19-Dau_vao!$B$21)*92/200</f>
        <v>1628.0</v>
      </c>
      <c r="D94" s="4">
        <f>2*PI()*C94*Thiet_ke!$B$7/(60*Thiet_ke!$B$15*B94)</f>
        <v>2.6227784561117895</v>
      </c>
      <c r="E94" s="4">
        <f>D94*3.6</f>
        <v>9.442002442002442</v>
      </c>
      <c r="F94" s="4">
        <f>Thiet_ke!$B$12*(Dau_vao!$B$22*(C94/Dau_vao!$B$19)+Dau_vao!$B$23*(C94/Dau_vao!$B$19)^2-Dau_vao!$B$24*(C94/Dau_vao!$B$19)^3)</f>
        <v>76.7229082975529</v>
      </c>
      <c r="G94" s="4">
        <f>60000*F94/(2*PI()*C94)</f>
        <v>450.03059351136625</v>
      </c>
      <c r="H94" s="4">
        <f>G94*Thiet_ke!$B$15*B94*Dau_vao!$B$10/Thiet_ke!$B$7</f>
        <v>26034.752659227914</v>
      </c>
      <c r="I94" s="4">
        <f>IF(D94&lt;=Dau_vao!$B$14,Dau_vao!$B$13,Dau_vao!$B$13*(1+D94^2/1500))</f>
        <v>0.015</v>
      </c>
      <c r="J94" s="4">
        <f>Thiet_ke!$B$8*D94^2</f>
        <v>20.120977977294118</v>
      </c>
      <c r="K94" s="4">
        <f>Thiet_ke!$B$3*I94+J94</f>
        <v>1151.7044779772943</v>
      </c>
      <c r="L94" s="4">
        <f>(H94-J94)/Thiet_ke!$B$3</f>
        <v>0.34484373024063997</v>
      </c>
      <c r="M94" s="4">
        <f>1.05+0.05*B94^2</f>
        <v>3.5</v>
      </c>
      <c r="N94" s="4">
        <f>(MIN(H94,Thiet_ke!$B$16)-K94)/(Thiet_ke!$B$2*M94)</f>
        <v>0.9245048553316224</v>
      </c>
      <c r="O94" s="4">
        <f>IF(N94&gt;0,1/N94,"")</f>
        <v>1.0816600845663458</v>
      </c>
    </row>
    <row r="95" spans="1:15">
      <c r="A95">
        <v>1</v>
      </c>
      <c r="B95" s="4">
        <f>Thiet_ke!$B$20</f>
        <v>7.0</v>
      </c>
      <c r="C95" s="4">
        <f>Dau_vao!$B$21+(Dau_vao!$B$19-Dau_vao!$B$21)*93/200</f>
        <v>1637.0</v>
      </c>
      <c r="D95" s="4">
        <f>2*PI()*C95*Thiet_ke!$B$7/(60*Thiet_ke!$B$15*B95)</f>
        <v>2.6372778456111785</v>
      </c>
      <c r="E95" s="4">
        <f>D95*3.6</f>
        <v>9.494200244200243</v>
      </c>
      <c r="F95" s="4">
        <f>Thiet_ke!$B$12*(Dau_vao!$B$22*(C95/Dau_vao!$B$19)+Dau_vao!$B$23*(C95/Dau_vao!$B$19)^2-Dau_vao!$B$24*(C95/Dau_vao!$B$19)^3)</f>
        <v>77.20933591731331</v>
      </c>
      <c r="G95" s="4">
        <f>60000*F95/(2*PI()*C95)</f>
        <v>450.39392049174216</v>
      </c>
      <c r="H95" s="4">
        <f>G95*Thiet_ke!$B$15*B95*Dau_vao!$B$10/Thiet_ke!$B$7</f>
        <v>26055.771514845506</v>
      </c>
      <c r="I95" s="4">
        <f>IF(D95&lt;=Dau_vao!$B$14,Dau_vao!$B$13,Dau_vao!$B$13*(1+D95^2/1500))</f>
        <v>0.015</v>
      </c>
      <c r="J95" s="4">
        <f>Thiet_ke!$B$8*D95^2</f>
        <v>20.34406072223325</v>
      </c>
      <c r="K95" s="4">
        <f>Thiet_ke!$B$3*I95+J95</f>
        <v>1151.9275607222335</v>
      </c>
      <c r="L95" s="4">
        <f>(H95-J95)/Thiet_ke!$B$3</f>
        <v>0.34511939402779296</v>
      </c>
      <c r="M95" s="4">
        <f>1.05+0.05*B95^2</f>
        <v>3.5</v>
      </c>
      <c r="N95" s="4">
        <f>(MIN(H95,Thiet_ke!$B$16)-K95)/(Thiet_ke!$B$2*M95)</f>
        <v>0.9252775015464713</v>
      </c>
      <c r="O95" s="4">
        <f>IF(N95&gt;0,1/N95,"")</f>
        <v>1.0807568522185405</v>
      </c>
    </row>
    <row r="96" spans="1:15">
      <c r="A96">
        <v>1</v>
      </c>
      <c r="B96" s="4">
        <f>Thiet_ke!$B$20</f>
        <v>7.0</v>
      </c>
      <c r="C96" s="4">
        <f>Dau_vao!$B$21+(Dau_vao!$B$19-Dau_vao!$B$21)*94/200</f>
        <v>1646.0</v>
      </c>
      <c r="D96" s="4">
        <f>2*PI()*C96*Thiet_ke!$B$7/(60*Thiet_ke!$B$15*B96)</f>
        <v>2.6517772351105684</v>
      </c>
      <c r="E96" s="4">
        <f>D96*3.6</f>
        <v>9.546398046398046</v>
      </c>
      <c r="F96" s="4">
        <f>Thiet_ke!$B$12*(Dau_vao!$B$22*(C96/Dau_vao!$B$19)+Dau_vao!$B$23*(C96/Dau_vao!$B$19)^2-Dau_vao!$B$24*(C96/Dau_vao!$B$19)^3)</f>
        <v>77.69467316127707</v>
      </c>
      <c r="G96" s="4">
        <f>60000*F96/(2*PI()*C96)</f>
        <v>450.7469484396036</v>
      </c>
      <c r="H96" s="4">
        <f>G96*Thiet_ke!$B$15*B96*Dau_vao!$B$10/Thiet_ke!$B$7</f>
        <v>26076.19456038259</v>
      </c>
      <c r="I96" s="4">
        <f>IF(D96&lt;=Dau_vao!$B$14,Dau_vao!$B$13,Dau_vao!$B$13*(1+D96^2/1500))</f>
        <v>0.015</v>
      </c>
      <c r="J96" s="4">
        <f>Thiet_ke!$B$8*D96^2</f>
        <v>20.568373326103156</v>
      </c>
      <c r="K96" s="4">
        <f>Thiet_ke!$B$3*I96+J96</f>
        <v>1152.1518733261034</v>
      </c>
      <c r="L96" s="4">
        <f>(H96-J96)/Thiet_ke!$B$3</f>
        <v>0.34538714359642686</v>
      </c>
      <c r="M96" s="4">
        <f>1.05+0.05*B96^2</f>
        <v>3.5</v>
      </c>
      <c r="N96" s="4">
        <f>(MIN(H96,Thiet_ke!$B$16)-K96)/(Thiet_ke!$B$2*M96)</f>
        <v>0.9260279653374136</v>
      </c>
      <c r="O96" s="4">
        <f>IF(N96&gt;0,1/N96,"")</f>
        <v>1.079880994345169</v>
      </c>
    </row>
    <row r="97" spans="1:15">
      <c r="A97">
        <v>1</v>
      </c>
      <c r="B97" s="4">
        <f>Thiet_ke!$B$20</f>
        <v>7.0</v>
      </c>
      <c r="C97" s="4">
        <f>Dau_vao!$B$21+(Dau_vao!$B$19-Dau_vao!$B$21)*95/200</f>
        <v>1655.0</v>
      </c>
      <c r="D97" s="4">
        <f>2*PI()*C97*Thiet_ke!$B$7/(60*Thiet_ke!$B$15*B97)</f>
        <v>2.666276624609958</v>
      </c>
      <c r="E97" s="4">
        <f>D97*3.6</f>
        <v>9.59859584859585</v>
      </c>
      <c r="F97" s="4">
        <f>Thiet_ke!$B$12*(Dau_vao!$B$22*(C97/Dau_vao!$B$19)+Dau_vao!$B$23*(C97/Dau_vao!$B$19)^2-Dau_vao!$B$24*(C97/Dau_vao!$B$19)^3)</f>
        <v>78.17889090961572</v>
      </c>
      <c r="G97" s="4">
        <f>60000*F97/(2*PI()*C97)</f>
        <v>451.0896773549504</v>
      </c>
      <c r="H97" s="4">
        <f>G97*Thiet_ke!$B$15*B97*Dau_vao!$B$10/Thiet_ke!$B$7</f>
        <v>26096.021795839184</v>
      </c>
      <c r="I97" s="4">
        <f>IF(D97&lt;=Dau_vao!$B$14,Dau_vao!$B$13,Dau_vao!$B$13*(1+D97^2/1500))</f>
        <v>0.015</v>
      </c>
      <c r="J97" s="4">
        <f>Thiet_ke!$B$8*D97^2</f>
        <v>20.793915788903803</v>
      </c>
      <c r="K97" s="4">
        <f>Thiet_ke!$B$3*I97+J97</f>
        <v>1152.377415788904</v>
      </c>
      <c r="L97" s="4">
        <f>(H97-J97)/Thiet_ke!$B$3</f>
        <v>0.34564697894654184</v>
      </c>
      <c r="M97" s="4">
        <f>1.05+0.05*B97^2</f>
        <v>3.5</v>
      </c>
      <c r="N97" s="4">
        <f>(MIN(H97,Thiet_ke!$B$16)-K97)/(Thiet_ke!$B$2*M97)</f>
        <v>0.9267562467044502</v>
      </c>
      <c r="O97" s="4">
        <f>IF(N97&gt;0,1/N97,"")</f>
        <v>1.0790323815523282</v>
      </c>
    </row>
    <row r="98" spans="1:15">
      <c r="A98">
        <v>1</v>
      </c>
      <c r="B98" s="4">
        <f>Thiet_ke!$B$20</f>
        <v>7.0</v>
      </c>
      <c r="C98" s="4">
        <f>Dau_vao!$B$21+(Dau_vao!$B$19-Dau_vao!$B$21)*96/200</f>
        <v>1664.0</v>
      </c>
      <c r="D98" s="4">
        <f>2*PI()*C98*Thiet_ke!$B$7/(60*Thiet_ke!$B$15*B98)</f>
        <v>2.6807760141093477</v>
      </c>
      <c r="E98" s="4">
        <f>D98*3.6</f>
        <v>9.650793650793652</v>
      </c>
      <c r="F98" s="4">
        <f>Thiet_ke!$B$12*(Dau_vao!$B$22*(C98/Dau_vao!$B$19)+Dau_vao!$B$23*(C98/Dau_vao!$B$19)^2-Dau_vao!$B$24*(C98/Dau_vao!$B$19)^3)</f>
        <v>78.66196004250087</v>
      </c>
      <c r="G98" s="4">
        <f>60000*F98/(2*PI()*C98)</f>
        <v>451.4221072377826</v>
      </c>
      <c r="H98" s="4">
        <f>G98*Thiet_ke!$B$15*B98*Dau_vao!$B$10/Thiet_ke!$B$7</f>
        <v>26115.253221215284</v>
      </c>
      <c r="I98" s="4">
        <f>IF(D98&lt;=Dau_vao!$B$14,Dau_vao!$B$13,Dau_vao!$B$13*(1+D98^2/1500))</f>
        <v>0.015</v>
      </c>
      <c r="J98" s="4">
        <f>Thiet_ke!$B$8*D98^2</f>
        <v>21.020688110635206</v>
      </c>
      <c r="K98" s="4">
        <f>Thiet_ke!$B$3*I98+J98</f>
        <v>1152.6041881106353</v>
      </c>
      <c r="L98" s="4">
        <f>(H98-J98)/Thiet_ke!$B$3</f>
        <v>0.345898900078138</v>
      </c>
      <c r="M98" s="4">
        <f>1.05+0.05*B98^2</f>
        <v>3.5</v>
      </c>
      <c r="N98" s="4">
        <f>(MIN(H98,Thiet_ke!$B$16)-K98)/(Thiet_ke!$B$2*M98)</f>
        <v>0.9274623456475812</v>
      </c>
      <c r="O98" s="4">
        <f>IF(N98&gt;0,1/N98,"")</f>
        <v>1.078210888768504</v>
      </c>
    </row>
    <row r="99" spans="1:15">
      <c r="A99">
        <v>1</v>
      </c>
      <c r="B99" s="4">
        <f>Thiet_ke!$B$20</f>
        <v>7.0</v>
      </c>
      <c r="C99" s="4">
        <f>Dau_vao!$B$21+(Dau_vao!$B$19-Dau_vao!$B$21)*97/200</f>
        <v>1673.0</v>
      </c>
      <c r="D99" s="4">
        <f>2*PI()*C99*Thiet_ke!$B$7/(60*Thiet_ke!$B$15*B99)</f>
        <v>2.6952754036087367</v>
      </c>
      <c r="E99" s="4">
        <f>D99*3.6</f>
        <v>9.702991452991453</v>
      </c>
      <c r="F99" s="4">
        <f>Thiet_ke!$B$12*(Dau_vao!$B$22*(C99/Dau_vao!$B$19)+Dau_vao!$B$23*(C99/Dau_vao!$B$19)^2-Dau_vao!$B$24*(C99/Dau_vao!$B$19)^3)</f>
        <v>79.14385144010419</v>
      </c>
      <c r="G99" s="4">
        <f>60000*F99/(2*PI()*C99)</f>
        <v>451.7442380881005</v>
      </c>
      <c r="H99" s="4">
        <f>G99*Thiet_ke!$B$15*B99*Dau_vao!$B$10/Thiet_ke!$B$7</f>
        <v>26133.888836510883</v>
      </c>
      <c r="I99" s="4">
        <f>IF(D99&lt;=Dau_vao!$B$14,Dau_vao!$B$13,Dau_vao!$B$13*(1+D99^2/1500))</f>
        <v>0.015</v>
      </c>
      <c r="J99" s="4">
        <f>Thiet_ke!$B$8*D99^2</f>
        <v>21.24869029129735</v>
      </c>
      <c r="K99" s="4">
        <f>Thiet_ke!$B$3*I99+J99</f>
        <v>1152.8321902912976</v>
      </c>
      <c r="L99" s="4">
        <f>(H99-J99)/Thiet_ke!$B$3</f>
        <v>0.3461429069912152</v>
      </c>
      <c r="M99" s="4">
        <f>1.05+0.05*B99^2</f>
        <v>3.5</v>
      </c>
      <c r="N99" s="4">
        <f>(MIN(H99,Thiet_ke!$B$16)-K99)/(Thiet_ke!$B$2*M99)</f>
        <v>0.9281462621668061</v>
      </c>
      <c r="O99" s="4">
        <f>IF(N99&gt;0,1/N99,"")</f>
        <v>1.077416395197722</v>
      </c>
    </row>
    <row r="100" spans="1:15">
      <c r="A100">
        <v>1</v>
      </c>
      <c r="B100" s="4">
        <f>Thiet_ke!$B$20</f>
        <v>7.0</v>
      </c>
      <c r="C100" s="4">
        <f>Dau_vao!$B$21+(Dau_vao!$B$19-Dau_vao!$B$21)*98/200</f>
        <v>1682.0</v>
      </c>
      <c r="D100" s="4">
        <f>2*PI()*C100*Thiet_ke!$B$7/(60*Thiet_ke!$B$15*B100)</f>
        <v>2.709774793108126</v>
      </c>
      <c r="E100" s="4">
        <f>D100*3.6</f>
        <v>9.755189255189254</v>
      </c>
      <c r="F100" s="4">
        <f>Thiet_ke!$B$12*(Dau_vao!$B$22*(C100/Dau_vao!$B$19)+Dau_vao!$B$23*(C100/Dau_vao!$B$19)^2-Dau_vao!$B$24*(C100/Dau_vao!$B$19)^3)</f>
        <v>79.62453598259717</v>
      </c>
      <c r="G100" s="4">
        <f>60000*F100/(2*PI()*C100)</f>
        <v>452.05606990590337</v>
      </c>
      <c r="H100" s="4">
        <f>G100*Thiet_ke!$B$15*B100*Dau_vao!$B$10/Thiet_ke!$B$7</f>
        <v>26151.92864172597</v>
      </c>
      <c r="I100" s="4">
        <f>IF(D100&lt;=Dau_vao!$B$14,Dau_vao!$B$13,Dau_vao!$B$13*(1+D100^2/1500))</f>
        <v>0.015</v>
      </c>
      <c r="J100" s="4">
        <f>Thiet_ke!$B$8*D100^2</f>
        <v>21.47792233089025</v>
      </c>
      <c r="K100" s="4">
        <f>Thiet_ke!$B$3*I100+J100</f>
        <v>1153.0614223308905</v>
      </c>
      <c r="L100" s="4">
        <f>(H100-J100)/Thiet_ke!$B$3</f>
        <v>0.3463789996857732</v>
      </c>
      <c r="M100" s="4">
        <f>1.05+0.05*B100^2</f>
        <v>3.5</v>
      </c>
      <c r="N100" s="4">
        <f>(MIN(H100,Thiet_ke!$B$16)-K100)/(Thiet_ke!$B$2*M100)</f>
        <v>0.9288079962621244</v>
      </c>
      <c r="O100" s="4">
        <f>IF(N100&gt;0,1/N100,"")</f>
        <v>1.0766487842744454</v>
      </c>
    </row>
    <row r="101" spans="1:15">
      <c r="A101">
        <v>1</v>
      </c>
      <c r="B101" s="4">
        <f>Thiet_ke!$B$20</f>
        <v>7.0</v>
      </c>
      <c r="C101" s="4">
        <f>Dau_vao!$B$21+(Dau_vao!$B$19-Dau_vao!$B$21)*99/200</f>
        <v>1691.0</v>
      </c>
      <c r="D101" s="4">
        <f>2*PI()*C101*Thiet_ke!$B$7/(60*Thiet_ke!$B$15*B101)</f>
        <v>2.724274182607516</v>
      </c>
      <c r="E101" s="4">
        <f>D101*3.6</f>
        <v>9.807387057387059</v>
      </c>
      <c r="F101" s="4">
        <f>Thiet_ke!$B$12*(Dau_vao!$B$22*(C101/Dau_vao!$B$19)+Dau_vao!$B$23*(C101/Dau_vao!$B$19)^2-Dau_vao!$B$24*(C101/Dau_vao!$B$19)^3)</f>
        <v>80.1039845501515</v>
      </c>
      <c r="G101" s="4">
        <f>60000*F101/(2*PI()*C101)</f>
        <v>452.35760269119186</v>
      </c>
      <c r="H101" s="4">
        <f>G101*Thiet_ke!$B$15*B101*Dau_vao!$B$10/Thiet_ke!$B$7</f>
        <v>26169.372636860568</v>
      </c>
      <c r="I101" s="4">
        <f>IF(D101&lt;=Dau_vao!$B$14,Dau_vao!$B$13,Dau_vao!$B$13*(1+D101^2/1500))</f>
        <v>0.015</v>
      </c>
      <c r="J101" s="4">
        <f>Thiet_ke!$B$8*D101^2</f>
        <v>21.708384229413912</v>
      </c>
      <c r="K101" s="4">
        <f>Thiet_ke!$B$3*I101+J101</f>
        <v>1153.291884229414</v>
      </c>
      <c r="L101" s="4">
        <f>(H101-J101)/Thiet_ke!$B$3</f>
        <v>0.3466071781618124</v>
      </c>
      <c r="M101" s="4">
        <f>1.05+0.05*B101^2</f>
        <v>3.5</v>
      </c>
      <c r="N101" s="4">
        <f>(MIN(H101,Thiet_ke!$B$16)-K101)/(Thiet_ke!$B$2*M101)</f>
        <v>0.9294475479335372</v>
      </c>
      <c r="O101" s="4">
        <f>IF(N101&gt;0,1/N101,"")</f>
        <v>1.07590794362019</v>
      </c>
    </row>
    <row r="102" spans="1:15">
      <c r="A102">
        <v>1</v>
      </c>
      <c r="B102" s="4">
        <f>Thiet_ke!$B$20</f>
        <v>7.0</v>
      </c>
      <c r="C102" s="4">
        <f>Dau_vao!$B$21+(Dau_vao!$B$19-Dau_vao!$B$21)*100/200</f>
        <v>1700.0</v>
      </c>
      <c r="D102" s="4">
        <f>2*PI()*C102*Thiet_ke!$B$7/(60*Thiet_ke!$B$15*B102)</f>
        <v>2.738773572106905</v>
      </c>
      <c r="E102" s="4">
        <f>D102*3.6</f>
        <v>9.859584859584858</v>
      </c>
      <c r="F102" s="4">
        <f>Thiet_ke!$B$12*(Dau_vao!$B$22*(C102/Dau_vao!$B$19)+Dau_vao!$B$23*(C102/Dau_vao!$B$19)^2-Dau_vao!$B$24*(C102/Dau_vao!$B$19)^3)</f>
        <v>80.58216802293873</v>
      </c>
      <c r="G102" s="4">
        <f>60000*F102/(2*PI()*C102)</f>
        <v>452.64883644396576</v>
      </c>
      <c r="H102" s="4">
        <f>G102*Thiet_ke!$B$15*B102*Dau_vao!$B$10/Thiet_ke!$B$7</f>
        <v>26186.220821914667</v>
      </c>
      <c r="I102" s="4">
        <f>IF(D102&lt;=Dau_vao!$B$14,Dau_vao!$B$13,Dau_vao!$B$13*(1+D102^2/1500))</f>
        <v>0.015</v>
      </c>
      <c r="J102" s="4">
        <f>Thiet_ke!$B$8*D102^2</f>
        <v>21.94007598686831</v>
      </c>
      <c r="K102" s="4">
        <f>Thiet_ke!$B$3*I102+J102</f>
        <v>1153.5235759868685</v>
      </c>
      <c r="L102" s="4">
        <f>(H102-J102)/Thiet_ke!$B$3</f>
        <v>0.34682744241933267</v>
      </c>
      <c r="M102" s="4">
        <f>1.05+0.05*B102^2</f>
        <v>3.5</v>
      </c>
      <c r="N102" s="4">
        <f>(MIN(H102,Thiet_ke!$B$16)-K102)/(Thiet_ke!$B$2*M102)</f>
        <v>0.9300649171810439</v>
      </c>
      <c r="O102" s="4">
        <f>IF(N102&gt;0,1/N102,"")</f>
        <v>1.0751937650018282</v>
      </c>
    </row>
    <row r="103" spans="1:15">
      <c r="A103">
        <v>1</v>
      </c>
      <c r="B103" s="4">
        <f>Thiet_ke!$B$20</f>
        <v>7.0</v>
      </c>
      <c r="C103" s="4">
        <f>Dau_vao!$B$21+(Dau_vao!$B$19-Dau_vao!$B$21)*101/200</f>
        <v>1709.0</v>
      </c>
      <c r="D103" s="4">
        <f>2*PI()*C103*Thiet_ke!$B$7/(60*Thiet_ke!$B$15*B103)</f>
        <v>2.753272961606295</v>
      </c>
      <c r="E103" s="4">
        <f>D103*3.6</f>
        <v>9.911782661782663</v>
      </c>
      <c r="F103" s="4">
        <f>Thiet_ke!$B$12*(Dau_vao!$B$22*(C103/Dau_vao!$B$19)+Dau_vao!$B$23*(C103/Dau_vao!$B$19)^2-Dau_vao!$B$24*(C103/Dau_vao!$B$19)^3)</f>
        <v>81.05905728113048</v>
      </c>
      <c r="G103" s="4">
        <f>60000*F103/(2*PI()*C103)</f>
        <v>452.929771164225</v>
      </c>
      <c r="H103" s="4">
        <f>G103*Thiet_ke!$B$15*B103*Dau_vao!$B$10/Thiet_ke!$B$7</f>
        <v>26202.47319688827</v>
      </c>
      <c r="I103" s="4">
        <f>IF(D103&lt;=Dau_vao!$B$14,Dau_vao!$B$13,Dau_vao!$B$13*(1+D103^2/1500))</f>
        <v>0.015</v>
      </c>
      <c r="J103" s="4">
        <f>Thiet_ke!$B$8*D103^2</f>
        <v>22.172997603253474</v>
      </c>
      <c r="K103" s="4">
        <f>Thiet_ke!$B$3*I103+J103</f>
        <v>1153.7564976032536</v>
      </c>
      <c r="L103" s="4">
        <f>(H103-J103)/Thiet_ke!$B$3</f>
        <v>0.347039792458334</v>
      </c>
      <c r="M103" s="4">
        <f>1.05+0.05*B103^2</f>
        <v>3.5</v>
      </c>
      <c r="N103" s="4">
        <f>(MIN(H103,Thiet_ke!$B$16)-K103)/(Thiet_ke!$B$2*M103)</f>
        <v>0.9306601040046449</v>
      </c>
      <c r="O103" s="4">
        <f>IF(N103&gt;0,1/N103,"")</f>
        <v>1.0745061442915458</v>
      </c>
    </row>
    <row r="104" spans="1:15">
      <c r="A104">
        <v>1</v>
      </c>
      <c r="B104" s="4">
        <f>Thiet_ke!$B$20</f>
        <v>7.0</v>
      </c>
      <c r="C104" s="4">
        <f>Dau_vao!$B$21+(Dau_vao!$B$19-Dau_vao!$B$21)*102/200</f>
        <v>1718.0</v>
      </c>
      <c r="D104" s="4">
        <f>2*PI()*C104*Thiet_ke!$B$7/(60*Thiet_ke!$B$15*B104)</f>
        <v>2.7677723511056844</v>
      </c>
      <c r="E104" s="4">
        <f>D104*3.6</f>
        <v>9.963980463980464</v>
      </c>
      <c r="F104" s="4">
        <f>Thiet_ke!$B$12*(Dau_vao!$B$22*(C104/Dau_vao!$B$19)+Dau_vao!$B$23*(C104/Dau_vao!$B$19)^2-Dau_vao!$B$24*(C104/Dau_vao!$B$19)^3)</f>
        <v>81.53462320489838</v>
      </c>
      <c r="G104" s="4">
        <f>60000*F104/(2*PI()*C104)</f>
        <v>453.2004068519697</v>
      </c>
      <c r="H104" s="4">
        <f>G104*Thiet_ke!$B$15*B104*Dau_vao!$B$10/Thiet_ke!$B$7</f>
        <v>26218.12976178138</v>
      </c>
      <c r="I104" s="4">
        <f>IF(D104&lt;=Dau_vao!$B$14,Dau_vao!$B$13,Dau_vao!$B$13*(1+D104^2/1500))</f>
        <v>0.015</v>
      </c>
      <c r="J104" s="4">
        <f>Thiet_ke!$B$8*D104^2</f>
        <v>22.407149078569386</v>
      </c>
      <c r="K104" s="4">
        <f>Thiet_ke!$B$3*I104+J104</f>
        <v>1153.9906490785695</v>
      </c>
      <c r="L104" s="4">
        <f>(H104-J104)/Thiet_ke!$B$3</f>
        <v>0.34724422827881646</v>
      </c>
      <c r="M104" s="4">
        <f>1.05+0.05*B104^2</f>
        <v>3.5</v>
      </c>
      <c r="N104" s="4">
        <f>(MIN(H104,Thiet_ke!$B$16)-K104)/(Thiet_ke!$B$2*M104)</f>
        <v>0.93123310840434</v>
      </c>
      <c r="O104" s="4">
        <f>IF(N104&gt;0,1/N104,"")</f>
        <v>1.0738449814284325</v>
      </c>
    </row>
    <row r="105" spans="1:15">
      <c r="A105">
        <v>1</v>
      </c>
      <c r="B105" s="4">
        <f>Thiet_ke!$B$20</f>
        <v>7.0</v>
      </c>
      <c r="C105" s="4">
        <f>Dau_vao!$B$21+(Dau_vao!$B$19-Dau_vao!$B$21)*103/200</f>
        <v>1727.0</v>
      </c>
      <c r="D105" s="4">
        <f>2*PI()*C105*Thiet_ke!$B$7/(60*Thiet_ke!$B$15*B105)</f>
        <v>2.782271740605074</v>
      </c>
      <c r="E105" s="4">
        <f>D105*3.6</f>
        <v>10.016178266178267</v>
      </c>
      <c r="F105" s="4">
        <f>Thiet_ke!$B$12*(Dau_vao!$B$22*(C105/Dau_vao!$B$19)+Dau_vao!$B$23*(C105/Dau_vao!$B$19)^2-Dau_vao!$B$24*(C105/Dau_vao!$B$19)^3)</f>
        <v>82.00883667441398</v>
      </c>
      <c r="G105" s="4">
        <f>60000*F105/(2*PI()*C105)</f>
        <v>453.46074350719965</v>
      </c>
      <c r="H105" s="4">
        <f>G105*Thiet_ke!$B$15*B105*Dau_vao!$B$10/Thiet_ke!$B$7</f>
        <v>26233.190516593975</v>
      </c>
      <c r="I105" s="4">
        <f>IF(D105&lt;=Dau_vao!$B$14,Dau_vao!$B$13,Dau_vao!$B$13*(1+D105^2/1500))</f>
        <v>0.015</v>
      </c>
      <c r="J105" s="4">
        <f>Thiet_ke!$B$8*D105^2</f>
        <v>22.642530412816047</v>
      </c>
      <c r="K105" s="4">
        <f>Thiet_ke!$B$3*I105+J105</f>
        <v>1154.2260304128163</v>
      </c>
      <c r="L105" s="4">
        <f>(H105-J105)/Thiet_ke!$B$3</f>
        <v>0.3474407498807797</v>
      </c>
      <c r="M105" s="4">
        <f>1.05+0.05*B105^2</f>
        <v>3.5</v>
      </c>
      <c r="N105" s="4">
        <f>(MIN(H105,Thiet_ke!$B$16)-K105)/(Thiet_ke!$B$2*M105)</f>
        <v>0.9317839303801284</v>
      </c>
      <c r="O105" s="4">
        <f>IF(N105&gt;0,1/N105,"")</f>
        <v>1.073210180381671</v>
      </c>
    </row>
    <row r="106" spans="1:15">
      <c r="A106">
        <v>1</v>
      </c>
      <c r="B106" s="4">
        <f>Thiet_ke!$B$20</f>
        <v>7.0</v>
      </c>
      <c r="C106" s="4">
        <f>Dau_vao!$B$21+(Dau_vao!$B$19-Dau_vao!$B$21)*104/200</f>
        <v>1736.0</v>
      </c>
      <c r="D106" s="4">
        <f>2*PI()*C106*Thiet_ke!$B$7/(60*Thiet_ke!$B$15*B106)</f>
        <v>2.7967711301044633</v>
      </c>
      <c r="E106" s="4">
        <f>D106*3.6</f>
        <v>10.068376068376068</v>
      </c>
      <c r="F106" s="4">
        <f>Thiet_ke!$B$12*(Dau_vao!$B$22*(C106/Dau_vao!$B$19)+Dau_vao!$B$23*(C106/Dau_vao!$B$19)^2-Dau_vao!$B$24*(C106/Dau_vao!$B$19)^3)</f>
        <v>82.4816685698489</v>
      </c>
      <c r="G106" s="4">
        <f>60000*F106/(2*PI()*C106)</f>
        <v>453.71078112991506</v>
      </c>
      <c r="H106" s="4">
        <f>G106*Thiet_ke!$B$15*B106*Dau_vao!$B$10/Thiet_ke!$B$7</f>
        <v>26247.65546132608</v>
      </c>
      <c r="I106" s="4">
        <f>IF(D106&lt;=Dau_vao!$B$14,Dau_vao!$B$13,Dau_vao!$B$13*(1+D106^2/1500))</f>
        <v>0.015</v>
      </c>
      <c r="J106" s="4">
        <f>Thiet_ke!$B$8*D106^2</f>
        <v>22.87914160599346</v>
      </c>
      <c r="K106" s="4">
        <f>Thiet_ke!$B$3*I106+J106</f>
        <v>1154.4626416059937</v>
      </c>
      <c r="L106" s="4">
        <f>(H106-J106)/Thiet_ke!$B$3</f>
        <v>0.3476293572642242</v>
      </c>
      <c r="M106" s="4">
        <f>1.05+0.05*B106^2</f>
        <v>3.5</v>
      </c>
      <c r="N106" s="4">
        <f>(MIN(H106,Thiet_ke!$B$16)-K106)/(Thiet_ke!$B$2*M106)</f>
        <v>0.9323125699320114</v>
      </c>
      <c r="O106" s="4">
        <f>IF(N106&gt;0,1/N106,"")</f>
        <v>1.0726016491153012</v>
      </c>
    </row>
    <row r="107" spans="1:15">
      <c r="A107">
        <v>1</v>
      </c>
      <c r="B107" s="4">
        <f>Thiet_ke!$B$20</f>
        <v>7.0</v>
      </c>
      <c r="C107" s="4">
        <f>Dau_vao!$B$21+(Dau_vao!$B$19-Dau_vao!$B$21)*105/200</f>
        <v>1745.0</v>
      </c>
      <c r="D107" s="4">
        <f>2*PI()*C107*Thiet_ke!$B$7/(60*Thiet_ke!$B$15*B107)</f>
        <v>2.8112705196038523</v>
      </c>
      <c r="E107" s="4">
        <f>D107*3.6</f>
        <v>10.12057387057387</v>
      </c>
      <c r="F107" s="4">
        <f>Thiet_ke!$B$12*(Dau_vao!$B$22*(C107/Dau_vao!$B$19)+Dau_vao!$B$23*(C107/Dau_vao!$B$19)^2-Dau_vao!$B$24*(C107/Dau_vao!$B$19)^3)</f>
        <v>82.95308977137479</v>
      </c>
      <c r="G107" s="4">
        <f>60000*F107/(2*PI()*C107)</f>
        <v>453.950519720116</v>
      </c>
      <c r="H107" s="4">
        <f>G107*Thiet_ke!$B$15*B107*Dau_vao!$B$10/Thiet_ke!$B$7</f>
        <v>26261.524595977695</v>
      </c>
      <c r="I107" s="4">
        <f>IF(D107&lt;=Dau_vao!$B$14,Dau_vao!$B$13,Dau_vao!$B$13*(1+D107^2/1500))</f>
        <v>0.015</v>
      </c>
      <c r="J107" s="4">
        <f>Thiet_ke!$B$8*D107^2</f>
        <v>23.116982658101616</v>
      </c>
      <c r="K107" s="4">
        <f>Thiet_ke!$B$3*I107+J107</f>
        <v>1154.7004826581017</v>
      </c>
      <c r="L107" s="4">
        <f>(H107-J107)/Thiet_ke!$B$3</f>
        <v>0.3478100504291498</v>
      </c>
      <c r="M107" s="4">
        <f>1.05+0.05*B107^2</f>
        <v>3.5</v>
      </c>
      <c r="N107" s="4">
        <f>(MIN(H107,Thiet_ke!$B$16)-K107)/(Thiet_ke!$B$2*M107)</f>
        <v>0.9328190270599885</v>
      </c>
      <c r="O107" s="4">
        <f>IF(N107&gt;0,1/N107,"")</f>
        <v>1.072019299554544</v>
      </c>
    </row>
    <row r="108" spans="1:15">
      <c r="A108">
        <v>1</v>
      </c>
      <c r="B108" s="4">
        <f>Thiet_ke!$B$20</f>
        <v>7.0</v>
      </c>
      <c r="C108" s="4">
        <f>Dau_vao!$B$21+(Dau_vao!$B$19-Dau_vao!$B$21)*106/200</f>
        <v>1754.0</v>
      </c>
      <c r="D108" s="4">
        <f>2*PI()*C108*Thiet_ke!$B$7/(60*Thiet_ke!$B$15*B108)</f>
        <v>2.825769909103242</v>
      </c>
      <c r="E108" s="4">
        <f>D108*3.6</f>
        <v>10.172771672771672</v>
      </c>
      <c r="F108" s="4">
        <f>Thiet_ke!$B$12*(Dau_vao!$B$22*(C108/Dau_vao!$B$19)+Dau_vao!$B$23*(C108/Dau_vao!$B$19)^2-Dau_vao!$B$24*(C108/Dau_vao!$B$19)^3)</f>
        <v>83.42307115916319</v>
      </c>
      <c r="G108" s="4">
        <f>60000*F108/(2*PI()*C108)</f>
        <v>454.17995927780225</v>
      </c>
      <c r="H108" s="4">
        <f>G108*Thiet_ke!$B$15*B108*Dau_vao!$B$10/Thiet_ke!$B$7</f>
        <v>26274.797920548797</v>
      </c>
      <c r="I108" s="4">
        <f>IF(D108&lt;=Dau_vao!$B$14,Dau_vao!$B$13,Dau_vao!$B$13*(1+D108^2/1500))</f>
        <v>0.015</v>
      </c>
      <c r="J108" s="4">
        <f>Thiet_ke!$B$8*D108^2</f>
        <v>23.35605356914054</v>
      </c>
      <c r="K108" s="4">
        <f>Thiet_ke!$B$3*I108+J108</f>
        <v>1154.9395535691408</v>
      </c>
      <c r="L108" s="4">
        <f>(H108-J108)/Thiet_ke!$B$3</f>
        <v>0.3479828293755563</v>
      </c>
      <c r="M108" s="4">
        <f>1.05+0.05*B108^2</f>
        <v>3.5</v>
      </c>
      <c r="N108" s="4">
        <f>(MIN(H108,Thiet_ke!$B$16)-K108)/(Thiet_ke!$B$2*M108)</f>
        <v>0.9333033017640593</v>
      </c>
      <c r="O108" s="4">
        <f>IF(N108&gt;0,1/N108,"")</f>
        <v>1.071463047553647</v>
      </c>
    </row>
    <row r="109" spans="1:15">
      <c r="A109">
        <v>1</v>
      </c>
      <c r="B109" s="4">
        <f>Thiet_ke!$B$20</f>
        <v>7.0</v>
      </c>
      <c r="C109" s="4">
        <f>Dau_vao!$B$21+(Dau_vao!$B$19-Dau_vao!$B$21)*107/200</f>
        <v>1763.0</v>
      </c>
      <c r="D109" s="4">
        <f>2*PI()*C109*Thiet_ke!$B$7/(60*Thiet_ke!$B$15*B109)</f>
        <v>2.840269298602632</v>
      </c>
      <c r="E109" s="4">
        <f>D109*3.6</f>
        <v>10.224969474969475</v>
      </c>
      <c r="F109" s="4">
        <f>Thiet_ke!$B$12*(Dau_vao!$B$22*(C109/Dau_vao!$B$19)+Dau_vao!$B$23*(C109/Dau_vao!$B$19)^2-Dau_vao!$B$24*(C109/Dau_vao!$B$19)^3)</f>
        <v>83.8915836133857</v>
      </c>
      <c r="G109" s="4">
        <f>60000*F109/(2*PI()*C109)</f>
        <v>454.39909980297386</v>
      </c>
      <c r="H109" s="4">
        <f>G109*Thiet_ke!$B$15*B109*Dau_vao!$B$10/Thiet_ke!$B$7</f>
        <v>26287.475435039403</v>
      </c>
      <c r="I109" s="4">
        <f>IF(D109&lt;=Dau_vao!$B$14,Dau_vao!$B$13,Dau_vao!$B$13*(1+D109^2/1500))</f>
        <v>0.015</v>
      </c>
      <c r="J109" s="4">
        <f>Thiet_ke!$B$8*D109^2</f>
        <v>23.596354339110214</v>
      </c>
      <c r="K109" s="4">
        <f>Thiet_ke!$B$3*I109+J109</f>
        <v>1155.1798543391103</v>
      </c>
      <c r="L109" s="4">
        <f>(H109-J109)/Thiet_ke!$B$3</f>
        <v>0.3481476941034438</v>
      </c>
      <c r="M109" s="4">
        <f>1.05+0.05*B109^2</f>
        <v>3.5</v>
      </c>
      <c r="N109" s="4">
        <f>(MIN(H109,Thiet_ke!$B$16)-K109)/(Thiet_ke!$B$2*M109)</f>
        <v>0.9337653940442242</v>
      </c>
      <c r="O109" s="4">
        <f>IF(N109&gt;0,1/N109,"")</f>
        <v>1.0709328128652398</v>
      </c>
    </row>
    <row r="110" spans="1:15">
      <c r="A110">
        <v>1</v>
      </c>
      <c r="B110" s="4">
        <f>Thiet_ke!$B$20</f>
        <v>7.0</v>
      </c>
      <c r="C110" s="4">
        <f>Dau_vao!$B$21+(Dau_vao!$B$19-Dau_vao!$B$21)*108/200</f>
        <v>1772.0</v>
      </c>
      <c r="D110" s="4">
        <f>2*PI()*C110*Thiet_ke!$B$7/(60*Thiet_ke!$B$15*B110)</f>
        <v>2.854768688102021</v>
      </c>
      <c r="E110" s="4">
        <f>D110*3.6</f>
        <v>10.277167277167276</v>
      </c>
      <c r="F110" s="4">
        <f>Thiet_ke!$B$12*(Dau_vao!$B$22*(C110/Dau_vao!$B$19)+Dau_vao!$B$23*(C110/Dau_vao!$B$19)^2-Dau_vao!$B$24*(C110/Dau_vao!$B$19)^3)</f>
        <v>84.35859801421401</v>
      </c>
      <c r="G110" s="4">
        <f>60000*F110/(2*PI()*C110)</f>
        <v>454.6079412956311</v>
      </c>
      <c r="H110" s="4">
        <f>G110*Thiet_ke!$B$15*B110*Dau_vao!$B$10/Thiet_ke!$B$7</f>
        <v>26299.55713944952</v>
      </c>
      <c r="I110" s="4">
        <f>IF(D110&lt;=Dau_vao!$B$14,Dau_vao!$B$13,Dau_vao!$B$13*(1+D110^2/1500))</f>
        <v>0.015</v>
      </c>
      <c r="J110" s="4">
        <f>Thiet_ke!$B$8*D110^2</f>
        <v>23.837884968010627</v>
      </c>
      <c r="K110" s="4">
        <f>Thiet_ke!$B$3*I110+J110</f>
        <v>1155.421384968011</v>
      </c>
      <c r="L110" s="4">
        <f>(H110-J110)/Thiet_ke!$B$3</f>
        <v>0.3483046446128126</v>
      </c>
      <c r="M110" s="4">
        <f>1.05+0.05*B110^2</f>
        <v>3.5</v>
      </c>
      <c r="N110" s="4">
        <f>(MIN(H110,Thiet_ke!$B$16)-K110)/(Thiet_ke!$B$2*M110)</f>
        <v>0.9342053039004834</v>
      </c>
      <c r="O110" s="4">
        <f>IF(N110&gt;0,1/N110,"")</f>
        <v>1.0704285191111753</v>
      </c>
    </row>
    <row r="111" spans="1:15">
      <c r="A111">
        <v>1</v>
      </c>
      <c r="B111" s="4">
        <f>Thiet_ke!$B$20</f>
        <v>7.0</v>
      </c>
      <c r="C111" s="4">
        <f>Dau_vao!$B$21+(Dau_vao!$B$19-Dau_vao!$B$21)*109/200</f>
        <v>1781.0</v>
      </c>
      <c r="D111" s="4">
        <f>2*PI()*C111*Thiet_ke!$B$7/(60*Thiet_ke!$B$15*B111)</f>
        <v>2.8692680776014106</v>
      </c>
      <c r="E111" s="4">
        <f>D111*3.6</f>
        <v>10.329365079365079</v>
      </c>
      <c r="F111" s="4">
        <f>Thiet_ke!$B$12*(Dau_vao!$B$22*(C111/Dau_vao!$B$19)+Dau_vao!$B$23*(C111/Dau_vao!$B$19)^2-Dau_vao!$B$24*(C111/Dau_vao!$B$19)^3)</f>
        <v>84.82408524181962</v>
      </c>
      <c r="G111" s="4">
        <f>60000*F111/(2*PI()*C111)</f>
        <v>454.8064837557737</v>
      </c>
      <c r="H111" s="4">
        <f>G111*Thiet_ke!$B$15*B111*Dau_vao!$B$10/Thiet_ke!$B$7</f>
        <v>26311.043033779137</v>
      </c>
      <c r="I111" s="4">
        <f>IF(D111&lt;=Dau_vao!$B$14,Dau_vao!$B$13,Dau_vao!$B$13*(1+D111^2/1500))</f>
        <v>0.015</v>
      </c>
      <c r="J111" s="4">
        <f>Thiet_ke!$B$8*D111^2</f>
        <v>24.080645455841797</v>
      </c>
      <c r="K111" s="4">
        <f>Thiet_ke!$B$3*I111+J111</f>
        <v>1155.664145455842</v>
      </c>
      <c r="L111" s="4">
        <f>(H111-J111)/Thiet_ke!$B$3</f>
        <v>0.34845368090366236</v>
      </c>
      <c r="M111" s="4">
        <f>1.05+0.05*B111^2</f>
        <v>3.5</v>
      </c>
      <c r="N111" s="4">
        <f>(MIN(H111,Thiet_ke!$B$16)-K111)/(Thiet_ke!$B$2*M111)</f>
        <v>0.9346230313328365</v>
      </c>
      <c r="O111" s="4">
        <f>IF(N111&gt;0,1/N111,"")</f>
        <v>1.0699500937548387</v>
      </c>
    </row>
    <row r="112" spans="1:15">
      <c r="A112">
        <v>1</v>
      </c>
      <c r="B112" s="4">
        <f>Thiet_ke!$B$20</f>
        <v>7.0</v>
      </c>
      <c r="C112" s="4">
        <f>Dau_vao!$B$21+(Dau_vao!$B$19-Dau_vao!$B$21)*110/200</f>
        <v>1790.0</v>
      </c>
      <c r="D112" s="4">
        <f>2*PI()*C112*Thiet_ke!$B$7/(60*Thiet_ke!$B$15*B112)</f>
        <v>2.8837674671008005</v>
      </c>
      <c r="E112" s="4">
        <f>D112*3.6</f>
        <v>10.381562881562882</v>
      </c>
      <c r="F112" s="4">
        <f>Thiet_ke!$B$12*(Dau_vao!$B$22*(C112/Dau_vao!$B$19)+Dau_vao!$B$23*(C112/Dau_vao!$B$19)^2-Dau_vao!$B$24*(C112/Dau_vao!$B$19)^3)</f>
        <v>85.28801617637414</v>
      </c>
      <c r="G112" s="4">
        <f>60000*F112/(2*PI()*C112)</f>
        <v>454.99472718340144</v>
      </c>
      <c r="H112" s="4">
        <f>G112*Thiet_ke!$B$15*B112*Dau_vao!$B$10/Thiet_ke!$B$7</f>
        <v>26321.933118028246</v>
      </c>
      <c r="I112" s="4">
        <f>IF(D112&lt;=Dau_vao!$B$14,Dau_vao!$B$13,Dau_vao!$B$13*(1+D112^2/1500))</f>
        <v>0.015</v>
      </c>
      <c r="J112" s="4">
        <f>Thiet_ke!$B$8*D112^2</f>
        <v>24.32463580260373</v>
      </c>
      <c r="K112" s="4">
        <f>Thiet_ke!$B$3*I112+J112</f>
        <v>1155.908135802604</v>
      </c>
      <c r="L112" s="4">
        <f>(H112-J112)/Thiet_ke!$B$3</f>
        <v>0.348594802975993</v>
      </c>
      <c r="M112" s="4">
        <f>1.05+0.05*B112^2</f>
        <v>3.5</v>
      </c>
      <c r="N112" s="4">
        <f>(MIN(H112,Thiet_ke!$B$16)-K112)/(Thiet_ke!$B$2*M112)</f>
        <v>0.9350185763412834</v>
      </c>
      <c r="O112" s="4">
        <f>IF(N112&gt;0,1/N112,"")</f>
        <v>1.0694974680748999</v>
      </c>
    </row>
    <row r="113" spans="1:15">
      <c r="A113">
        <v>1</v>
      </c>
      <c r="B113" s="4">
        <f>Thiet_ke!$B$20</f>
        <v>7.0</v>
      </c>
      <c r="C113" s="4">
        <f>Dau_vao!$B$21+(Dau_vao!$B$19-Dau_vao!$B$21)*111/200</f>
        <v>1799.0</v>
      </c>
      <c r="D113" s="4">
        <f>2*PI()*C113*Thiet_ke!$B$7/(60*Thiet_ke!$B$15*B113)</f>
        <v>2.8982668566001895</v>
      </c>
      <c r="E113" s="4">
        <f>D113*3.6</f>
        <v>10.433760683760683</v>
      </c>
      <c r="F113" s="4">
        <f>Thiet_ke!$B$12*(Dau_vao!$B$22*(C113/Dau_vao!$B$19)+Dau_vao!$B$23*(C113/Dau_vao!$B$19)^2-Dau_vao!$B$24*(C113/Dau_vao!$B$19)^3)</f>
        <v>85.75036169804922</v>
      </c>
      <c r="G113" s="4">
        <f>60000*F113/(2*PI()*C113)</f>
        <v>455.17267157851467</v>
      </c>
      <c r="H113" s="4">
        <f>G113*Thiet_ke!$B$15*B113*Dau_vao!$B$10/Thiet_ke!$B$7</f>
        <v>26332.227392196855</v>
      </c>
      <c r="I113" s="4">
        <f>IF(D113&lt;=Dau_vao!$B$14,Dau_vao!$B$13,Dau_vao!$B$13*(1+D113^2/1500))</f>
        <v>0.015</v>
      </c>
      <c r="J113" s="4">
        <f>Thiet_ke!$B$8*D113^2</f>
        <v>24.569856008296394</v>
      </c>
      <c r="K113" s="4">
        <f>Thiet_ke!$B$3*I113+J113</f>
        <v>1156.1533560082967</v>
      </c>
      <c r="L113" s="4">
        <f>(H113-J113)/Thiet_ke!$B$3</f>
        <v>0.3487280108298047</v>
      </c>
      <c r="M113" s="4">
        <f>1.05+0.05*B113^2</f>
        <v>3.5</v>
      </c>
      <c r="N113" s="4">
        <f>(MIN(H113,Thiet_ke!$B$16)-K113)/(Thiet_ke!$B$2*M113)</f>
        <v>0.9353919389258242</v>
      </c>
      <c r="O113" s="4">
        <f>IF(N113&gt;0,1/N113,"")</f>
        <v>1.0690705771404976</v>
      </c>
    </row>
    <row r="114" spans="1:15">
      <c r="A114">
        <v>1</v>
      </c>
      <c r="B114" s="4">
        <f>Thiet_ke!$B$20</f>
        <v>7.0</v>
      </c>
      <c r="C114" s="4">
        <f>Dau_vao!$B$21+(Dau_vao!$B$19-Dau_vao!$B$21)*112/200</f>
        <v>1808.0</v>
      </c>
      <c r="D114" s="4">
        <f>2*PI()*C114*Thiet_ke!$B$7/(60*Thiet_ke!$B$15*B114)</f>
        <v>2.9127662460995793</v>
      </c>
      <c r="E114" s="4">
        <f>D114*3.6</f>
        <v>10.485958485958486</v>
      </c>
      <c r="F114" s="4">
        <f>Thiet_ke!$B$12*(Dau_vao!$B$22*(C114/Dau_vao!$B$19)+Dau_vao!$B$23*(C114/Dau_vao!$B$19)^2-Dau_vao!$B$24*(C114/Dau_vao!$B$19)^3)</f>
        <v>86.21109268701645</v>
      </c>
      <c r="G114" s="4">
        <f>60000*F114/(2*PI()*C114)</f>
        <v>455.34031694111343</v>
      </c>
      <c r="H114" s="4">
        <f>G114*Thiet_ke!$B$15*B114*Dau_vao!$B$10/Thiet_ke!$B$7</f>
        <v>26341.92585628498</v>
      </c>
      <c r="I114" s="4">
        <f>IF(D114&lt;=Dau_vao!$B$14,Dau_vao!$B$13,Dau_vao!$B$13*(1+D114^2/1500))</f>
        <v>0.015</v>
      </c>
      <c r="J114" s="4">
        <f>Thiet_ke!$B$8*D114^2</f>
        <v>24.816306072919833</v>
      </c>
      <c r="K114" s="4">
        <f>Thiet_ke!$B$3*I114+J114</f>
        <v>1156.39980607292</v>
      </c>
      <c r="L114" s="4">
        <f>(H114-J114)/Thiet_ke!$B$3</f>
        <v>0.34885330446509766</v>
      </c>
      <c r="M114" s="4">
        <f>1.05+0.05*B114^2</f>
        <v>3.5</v>
      </c>
      <c r="N114" s="4">
        <f>(MIN(H114,Thiet_ke!$B$16)-K114)/(Thiet_ke!$B$2*M114)</f>
        <v>0.9357431190864596</v>
      </c>
      <c r="O114" s="4">
        <f>IF(N114&gt;0,1/N114,"")</f>
        <v>1.0686693597878365</v>
      </c>
    </row>
    <row r="115" spans="1:15">
      <c r="A115">
        <v>1</v>
      </c>
      <c r="B115" s="4">
        <f>Thiet_ke!$B$20</f>
        <v>7.0</v>
      </c>
      <c r="C115" s="4">
        <f>Dau_vao!$B$21+(Dau_vao!$B$19-Dau_vao!$B$21)*113/200</f>
        <v>1817.0</v>
      </c>
      <c r="D115" s="4">
        <f>2*PI()*C115*Thiet_ke!$B$7/(60*Thiet_ke!$B$15*B115)</f>
        <v>2.927265635598969</v>
      </c>
      <c r="E115" s="4">
        <f>D115*3.6</f>
        <v>10.538156288156287</v>
      </c>
      <c r="F115" s="4">
        <f>Thiet_ke!$B$12*(Dau_vao!$B$22*(C115/Dau_vao!$B$19)+Dau_vao!$B$23*(C115/Dau_vao!$B$19)^2-Dau_vao!$B$24*(C115/Dau_vao!$B$19)^3)</f>
        <v>86.67018002344741</v>
      </c>
      <c r="G115" s="4">
        <f>60000*F115/(2*PI()*C115)</f>
        <v>455.49766327119755</v>
      </c>
      <c r="H115" s="4">
        <f>G115*Thiet_ke!$B$15*B115*Dau_vao!$B$10/Thiet_ke!$B$7</f>
        <v>26351.028510292603</v>
      </c>
      <c r="I115" s="4">
        <f>IF(D115&lt;=Dau_vao!$B$14,Dau_vao!$B$13,Dau_vao!$B$13*(1+D115^2/1500))</f>
        <v>0.015</v>
      </c>
      <c r="J115" s="4">
        <f>Thiet_ke!$B$8*D115^2</f>
        <v>25.063985996474006</v>
      </c>
      <c r="K115" s="4">
        <f>Thiet_ke!$B$3*I115+J115</f>
        <v>1156.6474859964742</v>
      </c>
      <c r="L115" s="4">
        <f>(H115-J115)/Thiet_ke!$B$3</f>
        <v>0.3489706838818716</v>
      </c>
      <c r="M115" s="4">
        <f>1.05+0.05*B115^2</f>
        <v>3.5</v>
      </c>
      <c r="N115" s="4">
        <f>(MIN(H115,Thiet_ke!$B$16)-K115)/(Thiet_ke!$B$2*M115)</f>
        <v>0.9360721168231889</v>
      </c>
      <c r="O115" s="4">
        <f>IF(N115&gt;0,1/N115,"")</f>
        <v>1.0682937585981809</v>
      </c>
    </row>
    <row r="116" spans="1:15">
      <c r="A116">
        <v>1</v>
      </c>
      <c r="B116" s="4">
        <f>Thiet_ke!$B$20</f>
        <v>7.0</v>
      </c>
      <c r="C116" s="4">
        <f>Dau_vao!$B$21+(Dau_vao!$B$19-Dau_vao!$B$21)*114/200</f>
        <v>1826.0</v>
      </c>
      <c r="D116" s="4">
        <f>2*PI()*C116*Thiet_ke!$B$7/(60*Thiet_ke!$B$15*B116)</f>
        <v>2.9417650250983587</v>
      </c>
      <c r="E116" s="4">
        <f>D116*3.6</f>
        <v>10.590354090354092</v>
      </c>
      <c r="F116" s="4">
        <f>Thiet_ke!$B$12*(Dau_vao!$B$22*(C116/Dau_vao!$B$19)+Dau_vao!$B$23*(C116/Dau_vao!$B$19)^2-Dau_vao!$B$24*(C116/Dau_vao!$B$19)^3)</f>
        <v>87.12759458751373</v>
      </c>
      <c r="G116" s="4">
        <f>60000*F116/(2*PI()*C116)</f>
        <v>455.64471056876704</v>
      </c>
      <c r="H116" s="4">
        <f>G116*Thiet_ke!$B$15*B116*Dau_vao!$B$10/Thiet_ke!$B$7</f>
        <v>26359.53535421971</v>
      </c>
      <c r="I116" s="4">
        <f>IF(D116&lt;=Dau_vao!$B$14,Dau_vao!$B$13,Dau_vao!$B$13*(1+D116^2/1500))</f>
        <v>0.015</v>
      </c>
      <c r="J116" s="4">
        <f>Thiet_ke!$B$8*D116^2</f>
        <v>25.312895778958946</v>
      </c>
      <c r="K116" s="4">
        <f>Thiet_ke!$B$3*I116+J116</f>
        <v>1156.8963957789592</v>
      </c>
      <c r="L116" s="4">
        <f>(H116-J116)/Thiet_ke!$B$3</f>
        <v>0.3490801490801264</v>
      </c>
      <c r="M116" s="4">
        <f>1.05+0.05*B116^2</f>
        <v>3.5</v>
      </c>
      <c r="N116" s="4">
        <f>(MIN(H116,Thiet_ke!$B$16)-K116)/(Thiet_ke!$B$2*M116)</f>
        <v>0.9363789321360115</v>
      </c>
      <c r="O116" s="4">
        <f>IF(N116&gt;0,1/N116,"")</f>
        <v>1.0679437198772295</v>
      </c>
    </row>
    <row r="117" spans="1:15">
      <c r="A117">
        <v>1</v>
      </c>
      <c r="B117" s="4">
        <f>Thiet_ke!$B$20</f>
        <v>7.0</v>
      </c>
      <c r="C117" s="4">
        <f>Dau_vao!$B$21+(Dau_vao!$B$19-Dau_vao!$B$21)*115/200</f>
        <v>1835.0</v>
      </c>
      <c r="D117" s="4">
        <f>2*PI()*C117*Thiet_ke!$B$7/(60*Thiet_ke!$B$15*B117)</f>
        <v>2.9562644145977477</v>
      </c>
      <c r="E117" s="4">
        <f>D117*3.6</f>
        <v>10.642551892551891</v>
      </c>
      <c r="F117" s="4">
        <f>Thiet_ke!$B$12*(Dau_vao!$B$22*(C117/Dau_vao!$B$19)+Dau_vao!$B$23*(C117/Dau_vao!$B$19)^2-Dau_vao!$B$24*(C117/Dau_vao!$B$19)^3)</f>
        <v>87.58330725938698</v>
      </c>
      <c r="G117" s="4">
        <f>60000*F117/(2*PI()*C117)</f>
        <v>455.7814588338219</v>
      </c>
      <c r="H117" s="4">
        <f>G117*Thiet_ke!$B$15*B117*Dau_vao!$B$10/Thiet_ke!$B$7</f>
        <v>26367.44638806633</v>
      </c>
      <c r="I117" s="4">
        <f>IF(D117&lt;=Dau_vao!$B$14,Dau_vao!$B$13,Dau_vao!$B$13*(1+D117^2/1500))</f>
        <v>0.015</v>
      </c>
      <c r="J117" s="4">
        <f>Thiet_ke!$B$8*D117^2</f>
        <v>25.56303542037462</v>
      </c>
      <c r="K117" s="4">
        <f>Thiet_ke!$B$3*I117+J117</f>
        <v>1157.146535420375</v>
      </c>
      <c r="L117" s="4">
        <f>(H117-J117)/Thiet_ke!$B$3</f>
        <v>0.3491817000598624</v>
      </c>
      <c r="M117" s="4">
        <f>1.05+0.05*B117^2</f>
        <v>3.5</v>
      </c>
      <c r="N117" s="4">
        <f>(MIN(H117,Thiet_ke!$B$16)-K117)/(Thiet_ke!$B$2*M117)</f>
        <v>0.9366635650249286</v>
      </c>
      <c r="O117" s="4">
        <f>IF(N117&gt;0,1/N117,"")</f>
        <v>1.0676191936358554</v>
      </c>
    </row>
    <row r="118" spans="1:15">
      <c r="A118">
        <v>1</v>
      </c>
      <c r="B118" s="4">
        <f>Thiet_ke!$B$20</f>
        <v>7.0</v>
      </c>
      <c r="C118" s="4">
        <f>Dau_vao!$B$21+(Dau_vao!$B$19-Dau_vao!$B$21)*116/200</f>
        <v>1844.0</v>
      </c>
      <c r="D118" s="4">
        <f>2*PI()*C118*Thiet_ke!$B$7/(60*Thiet_ke!$B$15*B118)</f>
        <v>2.970763804097137</v>
      </c>
      <c r="E118" s="4">
        <f>D118*3.6</f>
        <v>10.694749694749694</v>
      </c>
      <c r="F118" s="4">
        <f>Thiet_ke!$B$12*(Dau_vao!$B$22*(C118/Dau_vao!$B$19)+Dau_vao!$B$23*(C118/Dau_vao!$B$19)^2-Dau_vao!$B$24*(C118/Dau_vao!$B$19)^3)</f>
        <v>88.03728891923879</v>
      </c>
      <c r="G118" s="4">
        <f>60000*F118/(2*PI()*C118)</f>
        <v>455.90790806636215</v>
      </c>
      <c r="H118" s="4">
        <f>G118*Thiet_ke!$B$15*B118*Dau_vao!$B$10/Thiet_ke!$B$7</f>
        <v>26374.76161183246</v>
      </c>
      <c r="I118" s="4">
        <f>IF(D118&lt;=Dau_vao!$B$14,Dau_vao!$B$13,Dau_vao!$B$13*(1+D118^2/1500))</f>
        <v>0.015</v>
      </c>
      <c r="J118" s="4">
        <f>Thiet_ke!$B$8*D118^2</f>
        <v>25.814404920721053</v>
      </c>
      <c r="K118" s="4">
        <f>Thiet_ke!$B$3*I118+J118</f>
        <v>1157.3979049207212</v>
      </c>
      <c r="L118" s="4">
        <f>(H118-J118)/Thiet_ke!$B$3</f>
        <v>0.3492753368210795</v>
      </c>
      <c r="M118" s="4">
        <f>1.05+0.05*B118^2</f>
        <v>3.5</v>
      </c>
      <c r="N118" s="4">
        <f>(MIN(H118,Thiet_ke!$B$16)-K118)/(Thiet_ke!$B$2*M118)</f>
        <v>0.93692601548994</v>
      </c>
      <c r="O118" s="4">
        <f>IF(N118&gt;0,1/N118,"")</f>
        <v>1.0673201335722087</v>
      </c>
    </row>
    <row r="119" spans="1:15">
      <c r="A119">
        <v>1</v>
      </c>
      <c r="B119" s="4">
        <f>Thiet_ke!$B$20</f>
        <v>7.0</v>
      </c>
      <c r="C119" s="4">
        <f>Dau_vao!$B$21+(Dau_vao!$B$19-Dau_vao!$B$21)*117/200</f>
        <v>1853.0</v>
      </c>
      <c r="D119" s="4">
        <f>2*PI()*C119*Thiet_ke!$B$7/(60*Thiet_ke!$B$15*B119)</f>
        <v>2.9852631935965266</v>
      </c>
      <c r="E119" s="4">
        <f>D119*3.6</f>
        <v>10.746947496947495</v>
      </c>
      <c r="F119" s="4">
        <f>Thiet_ke!$B$12*(Dau_vao!$B$22*(C119/Dau_vao!$B$19)+Dau_vao!$B$23*(C119/Dau_vao!$B$19)^2-Dau_vao!$B$24*(C119/Dau_vao!$B$19)^3)</f>
        <v>88.48951044724076</v>
      </c>
      <c r="G119" s="4">
        <f>60000*F119/(2*PI()*C119)</f>
        <v>456.024058266388</v>
      </c>
      <c r="H119" s="4">
        <f>G119*Thiet_ke!$B$15*B119*Dau_vao!$B$10/Thiet_ke!$B$7</f>
        <v>26381.48102551809</v>
      </c>
      <c r="I119" s="4">
        <f>IF(D119&lt;=Dau_vao!$B$14,Dau_vao!$B$13,Dau_vao!$B$13*(1+D119^2/1500))</f>
        <v>0.015</v>
      </c>
      <c r="J119" s="4">
        <f>Thiet_ke!$B$8*D119^2</f>
        <v>26.067004279998244</v>
      </c>
      <c r="K119" s="4">
        <f>Thiet_ke!$B$3*I119+J119</f>
        <v>1157.6505042799984</v>
      </c>
      <c r="L119" s="4">
        <f>(H119-J119)/Thiet_ke!$B$3</f>
        <v>0.3493610593637777</v>
      </c>
      <c r="M119" s="4">
        <f>1.05+0.05*B119^2</f>
        <v>3.5</v>
      </c>
      <c r="N119" s="4">
        <f>(MIN(H119,Thiet_ke!$B$16)-K119)/(Thiet_ke!$B$2*M119)</f>
        <v>0.9371662835310456</v>
      </c>
      <c r="O119" s="4">
        <f>IF(N119&gt;0,1/N119,"")</f>
        <v>1.0670464970551545</v>
      </c>
    </row>
    <row r="120" spans="1:15">
      <c r="A120">
        <v>1</v>
      </c>
      <c r="B120" s="4">
        <f>Thiet_ke!$B$20</f>
        <v>7.0</v>
      </c>
      <c r="C120" s="4">
        <f>Dau_vao!$B$21+(Dau_vao!$B$19-Dau_vao!$B$21)*118/200</f>
        <v>1862.0</v>
      </c>
      <c r="D120" s="4">
        <f>2*PI()*C120*Thiet_ke!$B$7/(60*Thiet_ke!$B$15*B120)</f>
        <v>2.9997625830959165</v>
      </c>
      <c r="E120" s="4">
        <f>D120*3.6</f>
        <v>10.7991452991453</v>
      </c>
      <c r="F120" s="4">
        <f>Thiet_ke!$B$12*(Dau_vao!$B$22*(C120/Dau_vao!$B$19)+Dau_vao!$B$23*(C120/Dau_vao!$B$19)^2-Dau_vao!$B$24*(C120/Dau_vao!$B$19)^3)</f>
        <v>88.93994272356449</v>
      </c>
      <c r="G120" s="4">
        <f>60000*F120/(2*PI()*C120)</f>
        <v>456.1299094338991</v>
      </c>
      <c r="H120" s="4">
        <f>G120*Thiet_ke!$B$15*B120*Dau_vao!$B$10/Thiet_ke!$B$7</f>
        <v>26387.604629123205</v>
      </c>
      <c r="I120" s="4">
        <f>IF(D120&lt;=Dau_vao!$B$14,Dau_vao!$B$13,Dau_vao!$B$13*(1+D120^2/1500))</f>
        <v>0.015</v>
      </c>
      <c r="J120" s="4">
        <f>Thiet_ke!$B$8*D120^2</f>
        <v>26.320833498206184</v>
      </c>
      <c r="K120" s="4">
        <f>Thiet_ke!$B$3*I120+J120</f>
        <v>1157.9043334982064</v>
      </c>
      <c r="L120" s="4">
        <f>(H120-J120)/Thiet_ke!$B$3</f>
        <v>0.34943886768795673</v>
      </c>
      <c r="M120" s="4">
        <f>1.05+0.05*B120^2</f>
        <v>3.5</v>
      </c>
      <c r="N120" s="4">
        <f>(MIN(H120,Thiet_ke!$B$16)-K120)/(Thiet_ke!$B$2*M120)</f>
        <v>0.9373843691482445</v>
      </c>
      <c r="O120" s="4">
        <f>IF(N120&gt;0,1/N120,"")</f>
        <v>1.0667982451090487</v>
      </c>
    </row>
    <row r="121" spans="1:15">
      <c r="A121">
        <v>1</v>
      </c>
      <c r="B121" s="4">
        <f>Thiet_ke!$B$20</f>
        <v>7.0</v>
      </c>
      <c r="C121" s="4">
        <f>Dau_vao!$B$21+(Dau_vao!$B$19-Dau_vao!$B$21)*119/200</f>
        <v>1871.0</v>
      </c>
      <c r="D121" s="4">
        <f>2*PI()*C121*Thiet_ke!$B$7/(60*Thiet_ke!$B$15*B121)</f>
        <v>3.0142619725953055</v>
      </c>
      <c r="E121" s="4">
        <f>D121*3.6</f>
        <v>10.8513431013431</v>
      </c>
      <c r="F121" s="4">
        <f>Thiet_ke!$B$12*(Dau_vao!$B$22*(C121/Dau_vao!$B$19)+Dau_vao!$B$23*(C121/Dau_vao!$B$19)^2-Dau_vao!$B$24*(C121/Dau_vao!$B$19)^3)</f>
        <v>89.38855662838155</v>
      </c>
      <c r="G121" s="4">
        <f>60000*F121/(2*PI()*C121)</f>
        <v>456.2254615688957</v>
      </c>
      <c r="H121" s="4">
        <f>G121*Thiet_ke!$B$15*B121*Dau_vao!$B$10/Thiet_ke!$B$7</f>
        <v>26393.132422647835</v>
      </c>
      <c r="I121" s="4">
        <f>IF(D121&lt;=Dau_vao!$B$14,Dau_vao!$B$13,Dau_vao!$B$13*(1+D121^2/1500))</f>
        <v>0.015</v>
      </c>
      <c r="J121" s="4">
        <f>Thiet_ke!$B$8*D121^2</f>
        <v>26.575892575344866</v>
      </c>
      <c r="K121" s="4">
        <f>Thiet_ke!$B$3*I121+J121</f>
        <v>1158.159392575345</v>
      </c>
      <c r="L121" s="4">
        <f>(H121-J121)/Thiet_ke!$B$3</f>
        <v>0.34950876179361695</v>
      </c>
      <c r="M121" s="4">
        <f>1.05+0.05*B121^2</f>
        <v>3.5</v>
      </c>
      <c r="N121" s="4">
        <f>(MIN(H121,Thiet_ke!$B$16)-K121)/(Thiet_ke!$B$2*M121)</f>
        <v>0.9375802723415378</v>
      </c>
      <c r="O121" s="4">
        <f>IF(N121&gt;0,1/N121,"")</f>
        <v>1.0665753423998283</v>
      </c>
    </row>
    <row r="122" spans="1:15">
      <c r="A122">
        <v>1</v>
      </c>
      <c r="B122" s="4">
        <f>Thiet_ke!$B$20</f>
        <v>7.0</v>
      </c>
      <c r="C122" s="4">
        <f>Dau_vao!$B$21+(Dau_vao!$B$19-Dau_vao!$B$21)*120/200</f>
        <v>1880.0</v>
      </c>
      <c r="D122" s="4">
        <f>2*PI()*C122*Thiet_ke!$B$7/(60*Thiet_ke!$B$15*B122)</f>
        <v>3.0287613620946954</v>
      </c>
      <c r="E122" s="4">
        <f>D122*3.6</f>
        <v>10.903540903540904</v>
      </c>
      <c r="F122" s="4">
        <f>Thiet_ke!$B$12*(Dau_vao!$B$22*(C122/Dau_vao!$B$19)+Dau_vao!$B$23*(C122/Dau_vao!$B$19)^2-Dau_vao!$B$24*(C122/Dau_vao!$B$19)^3)</f>
        <v>89.83532304186356</v>
      </c>
      <c r="G122" s="4">
        <f>60000*F122/(2*PI()*C122)</f>
        <v>456.3107146713776</v>
      </c>
      <c r="H122" s="4">
        <f>G122*Thiet_ke!$B$15*B122*Dau_vao!$B$10/Thiet_ke!$B$7</f>
        <v>26398.064406091962</v>
      </c>
      <c r="I122" s="4">
        <f>IF(D122&lt;=Dau_vao!$B$14,Dau_vao!$B$13,Dau_vao!$B$13*(1+D122^2/1500))</f>
        <v>0.015</v>
      </c>
      <c r="J122" s="4">
        <f>Thiet_ke!$B$8*D122^2</f>
        <v>26.83218151141432</v>
      </c>
      <c r="K122" s="4">
        <f>Thiet_ke!$B$3*I122+J122</f>
        <v>1158.4156815114145</v>
      </c>
      <c r="L122" s="4">
        <f>(H122-J122)/Thiet_ke!$B$3</f>
        <v>0.34957074168075813</v>
      </c>
      <c r="M122" s="4">
        <f>1.05+0.05*B122^2</f>
        <v>3.5</v>
      </c>
      <c r="N122" s="4">
        <f>(MIN(H122,Thiet_ke!$B$16)-K122)/(Thiet_ke!$B$2*M122)</f>
        <v>0.937753993110925</v>
      </c>
      <c r="O122" s="4">
        <f>IF(N122&gt;0,1/N122,"")</f>
        <v>1.0663777572224233</v>
      </c>
    </row>
    <row r="123" spans="1:15">
      <c r="A123">
        <v>1</v>
      </c>
      <c r="B123" s="4">
        <f>Thiet_ke!$B$20</f>
        <v>7.0</v>
      </c>
      <c r="C123" s="4">
        <f>Dau_vao!$B$21+(Dau_vao!$B$19-Dau_vao!$B$21)*121/200</f>
        <v>1889.0</v>
      </c>
      <c r="D123" s="4">
        <f>2*PI()*C123*Thiet_ke!$B$7/(60*Thiet_ke!$B$15*B123)</f>
        <v>3.043260751594085</v>
      </c>
      <c r="E123" s="4">
        <f>D123*3.6</f>
        <v>10.955738705738705</v>
      </c>
      <c r="F123" s="4">
        <f>Thiet_ke!$B$12*(Dau_vao!$B$22*(C123/Dau_vao!$B$19)+Dau_vao!$B$23*(C123/Dau_vao!$B$19)^2-Dau_vao!$B$24*(C123/Dau_vao!$B$19)^3)</f>
        <v>90.28021284418215</v>
      </c>
      <c r="G123" s="4">
        <f>60000*F123/(2*PI()*C123)</f>
        <v>456.38566874134494</v>
      </c>
      <c r="H123" s="4">
        <f>G123*Thiet_ke!$B$15*B123*Dau_vao!$B$10/Thiet_ke!$B$7</f>
        <v>26402.40057945559</v>
      </c>
      <c r="I123" s="4">
        <f>IF(D123&lt;=Dau_vao!$B$14,Dau_vao!$B$13,Dau_vao!$B$13*(1+D123^2/1500))</f>
        <v>0.015</v>
      </c>
      <c r="J123" s="4">
        <f>Thiet_ke!$B$8*D123^2</f>
        <v>27.08970030641451</v>
      </c>
      <c r="K123" s="4">
        <f>Thiet_ke!$B$3*I123+J123</f>
        <v>1158.6732003064146</v>
      </c>
      <c r="L123" s="4">
        <f>(H123-J123)/Thiet_ke!$B$3</f>
        <v>0.3496248073493804</v>
      </c>
      <c r="M123" s="4">
        <f>1.05+0.05*B123^2</f>
        <v>3.5</v>
      </c>
      <c r="N123" s="4">
        <f>(MIN(H123,Thiet_ke!$B$16)-K123)/(Thiet_ke!$B$2*M123)</f>
        <v>0.9379055314564063</v>
      </c>
      <c r="O123" s="4">
        <f>IF(N123&gt;0,1/N123,"")</f>
        <v>1.0662054614894654</v>
      </c>
    </row>
    <row r="124" spans="1:15">
      <c r="A124">
        <v>1</v>
      </c>
      <c r="B124" s="4">
        <f>Thiet_ke!$B$20</f>
        <v>7.0</v>
      </c>
      <c r="C124" s="4">
        <f>Dau_vao!$B$21+(Dau_vao!$B$19-Dau_vao!$B$21)*122/200</f>
        <v>1898.0</v>
      </c>
      <c r="D124" s="4">
        <f>2*PI()*C124*Thiet_ke!$B$7/(60*Thiet_ke!$B$15*B124)</f>
        <v>3.057760141093474</v>
      </c>
      <c r="E124" s="4">
        <f>D124*3.6</f>
        <v>11.007936507936506</v>
      </c>
      <c r="F124" s="4">
        <f>Thiet_ke!$B$12*(Dau_vao!$B$22*(C124/Dau_vao!$B$19)+Dau_vao!$B$23*(C124/Dau_vao!$B$19)^2-Dau_vao!$B$24*(C124/Dau_vao!$B$19)^3)</f>
        <v>90.7231969155089</v>
      </c>
      <c r="G124" s="4">
        <f>60000*F124/(2*PI()*C124)</f>
        <v>456.45032377879767</v>
      </c>
      <c r="H124" s="4">
        <f>G124*Thiet_ke!$B$15*B124*Dau_vao!$B$10/Thiet_ke!$B$7</f>
        <v>26406.140942738715</v>
      </c>
      <c r="I124" s="4">
        <f>IF(D124&lt;=Dau_vao!$B$14,Dau_vao!$B$13,Dau_vao!$B$13*(1+D124^2/1500))</f>
        <v>0.015</v>
      </c>
      <c r="J124" s="4">
        <f>Thiet_ke!$B$8*D124^2</f>
        <v>27.348448960345443</v>
      </c>
      <c r="K124" s="4">
        <f>Thiet_ke!$B$3*I124+J124</f>
        <v>1158.9319489603456</v>
      </c>
      <c r="L124" s="4">
        <f>(H124-J124)/Thiet_ke!$B$3</f>
        <v>0.3496709587994836</v>
      </c>
      <c r="M124" s="4">
        <f>1.05+0.05*B124^2</f>
        <v>3.5</v>
      </c>
      <c r="N124" s="4">
        <f>(MIN(H124,Thiet_ke!$B$16)-K124)/(Thiet_ke!$B$2*M124)</f>
        <v>0.9380348873779815</v>
      </c>
      <c r="O124" s="4">
        <f>IF(N124&gt;0,1/N124,"")</f>
        <v>1.0660584307212975</v>
      </c>
    </row>
    <row r="125" spans="1:15">
      <c r="A125">
        <v>1</v>
      </c>
      <c r="B125" s="4">
        <f>Thiet_ke!$B$20</f>
        <v>7.0</v>
      </c>
      <c r="C125" s="4">
        <f>Dau_vao!$B$21+(Dau_vao!$B$19-Dau_vao!$B$21)*123/200</f>
        <v>1907.0</v>
      </c>
      <c r="D125" s="4">
        <f>2*PI()*C125*Thiet_ke!$B$7/(60*Thiet_ke!$B$15*B125)</f>
        <v>3.0722595305928637</v>
      </c>
      <c r="E125" s="4">
        <f>D125*3.6</f>
        <v>11.060134310134309</v>
      </c>
      <c r="F125" s="4">
        <f>Thiet_ke!$B$12*(Dau_vao!$B$22*(C125/Dau_vao!$B$19)+Dau_vao!$B$23*(C125/Dau_vao!$B$19)^2-Dau_vao!$B$24*(C125/Dau_vao!$B$19)^3)</f>
        <v>91.16424613601536</v>
      </c>
      <c r="G125" s="4">
        <f>60000*F125/(2*PI()*C125)</f>
        <v>456.50467978373564</v>
      </c>
      <c r="H125" s="4">
        <f>G125*Thiet_ke!$B$15*B125*Dau_vao!$B$10/Thiet_ke!$B$7</f>
        <v>26409.28549594134</v>
      </c>
      <c r="I125" s="4">
        <f>IF(D125&lt;=Dau_vao!$B$14,Dau_vao!$B$13,Dau_vao!$B$13*(1+D125^2/1500))</f>
        <v>0.015</v>
      </c>
      <c r="J125" s="4">
        <f>Thiet_ke!$B$8*D125^2</f>
        <v>27.60842747320715</v>
      </c>
      <c r="K125" s="4">
        <f>Thiet_ke!$B$3*I125+J125</f>
        <v>1159.1919274732074</v>
      </c>
      <c r="L125" s="4">
        <f>(H125-J125)/Thiet_ke!$B$3</f>
        <v>0.349709196031068</v>
      </c>
      <c r="M125" s="4">
        <f>1.05+0.05*B125^2</f>
        <v>3.5</v>
      </c>
      <c r="N125" s="4">
        <f>(MIN(H125,Thiet_ke!$B$16)-K125)/(Thiet_ke!$B$2*M125)</f>
        <v>0.9381420608756506</v>
      </c>
      <c r="O125" s="4">
        <f>IF(N125&gt;0,1/N125,"")</f>
        <v>1.0659366440372708</v>
      </c>
    </row>
    <row r="126" spans="1:15">
      <c r="A126">
        <v>1</v>
      </c>
      <c r="B126" s="4">
        <f>Thiet_ke!$B$20</f>
        <v>7.0</v>
      </c>
      <c r="C126" s="4">
        <f>Dau_vao!$B$21+(Dau_vao!$B$19-Dau_vao!$B$21)*124/200</f>
        <v>1916.0</v>
      </c>
      <c r="D126" s="4">
        <f>2*PI()*C126*Thiet_ke!$B$7/(60*Thiet_ke!$B$15*B126)</f>
        <v>3.0867589200922536</v>
      </c>
      <c r="E126" s="4">
        <f>D126*3.6</f>
        <v>11.112332112332114</v>
      </c>
      <c r="F126" s="4">
        <f>Thiet_ke!$B$12*(Dau_vao!$B$22*(C126/Dau_vao!$B$19)+Dau_vao!$B$23*(C126/Dau_vao!$B$19)^2-Dau_vao!$B$24*(C126/Dau_vao!$B$19)^3)</f>
        <v>91.60333138587326</v>
      </c>
      <c r="G126" s="4">
        <f>60000*F126/(2*PI()*C126)</f>
        <v>456.54873675615937</v>
      </c>
      <c r="H126" s="4">
        <f>G126*Thiet_ke!$B$15*B126*Dau_vao!$B$10/Thiet_ke!$B$7</f>
        <v>26411.834239063486</v>
      </c>
      <c r="I126" s="4">
        <f>IF(D126&lt;=Dau_vao!$B$14,Dau_vao!$B$13,Dau_vao!$B$13*(1+D126^2/1500))</f>
        <v>0.015</v>
      </c>
      <c r="J126" s="4">
        <f>Thiet_ke!$B$8*D126^2</f>
        <v>27.869635844999603</v>
      </c>
      <c r="K126" s="4">
        <f>Thiet_ke!$B$3*I126+J126</f>
        <v>1159.4531358449997</v>
      </c>
      <c r="L126" s="4">
        <f>(H126-J126)/Thiet_ke!$B$3</f>
        <v>0.34973951904413353</v>
      </c>
      <c r="M126" s="4">
        <f>1.05+0.05*B126^2</f>
        <v>3.5</v>
      </c>
      <c r="N126" s="4">
        <f>(MIN(H126,Thiet_ke!$B$16)-K126)/(Thiet_ke!$B$2*M126)</f>
        <v>0.9382270519494142</v>
      </c>
      <c r="O126" s="4">
        <f>IF(N126&gt;0,1/N126,"")</f>
        <v>1.0658400841483264</v>
      </c>
    </row>
    <row r="127" spans="1:15">
      <c r="A127">
        <v>1</v>
      </c>
      <c r="B127" s="4">
        <f>Thiet_ke!$B$20</f>
        <v>7.0</v>
      </c>
      <c r="C127" s="4">
        <f>Dau_vao!$B$21+(Dau_vao!$B$19-Dau_vao!$B$21)*125/200</f>
        <v>1925.0</v>
      </c>
      <c r="D127" s="4">
        <f>2*PI()*C127*Thiet_ke!$B$7/(60*Thiet_ke!$B$15*B127)</f>
        <v>3.101258309591643</v>
      </c>
      <c r="E127" s="4">
        <f>D127*3.6</f>
        <v>11.164529914529915</v>
      </c>
      <c r="F127" s="4">
        <f>Thiet_ke!$B$12*(Dau_vao!$B$22*(C127/Dau_vao!$B$19)+Dau_vao!$B$23*(C127/Dau_vao!$B$19)^2-Dau_vao!$B$24*(C127/Dau_vao!$B$19)^3)</f>
        <v>92.04042354525409</v>
      </c>
      <c r="G127" s="4">
        <f>60000*F127/(2*PI()*C127)</f>
        <v>456.58249469606835</v>
      </c>
      <c r="H127" s="4">
        <f>G127*Thiet_ke!$B$15*B127*Dau_vao!$B$10/Thiet_ke!$B$7</f>
        <v>26413.787172105116</v>
      </c>
      <c r="I127" s="4">
        <f>IF(D127&lt;=Dau_vao!$B$14,Dau_vao!$B$13,Dau_vao!$B$13*(1+D127^2/1500))</f>
        <v>0.015</v>
      </c>
      <c r="J127" s="4">
        <f>Thiet_ke!$B$8*D127^2</f>
        <v>28.13207407572281</v>
      </c>
      <c r="K127" s="4">
        <f>Thiet_ke!$B$3*I127+J127</f>
        <v>1159.715574075723</v>
      </c>
      <c r="L127" s="4">
        <f>(H127-J127)/Thiet_ke!$B$3</f>
        <v>0.34976192783867993</v>
      </c>
      <c r="M127" s="4">
        <f>1.05+0.05*B127^2</f>
        <v>3.5</v>
      </c>
      <c r="N127" s="4">
        <f>(MIN(H127,Thiet_ke!$B$16)-K127)/(Thiet_ke!$B$2*M127)</f>
        <v>0.9382898605992716</v>
      </c>
      <c r="O127" s="4">
        <f>IF(N127&gt;0,1/N127,"")</f>
        <v>1.06576873735086</v>
      </c>
    </row>
    <row r="128" spans="1:15">
      <c r="A128">
        <v>1</v>
      </c>
      <c r="B128" s="4">
        <f>Thiet_ke!$B$20</f>
        <v>7.0</v>
      </c>
      <c r="C128" s="4">
        <f>Dau_vao!$B$21+(Dau_vao!$B$19-Dau_vao!$B$21)*126/200</f>
        <v>1934.0</v>
      </c>
      <c r="D128" s="4">
        <f>2*PI()*C128*Thiet_ke!$B$7/(60*Thiet_ke!$B$15*B128)</f>
        <v>3.115757699091032</v>
      </c>
      <c r="E128" s="4">
        <f>D128*3.6</f>
        <v>11.216727716727716</v>
      </c>
      <c r="F128" s="4">
        <f>Thiet_ke!$B$12*(Dau_vao!$B$22*(C128/Dau_vao!$B$19)+Dau_vao!$B$23*(C128/Dau_vao!$B$19)^2-Dau_vao!$B$24*(C128/Dau_vao!$B$19)^3)</f>
        <v>92.47549349432948</v>
      </c>
      <c r="G128" s="4">
        <f>60000*F128/(2*PI()*C128)</f>
        <v>456.6059536034627</v>
      </c>
      <c r="H128" s="4">
        <f>G128*Thiet_ke!$B$15*B128*Dau_vao!$B$10/Thiet_ke!$B$7</f>
        <v>26415.14429506626</v>
      </c>
      <c r="I128" s="4">
        <f>IF(D128&lt;=Dau_vao!$B$14,Dau_vao!$B$13,Dau_vao!$B$13*(1+D128^2/1500))</f>
        <v>0.015</v>
      </c>
      <c r="J128" s="4">
        <f>Thiet_ke!$B$8*D128^2</f>
        <v>28.395742165376753</v>
      </c>
      <c r="K128" s="4">
        <f>Thiet_ke!$B$3*I128+J128</f>
        <v>1159.979242165377</v>
      </c>
      <c r="L128" s="4">
        <f>(H128-J128)/Thiet_ke!$B$3</f>
        <v>0.3497764224147076</v>
      </c>
      <c r="M128" s="4">
        <f>1.05+0.05*B128^2</f>
        <v>3.5</v>
      </c>
      <c r="N128" s="4">
        <f>(MIN(H128,Thiet_ke!$B$16)-K128)/(Thiet_ke!$B$2*M128)</f>
        <v>0.9383304868252232</v>
      </c>
      <c r="O128" s="4">
        <f>IF(N128&gt;0,1/N128,"")</f>
        <v>1.0657225935218533</v>
      </c>
    </row>
    <row r="129" spans="1:15">
      <c r="A129">
        <v>1</v>
      </c>
      <c r="B129" s="4">
        <f>Thiet_ke!$B$20</f>
        <v>7.0</v>
      </c>
      <c r="C129" s="4">
        <f>Dau_vao!$B$21+(Dau_vao!$B$19-Dau_vao!$B$21)*127/200</f>
        <v>1943.0</v>
      </c>
      <c r="D129" s="4">
        <f>2*PI()*C129*Thiet_ke!$B$7/(60*Thiet_ke!$B$15*B129)</f>
        <v>3.130257088590422</v>
      </c>
      <c r="E129" s="4">
        <f>D129*3.6</f>
        <v>11.268925518925519</v>
      </c>
      <c r="F129" s="4">
        <f>Thiet_ke!$B$12*(Dau_vao!$B$22*(C129/Dau_vao!$B$19)+Dau_vao!$B$23*(C129/Dau_vao!$B$19)^2-Dau_vao!$B$24*(C129/Dau_vao!$B$19)^3)</f>
        <v>92.90851211327106</v>
      </c>
      <c r="G129" s="4">
        <f>60000*F129/(2*PI()*C129)</f>
        <v>456.6191134783425</v>
      </c>
      <c r="H129" s="4">
        <f>G129*Thiet_ke!$B$15*B129*Dau_vao!$B$10/Thiet_ke!$B$7</f>
        <v>26415.905607946894</v>
      </c>
      <c r="I129" s="4">
        <f>IF(D129&lt;=Dau_vao!$B$14,Dau_vao!$B$13,Dau_vao!$B$13*(1+D129^2/1500))</f>
        <v>0.015</v>
      </c>
      <c r="J129" s="4">
        <f>Thiet_ke!$B$8*D129^2</f>
        <v>28.660640113961467</v>
      </c>
      <c r="K129" s="4">
        <f>Thiet_ke!$B$3*I129+J129</f>
        <v>1160.2441401139617</v>
      </c>
      <c r="L129" s="4">
        <f>(H129-J129)/Thiet_ke!$B$3</f>
        <v>0.349783002772216</v>
      </c>
      <c r="M129" s="4">
        <f>1.05+0.05*B129^2</f>
        <v>3.5</v>
      </c>
      <c r="N129" s="4">
        <f>(MIN(H129,Thiet_ke!$B$16)-K129)/(Thiet_ke!$B$2*M129)</f>
        <v>0.9383489306272685</v>
      </c>
      <c r="O129" s="4">
        <f>IF(N129&gt;0,1/N129,"")</f>
        <v>1.0657016461152877</v>
      </c>
    </row>
    <row r="130" spans="1:15">
      <c r="A130">
        <v>1</v>
      </c>
      <c r="B130" s="4">
        <f>Thiet_ke!$B$20</f>
        <v>7.0</v>
      </c>
      <c r="C130" s="4">
        <f>Dau_vao!$B$21+(Dau_vao!$B$19-Dau_vao!$B$21)*128/200</f>
        <v>1952.0</v>
      </c>
      <c r="D130" s="4">
        <f>2*PI()*C130*Thiet_ke!$B$7/(60*Thiet_ke!$B$15*B130)</f>
        <v>3.144756478089811</v>
      </c>
      <c r="E130" s="4">
        <f>D130*3.6</f>
        <v>11.32112332112332</v>
      </c>
      <c r="F130" s="4">
        <f>Thiet_ke!$B$12*(Dau_vao!$B$22*(C130/Dau_vao!$B$19)+Dau_vao!$B$23*(C130/Dau_vao!$B$19)^2-Dau_vao!$B$24*(C130/Dau_vao!$B$19)^3)</f>
        <v>93.33945028225037</v>
      </c>
      <c r="G130" s="4">
        <f>60000*F130/(2*PI()*C130)</f>
        <v>456.6219743207076</v>
      </c>
      <c r="H130" s="4">
        <f>G130*Thiet_ke!$B$15*B130*Dau_vao!$B$10/Thiet_ke!$B$7</f>
        <v>26416.07111074703</v>
      </c>
      <c r="I130" s="4">
        <f>IF(D130&lt;=Dau_vao!$B$14,Dau_vao!$B$13,Dau_vao!$B$13*(1+D130^2/1500))</f>
        <v>0.015</v>
      </c>
      <c r="J130" s="4">
        <f>Thiet_ke!$B$8*D130^2</f>
        <v>28.926767921476912</v>
      </c>
      <c r="K130" s="4">
        <f>Thiet_ke!$B$3*I130+J130</f>
        <v>1160.5102679214772</v>
      </c>
      <c r="L130" s="4">
        <f>(H130-J130)/Thiet_ke!$B$3</f>
        <v>0.34978166891120566</v>
      </c>
      <c r="M130" s="4">
        <f>1.05+0.05*B130^2</f>
        <v>3.5</v>
      </c>
      <c r="N130" s="4">
        <f>(MIN(H130,Thiet_ke!$B$16)-K130)/(Thiet_ke!$B$2*M130)</f>
        <v>0.9383451920054079</v>
      </c>
      <c r="O130" s="4">
        <f>IF(N130&gt;0,1/N130,"")</f>
        <v>1.065705892159819</v>
      </c>
    </row>
    <row r="131" spans="1:15">
      <c r="A131">
        <v>1</v>
      </c>
      <c r="B131" s="4">
        <f>Thiet_ke!$B$20</f>
        <v>7.0</v>
      </c>
      <c r="C131" s="4">
        <f>Dau_vao!$B$21+(Dau_vao!$B$19-Dau_vao!$B$21)*129/200</f>
        <v>1961.0</v>
      </c>
      <c r="D131" s="4">
        <f>2*PI()*C131*Thiet_ke!$B$7/(60*Thiet_ke!$B$15*B131)</f>
        <v>3.159255867589201</v>
      </c>
      <c r="E131" s="4">
        <f>D131*3.6</f>
        <v>11.373321123321123</v>
      </c>
      <c r="F131" s="4">
        <f>Thiet_ke!$B$12*(Dau_vao!$B$22*(C131/Dau_vao!$B$19)+Dau_vao!$B$23*(C131/Dau_vao!$B$19)^2-Dau_vao!$B$24*(C131/Dau_vao!$B$19)^3)</f>
        <v>93.76827888143906</v>
      </c>
      <c r="G131" s="4">
        <f>60000*F131/(2*PI()*C131)</f>
        <v>456.61453613055806</v>
      </c>
      <c r="H131" s="4">
        <f>G131*Thiet_ke!$B$15*B131*Dau_vao!$B$10/Thiet_ke!$B$7</f>
        <v>26415.64080346666</v>
      </c>
      <c r="I131" s="4">
        <f>IF(D131&lt;=Dau_vao!$B$14,Dau_vao!$B$13,Dau_vao!$B$13*(1+D131^2/1500))</f>
        <v>0.015</v>
      </c>
      <c r="J131" s="4">
        <f>Thiet_ke!$B$8*D131^2</f>
        <v>29.194125587923125</v>
      </c>
      <c r="K131" s="4">
        <f>Thiet_ke!$B$3*I131+J131</f>
        <v>1160.7776255879232</v>
      </c>
      <c r="L131" s="4">
        <f>(H131-J131)/Thiet_ke!$B$3</f>
        <v>0.34977242083167615</v>
      </c>
      <c r="M131" s="4">
        <f>1.05+0.05*B131^2</f>
        <v>3.5</v>
      </c>
      <c r="N131" s="4">
        <f>(MIN(H131,Thiet_ke!$B$16)-K131)/(Thiet_ke!$B$2*M131)</f>
        <v>0.9383192709596411</v>
      </c>
      <c r="O131" s="4">
        <f>IF(N131&gt;0,1/N131,"")</f>
        <v>1.0657353322577257</v>
      </c>
    </row>
    <row r="132" spans="1:15">
      <c r="A132">
        <v>1</v>
      </c>
      <c r="B132" s="4">
        <f>Thiet_ke!$B$20</f>
        <v>7.0</v>
      </c>
      <c r="C132" s="4">
        <f>Dau_vao!$B$21+(Dau_vao!$B$19-Dau_vao!$B$21)*130/200</f>
        <v>1970.0</v>
      </c>
      <c r="D132" s="4">
        <f>2*PI()*C132*Thiet_ke!$B$7/(60*Thiet_ke!$B$15*B132)</f>
        <v>3.17375525708859</v>
      </c>
      <c r="E132" s="4">
        <f>D132*3.6</f>
        <v>11.425518925518924</v>
      </c>
      <c r="F132" s="4">
        <f>Thiet_ke!$B$12*(Dau_vao!$B$22*(C132/Dau_vao!$B$19)+Dau_vao!$B$23*(C132/Dau_vao!$B$19)^2-Dau_vao!$B$24*(C132/Dau_vao!$B$19)^3)</f>
        <v>94.19496879100878</v>
      </c>
      <c r="G132" s="4">
        <f>60000*F132/(2*PI()*C132)</f>
        <v>456.5967989078942</v>
      </c>
      <c r="H132" s="4">
        <f>G132*Thiet_ke!$B$15*B132*Dau_vao!$B$10/Thiet_ke!$B$7</f>
        <v>26414.61468610581</v>
      </c>
      <c r="I132" s="4">
        <f>IF(D132&lt;=Dau_vao!$B$14,Dau_vao!$B$13,Dau_vao!$B$13*(1+D132^2/1500))</f>
        <v>0.015</v>
      </c>
      <c r="J132" s="4">
        <f>Thiet_ke!$B$8*D132^2</f>
        <v>29.462713113300076</v>
      </c>
      <c r="K132" s="4">
        <f>Thiet_ke!$B$3*I132+J132</f>
        <v>1161.0462131133002</v>
      </c>
      <c r="L132" s="4">
        <f>(H132-J132)/Thiet_ke!$B$3</f>
        <v>0.349755258533628</v>
      </c>
      <c r="M132" s="4">
        <f>1.05+0.05*B132^2</f>
        <v>3.5</v>
      </c>
      <c r="N132" s="4">
        <f>(MIN(H132,Thiet_ke!$B$16)-K132)/(Thiet_ke!$B$2*M132)</f>
        <v>0.9382711674899689</v>
      </c>
      <c r="O132" s="4">
        <f>IF(N132&gt;0,1/N132,"")</f>
        <v>1.06578997058512</v>
      </c>
    </row>
    <row r="133" spans="1:15">
      <c r="A133">
        <v>1</v>
      </c>
      <c r="B133" s="4">
        <f>Thiet_ke!$B$20</f>
        <v>7.0</v>
      </c>
      <c r="C133" s="4">
        <f>Dau_vao!$B$21+(Dau_vao!$B$19-Dau_vao!$B$21)*131/200</f>
        <v>1979.0</v>
      </c>
      <c r="D133" s="4">
        <f>2*PI()*C133*Thiet_ke!$B$7/(60*Thiet_ke!$B$15*B133)</f>
        <v>3.1882546465879797</v>
      </c>
      <c r="E133" s="4">
        <f>D133*3.6</f>
        <v>11.477716727716727</v>
      </c>
      <c r="F133" s="4">
        <f>Thiet_ke!$B$12*(Dau_vao!$B$22*(C133/Dau_vao!$B$19)+Dau_vao!$B$23*(C133/Dau_vao!$B$19)^2-Dau_vao!$B$24*(C133/Dau_vao!$B$19)^3)</f>
        <v>94.61949089113101</v>
      </c>
      <c r="G133" s="4">
        <f>60000*F133/(2*PI()*C133)</f>
        <v>456.5687626527155</v>
      </c>
      <c r="H133" s="4">
        <f>G133*Thiet_ke!$B$15*B133*Dau_vao!$B$10/Thiet_ke!$B$7</f>
        <v>26412.992758664463</v>
      </c>
      <c r="I133" s="4">
        <f>IF(D133&lt;=Dau_vao!$B$14,Dau_vao!$B$13,Dau_vao!$B$13*(1+D133^2/1500))</f>
        <v>0.015</v>
      </c>
      <c r="J133" s="4">
        <f>Thiet_ke!$B$8*D133^2</f>
        <v>29.732530497607797</v>
      </c>
      <c r="K133" s="4">
        <f>Thiet_ke!$B$3*I133+J133</f>
        <v>1161.316030497608</v>
      </c>
      <c r="L133" s="4">
        <f>(H133-J133)/Thiet_ke!$B$3</f>
        <v>0.34973018201706085</v>
      </c>
      <c r="M133" s="4">
        <f>1.05+0.05*B133^2</f>
        <v>3.5</v>
      </c>
      <c r="N133" s="4">
        <f>(MIN(H133,Thiet_ke!$B$16)-K133)/(Thiet_ke!$B$2*M133)</f>
        <v>0.9382008815963907</v>
      </c>
      <c r="O133" s="4">
        <f>IF(N133&gt;0,1/N133,"")</f>
        <v>1.0658698148934322</v>
      </c>
    </row>
    <row r="134" spans="1:15">
      <c r="A134">
        <v>1</v>
      </c>
      <c r="B134" s="4">
        <f>Thiet_ke!$B$20</f>
        <v>7.0</v>
      </c>
      <c r="C134" s="4">
        <f>Dau_vao!$B$21+(Dau_vao!$B$19-Dau_vao!$B$21)*132/200</f>
        <v>1988.0</v>
      </c>
      <c r="D134" s="4">
        <f>2*PI()*C134*Thiet_ke!$B$7/(60*Thiet_ke!$B$15*B134)</f>
        <v>3.202754036087369</v>
      </c>
      <c r="E134" s="4">
        <f>D134*3.6</f>
        <v>11.52991452991453</v>
      </c>
      <c r="F134" s="4">
        <f>Thiet_ke!$B$12*(Dau_vao!$B$22*(C134/Dau_vao!$B$19)+Dau_vao!$B$23*(C134/Dau_vao!$B$19)^2-Dau_vao!$B$24*(C134/Dau_vao!$B$19)^3)</f>
        <v>95.04181606197744</v>
      </c>
      <c r="G134" s="4">
        <f>60000*F134/(2*PI()*C134)</f>
        <v>456.5304273650223</v>
      </c>
      <c r="H134" s="4">
        <f>G134*Thiet_ke!$B$15*B134*Dau_vao!$B$10/Thiet_ke!$B$7</f>
        <v>26410.7750211426</v>
      </c>
      <c r="I134" s="4">
        <f>IF(D134&lt;=Dau_vao!$B$14,Dau_vao!$B$13,Dau_vao!$B$13*(1+D134^2/1500))</f>
        <v>0.015</v>
      </c>
      <c r="J134" s="4">
        <f>Thiet_ke!$B$8*D134^2</f>
        <v>30.003577740846257</v>
      </c>
      <c r="K134" s="4">
        <f>Thiet_ke!$B$3*I134+J134</f>
        <v>1161.5870777408466</v>
      </c>
      <c r="L134" s="4">
        <f>(H134-J134)/Thiet_ke!$B$3</f>
        <v>0.3496971912819746</v>
      </c>
      <c r="M134" s="4">
        <f>1.05+0.05*B134^2</f>
        <v>3.5</v>
      </c>
      <c r="N134" s="4">
        <f>(MIN(H134,Thiet_ke!$B$16)-K134)/(Thiet_ke!$B$2*M134)</f>
        <v>0.9381084132789059</v>
      </c>
      <c r="O134" s="4">
        <f>IF(N134&gt;0,1/N134,"")</f>
        <v>1.06597487651216</v>
      </c>
    </row>
    <row r="135" spans="1:15">
      <c r="A135">
        <v>1</v>
      </c>
      <c r="B135" s="4">
        <f>Thiet_ke!$B$20</f>
        <v>7.0</v>
      </c>
      <c r="C135" s="4">
        <f>Dau_vao!$B$21+(Dau_vao!$B$19-Dau_vao!$B$21)*133/200</f>
        <v>1997.0</v>
      </c>
      <c r="D135" s="4">
        <f>2*PI()*C135*Thiet_ke!$B$7/(60*Thiet_ke!$B$15*B135)</f>
        <v>3.217253425586759</v>
      </c>
      <c r="E135" s="4">
        <f>D135*3.6</f>
        <v>11.582112332112333</v>
      </c>
      <c r="F135" s="4">
        <f>Thiet_ke!$B$12*(Dau_vao!$B$22*(C135/Dau_vao!$B$19)+Dau_vao!$B$23*(C135/Dau_vao!$B$19)^2-Dau_vao!$B$24*(C135/Dau_vao!$B$19)^3)</f>
        <v>95.46191518371967</v>
      </c>
      <c r="G135" s="4">
        <f>60000*F135/(2*PI()*C135)</f>
        <v>456.48179304481454</v>
      </c>
      <c r="H135" s="4">
        <f>G135*Thiet_ke!$B$15*B135*Dau_vao!$B$10/Thiet_ke!$B$7</f>
        <v>26407.961473540243</v>
      </c>
      <c r="I135" s="4">
        <f>IF(D135&lt;=Dau_vao!$B$14,Dau_vao!$B$13,Dau_vao!$B$13*(1+D135^2/1500))</f>
        <v>0.015</v>
      </c>
      <c r="J135" s="4">
        <f>Thiet_ke!$B$8*D135^2</f>
        <v>30.27585484301548</v>
      </c>
      <c r="K135" s="4">
        <f>Thiet_ke!$B$3*I135+J135</f>
        <v>1161.8593548430156</v>
      </c>
      <c r="L135" s="4">
        <f>(H135-J135)/Thiet_ke!$B$3</f>
        <v>0.34965628632836937</v>
      </c>
      <c r="M135" s="4">
        <f>1.05+0.05*B135^2</f>
        <v>3.5</v>
      </c>
      <c r="N135" s="4">
        <f>(MIN(H135,Thiet_ke!$B$16)-K135)/(Thiet_ke!$B$2*M135)</f>
        <v>0.9379937625375154</v>
      </c>
      <c r="O135" s="4">
        <f>IF(N135&gt;0,1/N135,"")</f>
        <v>1.0661051703528834</v>
      </c>
    </row>
    <row r="136" spans="1:15">
      <c r="A136">
        <v>1</v>
      </c>
      <c r="B136" s="4">
        <f>Thiet_ke!$B$20</f>
        <v>7.0</v>
      </c>
      <c r="C136" s="4">
        <f>Dau_vao!$B$21+(Dau_vao!$B$19-Dau_vao!$B$21)*134/200</f>
        <v>2006.0</v>
      </c>
      <c r="D136" s="4">
        <f>2*PI()*C136*Thiet_ke!$B$7/(60*Thiet_ke!$B$15*B136)</f>
        <v>3.231752815086148</v>
      </c>
      <c r="E136" s="4">
        <f>D136*3.6</f>
        <v>11.634310134310134</v>
      </c>
      <c r="F136" s="4">
        <f>Thiet_ke!$B$12*(Dau_vao!$B$22*(C136/Dau_vao!$B$19)+Dau_vao!$B$23*(C136/Dau_vao!$B$19)^2-Dau_vao!$B$24*(C136/Dau_vao!$B$19)^3)</f>
        <v>95.87975913652924</v>
      </c>
      <c r="G136" s="4">
        <f>60000*F136/(2*PI()*C136)</f>
        <v>456.42285969209206</v>
      </c>
      <c r="H136" s="4">
        <f>G136*Thiet_ke!$B$15*B136*Dau_vao!$B$10/Thiet_ke!$B$7</f>
        <v>26404.55211585739</v>
      </c>
      <c r="I136" s="4">
        <f>IF(D136&lt;=Dau_vao!$B$14,Dau_vao!$B$13,Dau_vao!$B$13*(1+D136^2/1500))</f>
        <v>0.015</v>
      </c>
      <c r="J136" s="4">
        <f>Thiet_ke!$B$8*D136^2</f>
        <v>30.54936180411544</v>
      </c>
      <c r="K136" s="4">
        <f>Thiet_ke!$B$3*I136+J136</f>
        <v>1162.1328618041157</v>
      </c>
      <c r="L136" s="4">
        <f>(H136-J136)/Thiet_ke!$B$3</f>
        <v>0.3496074671562453</v>
      </c>
      <c r="M136" s="4">
        <f>1.05+0.05*B136^2</f>
        <v>3.5</v>
      </c>
      <c r="N136" s="4">
        <f>(MIN(H136,Thiet_ke!$B$16)-K136)/(Thiet_ke!$B$2*M136)</f>
        <v>0.937856929372219</v>
      </c>
      <c r="O136" s="4">
        <f>IF(N136&gt;0,1/N136,"")</f>
        <v>1.066260714914564</v>
      </c>
    </row>
    <row r="137" spans="1:15">
      <c r="A137">
        <v>1</v>
      </c>
      <c r="B137" s="4">
        <f>Thiet_ke!$B$20</f>
        <v>7.0</v>
      </c>
      <c r="C137" s="4">
        <f>Dau_vao!$B$21+(Dau_vao!$B$19-Dau_vao!$B$21)*135/200</f>
        <v>2015.0</v>
      </c>
      <c r="D137" s="4">
        <f>2*PI()*C137*Thiet_ke!$B$7/(60*Thiet_ke!$B$15*B137)</f>
        <v>3.246252204585538</v>
      </c>
      <c r="E137" s="4">
        <f>D137*3.6</f>
        <v>11.686507936507937</v>
      </c>
      <c r="F137" s="4">
        <f>Thiet_ke!$B$12*(Dau_vao!$B$22*(C137/Dau_vao!$B$19)+Dau_vao!$B$23*(C137/Dau_vao!$B$19)^2-Dau_vao!$B$24*(C137/Dau_vao!$B$19)^3)</f>
        <v>96.29531880057782</v>
      </c>
      <c r="G137" s="4">
        <f>60000*F137/(2*PI()*C137)</f>
        <v>456.35362730685506</v>
      </c>
      <c r="H137" s="4">
        <f>G137*Thiet_ke!$B$15*B137*Dau_vao!$B$10/Thiet_ke!$B$7</f>
        <v>26400.546948094034</v>
      </c>
      <c r="I137" s="4">
        <f>IF(D137&lt;=Dau_vao!$B$14,Dau_vao!$B$13,Dau_vao!$B$13*(1+D137^2/1500))</f>
        <v>0.015</v>
      </c>
      <c r="J137" s="4">
        <f>Thiet_ke!$B$8*D137^2</f>
        <v>30.824098624146163</v>
      </c>
      <c r="K137" s="4">
        <f>Thiet_ke!$B$3*I137+J137</f>
        <v>1162.4075986241464</v>
      </c>
      <c r="L137" s="4">
        <f>(H137-J137)/Thiet_ke!$B$3</f>
        <v>0.34955073376560214</v>
      </c>
      <c r="M137" s="4">
        <f>1.05+0.05*B137^2</f>
        <v>3.5</v>
      </c>
      <c r="N137" s="4">
        <f>(MIN(H137,Thiet_ke!$B$16)-K137)/(Thiet_ke!$B$2*M137)</f>
        <v>0.9376979137830164</v>
      </c>
      <c r="O137" s="4">
        <f>IF(N137&gt;0,1/N137,"")</f>
        <v>1.0664415322901106</v>
      </c>
    </row>
    <row r="138" spans="1:15">
      <c r="A138">
        <v>1</v>
      </c>
      <c r="B138" s="4">
        <f>Thiet_ke!$B$20</f>
        <v>7.0</v>
      </c>
      <c r="C138" s="4">
        <f>Dau_vao!$B$21+(Dau_vao!$B$19-Dau_vao!$B$21)*136/200</f>
        <v>2024.0</v>
      </c>
      <c r="D138" s="4">
        <f>2*PI()*C138*Thiet_ke!$B$7/(60*Thiet_ke!$B$15*B138)</f>
        <v>3.2607515940849274</v>
      </c>
      <c r="E138" s="4">
        <f>D138*3.6</f>
        <v>11.73870573870574</v>
      </c>
      <c r="F138" s="4">
        <f>Thiet_ke!$B$12*(Dau_vao!$B$22*(C138/Dau_vao!$B$19)+Dau_vao!$B$23*(C138/Dau_vao!$B$19)^2-Dau_vao!$B$24*(C138/Dau_vao!$B$19)^3)</f>
        <v>96.70856505603696</v>
      </c>
      <c r="G138" s="4">
        <f>60000*F138/(2*PI()*C138)</f>
        <v>456.2740958891034</v>
      </c>
      <c r="H138" s="4">
        <f>G138*Thiet_ke!$B$15*B138*Dau_vao!$B$10/Thiet_ke!$B$7</f>
        <v>26395.945970250188</v>
      </c>
      <c r="I138" s="4">
        <f>IF(D138&lt;=Dau_vao!$B$14,Dau_vao!$B$13,Dau_vao!$B$13*(1+D138^2/1500))</f>
        <v>0.015</v>
      </c>
      <c r="J138" s="4">
        <f>Thiet_ke!$B$8*D138^2</f>
        <v>31.10006530310763</v>
      </c>
      <c r="K138" s="4">
        <f>Thiet_ke!$B$3*I138+J138</f>
        <v>1162.6835653031078</v>
      </c>
      <c r="L138" s="4">
        <f>(H138-J138)/Thiet_ke!$B$3</f>
        <v>0.3494860861564402</v>
      </c>
      <c r="M138" s="4">
        <f>1.05+0.05*B138^2</f>
        <v>3.5</v>
      </c>
      <c r="N138" s="4">
        <f>(MIN(H138,Thiet_ke!$B$16)-K138)/(Thiet_ke!$B$2*M138)</f>
        <v>0.9375167157699082</v>
      </c>
      <c r="O138" s="4">
        <f>IF(N138&gt;0,1/N138,"")</f>
        <v>1.0666476481742293</v>
      </c>
    </row>
    <row r="139" spans="1:15">
      <c r="A139">
        <v>1</v>
      </c>
      <c r="B139" s="4">
        <f>Thiet_ke!$B$20</f>
        <v>7.0</v>
      </c>
      <c r="C139" s="4">
        <f>Dau_vao!$B$21+(Dau_vao!$B$19-Dau_vao!$B$21)*137/200</f>
        <v>2033.0</v>
      </c>
      <c r="D139" s="4">
        <f>2*PI()*C139*Thiet_ke!$B$7/(60*Thiet_ke!$B$15*B139)</f>
        <v>3.275250983584317</v>
      </c>
      <c r="E139" s="4">
        <f>D139*3.6</f>
        <v>11.79090354090354</v>
      </c>
      <c r="F139" s="4">
        <f>Thiet_ke!$B$12*(Dau_vao!$B$22*(C139/Dau_vao!$B$19)+Dau_vao!$B$23*(C139/Dau_vao!$B$19)^2-Dau_vao!$B$24*(C139/Dau_vao!$B$19)^3)</f>
        <v>97.11946878307835</v>
      </c>
      <c r="G139" s="4">
        <f>60000*F139/(2*PI()*C139)</f>
        <v>456.18426543883743</v>
      </c>
      <c r="H139" s="4">
        <f>G139*Thiet_ke!$B$15*B139*Dau_vao!$B$10/Thiet_ke!$B$7</f>
        <v>26390.749182325846</v>
      </c>
      <c r="I139" s="4">
        <f>IF(D139&lt;=Dau_vao!$B$14,Dau_vao!$B$13,Dau_vao!$B$13*(1+D139^2/1500))</f>
        <v>0.015</v>
      </c>
      <c r="J139" s="4">
        <f>Thiet_ke!$B$8*D139^2</f>
        <v>31.377261840999854</v>
      </c>
      <c r="K139" s="4">
        <f>Thiet_ke!$B$3*I139+J139</f>
        <v>1162.960761841</v>
      </c>
      <c r="L139" s="4">
        <f>(H139-J139)/Thiet_ke!$B$3</f>
        <v>0.34941352432875933</v>
      </c>
      <c r="M139" s="4">
        <f>1.05+0.05*B139^2</f>
        <v>3.5</v>
      </c>
      <c r="N139" s="4">
        <f>(MIN(H139,Thiet_ke!$B$16)-K139)/(Thiet_ke!$B$2*M139)</f>
        <v>0.9373133353328941</v>
      </c>
      <c r="O139" s="4">
        <f>IF(N139&gt;0,1/N139,"")</f>
        <v>1.0668790918725617</v>
      </c>
    </row>
    <row r="140" spans="1:15">
      <c r="A140">
        <v>1</v>
      </c>
      <c r="B140" s="4">
        <f>Thiet_ke!$B$20</f>
        <v>7.0</v>
      </c>
      <c r="C140" s="4">
        <f>Dau_vao!$B$21+(Dau_vao!$B$19-Dau_vao!$B$21)*138/200</f>
        <v>2042.0</v>
      </c>
      <c r="D140" s="4">
        <f>2*PI()*C140*Thiet_ke!$B$7/(60*Thiet_ke!$B$15*B140)</f>
        <v>3.2897503730837063</v>
      </c>
      <c r="E140" s="4">
        <f>D140*3.6</f>
        <v>11.843101343101344</v>
      </c>
      <c r="F140" s="4">
        <f>Thiet_ke!$B$12*(Dau_vao!$B$22*(C140/Dau_vao!$B$19)+Dau_vao!$B$23*(C140/Dau_vao!$B$19)^2-Dau_vao!$B$24*(C140/Dau_vao!$B$19)^3)</f>
        <v>97.52800086187342</v>
      </c>
      <c r="G140" s="4">
        <f>60000*F140/(2*PI()*C140)</f>
        <v>456.08413595605634</v>
      </c>
      <c r="H140" s="4">
        <f>G140*Thiet_ke!$B$15*B140*Dau_vao!$B$10/Thiet_ke!$B$7</f>
        <v>26384.956584320982</v>
      </c>
      <c r="I140" s="4">
        <f>IF(D140&lt;=Dau_vao!$B$14,Dau_vao!$B$13,Dau_vao!$B$13*(1+D140^2/1500))</f>
        <v>0.015</v>
      </c>
      <c r="J140" s="4">
        <f>Thiet_ke!$B$8*D140^2</f>
        <v>31.655688237822826</v>
      </c>
      <c r="K140" s="4">
        <f>Thiet_ke!$B$3*I140+J140</f>
        <v>1163.239188237823</v>
      </c>
      <c r="L140" s="4">
        <f>(H140-J140)/Thiet_ke!$B$3</f>
        <v>0.3493330482825592</v>
      </c>
      <c r="M140" s="4">
        <f>1.05+0.05*B140^2</f>
        <v>3.5</v>
      </c>
      <c r="N140" s="4">
        <f>(MIN(H140,Thiet_ke!$B$16)-K140)/(Thiet_ke!$B$2*M140)</f>
        <v>0.9370877724719733</v>
      </c>
      <c r="O140" s="4">
        <f>IF(N140&gt;0,1/N140,"")</f>
        <v>1.0671358963121123</v>
      </c>
    </row>
    <row r="141" spans="1:15">
      <c r="A141">
        <v>1</v>
      </c>
      <c r="B141" s="4">
        <f>Thiet_ke!$B$20</f>
        <v>7.0</v>
      </c>
      <c r="C141" s="4">
        <f>Dau_vao!$B$21+(Dau_vao!$B$19-Dau_vao!$B$21)*139/200</f>
        <v>2051.0</v>
      </c>
      <c r="D141" s="4">
        <f>2*PI()*C141*Thiet_ke!$B$7/(60*Thiet_ke!$B$15*B141)</f>
        <v>3.304249762583096</v>
      </c>
      <c r="E141" s="4">
        <f>D141*3.6</f>
        <v>11.895299145299147</v>
      </c>
      <c r="F141" s="4">
        <f>Thiet_ke!$B$12*(Dau_vao!$B$22*(C141/Dau_vao!$B$19)+Dau_vao!$B$23*(C141/Dau_vao!$B$19)^2-Dau_vao!$B$24*(C141/Dau_vao!$B$19)^3)</f>
        <v>97.93413217259396</v>
      </c>
      <c r="G141" s="4">
        <f>60000*F141/(2*PI()*C141)</f>
        <v>455.9737074407611</v>
      </c>
      <c r="H141" s="4">
        <f>G141*Thiet_ke!$B$15*B141*Dau_vao!$B$10/Thiet_ke!$B$7</f>
        <v>26378.568176235643</v>
      </c>
      <c r="I141" s="4">
        <f>IF(D141&lt;=Dau_vao!$B$14,Dau_vao!$B$13,Dau_vao!$B$13*(1+D141^2/1500))</f>
        <v>0.015</v>
      </c>
      <c r="J141" s="4">
        <f>Thiet_ke!$B$8*D141^2</f>
        <v>31.935344493576565</v>
      </c>
      <c r="K141" s="4">
        <f>Thiet_ke!$B$3*I141+J141</f>
        <v>1163.5188444935768</v>
      </c>
      <c r="L141" s="4">
        <f>(H141-J141)/Thiet_ke!$B$3</f>
        <v>0.34924465801784044</v>
      </c>
      <c r="M141" s="4">
        <f>1.05+0.05*B141^2</f>
        <v>3.5</v>
      </c>
      <c r="N141" s="4">
        <f>(MIN(H141,Thiet_ke!$B$16)-K141)/(Thiet_ke!$B$2*M141)</f>
        <v>0.9368400271871472</v>
      </c>
      <c r="O141" s="4">
        <f>IF(N141&gt;0,1/N141,"")</f>
        <v>1.0674180980529728</v>
      </c>
    </row>
    <row r="142" spans="1:15">
      <c r="A142">
        <v>1</v>
      </c>
      <c r="B142" s="4">
        <f>Thiet_ke!$B$20</f>
        <v>7.0</v>
      </c>
      <c r="C142" s="4">
        <f>Dau_vao!$B$21+(Dau_vao!$B$19-Dau_vao!$B$21)*140/200</f>
        <v>2060.0</v>
      </c>
      <c r="D142" s="4">
        <f>2*PI()*C142*Thiet_ke!$B$7/(60*Thiet_ke!$B$15*B142)</f>
        <v>3.318749152082485</v>
      </c>
      <c r="E142" s="4">
        <f>D142*3.6</f>
        <v>11.947496947496948</v>
      </c>
      <c r="F142" s="4">
        <f>Thiet_ke!$B$12*(Dau_vao!$B$22*(C142/Dau_vao!$B$19)+Dau_vao!$B$23*(C142/Dau_vao!$B$19)^2-Dau_vao!$B$24*(C142/Dau_vao!$B$19)^3)</f>
        <v>98.33783359541148</v>
      </c>
      <c r="G142" s="4">
        <f>60000*F142/(2*PI()*C142)</f>
        <v>455.8529798929511</v>
      </c>
      <c r="H142" s="4">
        <f>G142*Thiet_ke!$B$15*B142*Dau_vao!$B$10/Thiet_ke!$B$7</f>
        <v>26371.5839580698</v>
      </c>
      <c r="I142" s="4">
        <f>IF(D142&lt;=Dau_vao!$B$14,Dau_vao!$B$13,Dau_vao!$B$13*(1+D142^2/1500))</f>
        <v>0.015</v>
      </c>
      <c r="J142" s="4">
        <f>Thiet_ke!$B$8*D142^2</f>
        <v>32.21623060826103</v>
      </c>
      <c r="K142" s="4">
        <f>Thiet_ke!$B$3*I142+J142</f>
        <v>1163.7997306082611</v>
      </c>
      <c r="L142" s="4">
        <f>(H142-J142)/Thiet_ke!$B$3</f>
        <v>0.34914835353460266</v>
      </c>
      <c r="M142" s="4">
        <f>1.05+0.05*B142^2</f>
        <v>3.5</v>
      </c>
      <c r="N142" s="4">
        <f>(MIN(H142,Thiet_ke!$B$16)-K142)/(Thiet_ke!$B$2*M142)</f>
        <v>0.936570099478415</v>
      </c>
      <c r="O142" s="4">
        <f>IF(N142&gt;0,1/N142,"")</f>
        <v>1.0677257373013613</v>
      </c>
    </row>
    <row r="143" spans="1:15">
      <c r="A143">
        <v>1</v>
      </c>
      <c r="B143" s="4">
        <f>Thiet_ke!$B$20</f>
        <v>7.0</v>
      </c>
      <c r="C143" s="4">
        <f>Dau_vao!$B$21+(Dau_vao!$B$19-Dau_vao!$B$21)*141/200</f>
        <v>2069.0</v>
      </c>
      <c r="D143" s="4">
        <f>2*PI()*C143*Thiet_ke!$B$7/(60*Thiet_ke!$B$15*B143)</f>
        <v>3.3332485415818742</v>
      </c>
      <c r="E143" s="4">
        <f>D143*3.6</f>
        <v>11.999694749694747</v>
      </c>
      <c r="F143" s="4">
        <f>Thiet_ke!$B$12*(Dau_vao!$B$22*(C143/Dau_vao!$B$19)+Dau_vao!$B$23*(C143/Dau_vao!$B$19)^2-Dau_vao!$B$24*(C143/Dau_vao!$B$19)^3)</f>
        <v>98.7390760104976</v>
      </c>
      <c r="G143" s="4">
        <f>60000*F143/(2*PI()*C143)</f>
        <v>455.7219533126266</v>
      </c>
      <c r="H143" s="4">
        <f>G143*Thiet_ke!$B$15*B143*Dau_vao!$B$10/Thiet_ke!$B$7</f>
        <v>26364.003929823455</v>
      </c>
      <c r="I143" s="4">
        <f>IF(D143&lt;=Dau_vao!$B$14,Dau_vao!$B$13,Dau_vao!$B$13*(1+D143^2/1500))</f>
        <v>0.015</v>
      </c>
      <c r="J143" s="4">
        <f>Thiet_ke!$B$8*D143^2</f>
        <v>32.49834658187625</v>
      </c>
      <c r="K143" s="4">
        <f>Thiet_ke!$B$3*I143+J143</f>
        <v>1164.0818465818763</v>
      </c>
      <c r="L143" s="4">
        <f>(H143-J143)/Thiet_ke!$B$3</f>
        <v>0.34904413483284585</v>
      </c>
      <c r="M143" s="4">
        <f>1.05+0.05*B143^2</f>
        <v>3.5</v>
      </c>
      <c r="N143" s="4">
        <f>(MIN(H143,Thiet_ke!$B$16)-K143)/(Thiet_ke!$B$2*M143)</f>
        <v>0.9362779893457767</v>
      </c>
      <c r="O143" s="4">
        <f>IF(N143&gt;0,1/N143,"")</f>
        <v>1.0680588579239687</v>
      </c>
    </row>
    <row r="144" spans="1:15">
      <c r="A144">
        <v>1</v>
      </c>
      <c r="B144" s="4">
        <f>Thiet_ke!$B$20</f>
        <v>7.0</v>
      </c>
      <c r="C144" s="4">
        <f>Dau_vao!$B$21+(Dau_vao!$B$19-Dau_vao!$B$21)*142/200</f>
        <v>2078.0</v>
      </c>
      <c r="D144" s="4">
        <f>2*PI()*C144*Thiet_ke!$B$7/(60*Thiet_ke!$B$15*B144)</f>
        <v>3.347747931081264</v>
      </c>
      <c r="E144" s="4">
        <f>D144*3.6</f>
        <v>12.051892551892552</v>
      </c>
      <c r="F144" s="4">
        <f>Thiet_ke!$B$12*(Dau_vao!$B$22*(C144/Dau_vao!$B$19)+Dau_vao!$B$23*(C144/Dau_vao!$B$19)^2-Dau_vao!$B$24*(C144/Dau_vao!$B$19)^3)</f>
        <v>99.13783029802386</v>
      </c>
      <c r="G144" s="4">
        <f>60000*F144/(2*PI()*C144)</f>
        <v>455.58062769978727</v>
      </c>
      <c r="H144" s="4">
        <f>G144*Thiet_ke!$B$15*B144*Dau_vao!$B$10/Thiet_ke!$B$7</f>
        <v>26355.828091496605</v>
      </c>
      <c r="I144" s="4">
        <f>IF(D144&lt;=Dau_vao!$B$14,Dau_vao!$B$13,Dau_vao!$B$13*(1+D144^2/1500))</f>
        <v>0.015</v>
      </c>
      <c r="J144" s="4">
        <f>Thiet_ke!$B$8*D144^2</f>
        <v>32.78169241442224</v>
      </c>
      <c r="K144" s="4">
        <f>Thiet_ke!$B$3*I144+J144</f>
        <v>1164.3651924144224</v>
      </c>
      <c r="L144" s="4">
        <f>(H144-J144)/Thiet_ke!$B$3</f>
        <v>0.34893200191257007</v>
      </c>
      <c r="M144" s="4">
        <f>1.05+0.05*B144^2</f>
        <v>3.5</v>
      </c>
      <c r="N144" s="4">
        <f>(MIN(H144,Thiet_ke!$B$16)-K144)/(Thiet_ke!$B$2*M144)</f>
        <v>0.9359636967892322</v>
      </c>
      <c r="O144" s="4">
        <f>IF(N144&gt;0,1/N144,"")</f>
        <v>1.068417507463634</v>
      </c>
    </row>
    <row r="145" spans="1:15">
      <c r="A145">
        <v>1</v>
      </c>
      <c r="B145" s="4">
        <f>Thiet_ke!$B$20</f>
        <v>7.0</v>
      </c>
      <c r="C145" s="4">
        <f>Dau_vao!$B$21+(Dau_vao!$B$19-Dau_vao!$B$21)*143/200</f>
        <v>2087.0</v>
      </c>
      <c r="D145" s="4">
        <f>2*PI()*C145*Thiet_ke!$B$7/(60*Thiet_ke!$B$15*B145)</f>
        <v>3.3622473205806536</v>
      </c>
      <c r="E145" s="4">
        <f>D145*3.6</f>
        <v>12.104090354090353</v>
      </c>
      <c r="F145" s="4">
        <f>Thiet_ke!$B$12*(Dau_vao!$B$22*(C145/Dau_vao!$B$19)+Dau_vao!$B$23*(C145/Dau_vao!$B$19)^2-Dau_vao!$B$24*(C145/Dau_vao!$B$19)^3)</f>
        <v>99.53406733816198</v>
      </c>
      <c r="G145" s="4">
        <f>60000*F145/(2*PI()*C145)</f>
        <v>455.42900305443357</v>
      </c>
      <c r="H145" s="4">
        <f>G145*Thiet_ke!$B$15*B145*Dau_vao!$B$10/Thiet_ke!$B$7</f>
        <v>26347.05644308927</v>
      </c>
      <c r="I145" s="4">
        <f>IF(D145&lt;=Dau_vao!$B$14,Dau_vao!$B$13,Dau_vao!$B$13*(1+D145^2/1500))</f>
        <v>0.015</v>
      </c>
      <c r="J145" s="4">
        <f>Thiet_ke!$B$8*D145^2</f>
        <v>33.06626810589898</v>
      </c>
      <c r="K145" s="4">
        <f>Thiet_ke!$B$3*I145+J145</f>
        <v>1164.649768105899</v>
      </c>
      <c r="L145" s="4">
        <f>(H145-J145)/Thiet_ke!$B$3</f>
        <v>0.3488119547737754</v>
      </c>
      <c r="M145" s="4">
        <f>1.05+0.05*B145^2</f>
        <v>3.5</v>
      </c>
      <c r="N145" s="4">
        <f>(MIN(H145,Thiet_ke!$B$16)-K145)/(Thiet_ke!$B$2*M145)</f>
        <v>0.9356272218087822</v>
      </c>
      <c r="O145" s="4">
        <f>IF(N145&gt;0,1/N145,"")</f>
        <v>1.0688017371563543</v>
      </c>
    </row>
    <row r="146" spans="1:15">
      <c r="A146">
        <v>1</v>
      </c>
      <c r="B146" s="4">
        <f>Thiet_ke!$B$20</f>
        <v>7.0</v>
      </c>
      <c r="C146" s="4">
        <f>Dau_vao!$B$21+(Dau_vao!$B$19-Dau_vao!$B$21)*144/200</f>
        <v>2096.0</v>
      </c>
      <c r="D146" s="4">
        <f>2*PI()*C146*Thiet_ke!$B$7/(60*Thiet_ke!$B$15*B146)</f>
        <v>3.3767467100800435</v>
      </c>
      <c r="E146" s="4">
        <f>D146*3.6</f>
        <v>12.156288156288158</v>
      </c>
      <c r="F146" s="4">
        <f>Thiet_ke!$B$12*(Dau_vao!$B$22*(C146/Dau_vao!$B$19)+Dau_vao!$B$23*(C146/Dau_vao!$B$19)^2-Dau_vao!$B$24*(C146/Dau_vao!$B$19)^3)</f>
        <v>99.92775801108345</v>
      </c>
      <c r="G146" s="4">
        <f>60000*F146/(2*PI()*C146)</f>
        <v>455.26707937656516</v>
      </c>
      <c r="H146" s="4">
        <f>G146*Thiet_ke!$B$15*B146*Dau_vao!$B$10/Thiet_ke!$B$7</f>
        <v>26337.688984601427</v>
      </c>
      <c r="I146" s="4">
        <f>IF(D146&lt;=Dau_vao!$B$14,Dau_vao!$B$13,Dau_vao!$B$13*(1+D146^2/1500))</f>
        <v>0.015</v>
      </c>
      <c r="J146" s="4">
        <f>Thiet_ke!$B$8*D146^2</f>
        <v>33.352073656306466</v>
      </c>
      <c r="K146" s="4">
        <f>Thiet_ke!$B$3*I146+J146</f>
        <v>1164.9355736563066</v>
      </c>
      <c r="L146" s="4">
        <f>(H146-J146)/Thiet_ke!$B$3</f>
        <v>0.3486839934164618</v>
      </c>
      <c r="M146" s="4">
        <f>1.05+0.05*B146^2</f>
        <v>3.5</v>
      </c>
      <c r="N146" s="4">
        <f>(MIN(H146,Thiet_ke!$B$16)-K146)/(Thiet_ke!$B$2*M146)</f>
        <v>0.9352685644044259</v>
      </c>
      <c r="O146" s="4">
        <f>IF(N146&gt;0,1/N146,"")</f>
        <v>1.069211601949644</v>
      </c>
    </row>
    <row r="147" spans="1:15">
      <c r="A147">
        <v>1</v>
      </c>
      <c r="B147" s="4">
        <f>Thiet_ke!$B$20</f>
        <v>7.0</v>
      </c>
      <c r="C147" s="4">
        <f>Dau_vao!$B$21+(Dau_vao!$B$19-Dau_vao!$B$21)*145/200</f>
        <v>2105.0</v>
      </c>
      <c r="D147" s="4">
        <f>2*PI()*C147*Thiet_ke!$B$7/(60*Thiet_ke!$B$15*B147)</f>
        <v>3.3912460995794325</v>
      </c>
      <c r="E147" s="4">
        <f>D147*3.6</f>
        <v>12.208485958485957</v>
      </c>
      <c r="F147" s="4">
        <f>Thiet_ke!$B$12*(Dau_vao!$B$22*(C147/Dau_vao!$B$19)+Dau_vao!$B$23*(C147/Dau_vao!$B$19)^2-Dau_vao!$B$24*(C147/Dau_vao!$B$19)^3)</f>
        <v>100.31887319695994</v>
      </c>
      <c r="G147" s="4">
        <f>60000*F147/(2*PI()*C147)</f>
        <v>455.0948566661822</v>
      </c>
      <c r="H147" s="4">
        <f>G147*Thiet_ke!$B$15*B147*Dau_vao!$B$10/Thiet_ke!$B$7</f>
        <v>26327.725716033096</v>
      </c>
      <c r="I147" s="4">
        <f>IF(D147&lt;=Dau_vao!$B$14,Dau_vao!$B$13,Dau_vao!$B$13*(1+D147^2/1500))</f>
        <v>0.015</v>
      </c>
      <c r="J147" s="4">
        <f>Thiet_ke!$B$8*D147^2</f>
        <v>33.63910906564469</v>
      </c>
      <c r="K147" s="4">
        <f>Thiet_ke!$B$3*I147+J147</f>
        <v>1165.222609065645</v>
      </c>
      <c r="L147" s="4">
        <f>(H147-J147)/Thiet_ke!$B$3</f>
        <v>0.3485481178406293</v>
      </c>
      <c r="M147" s="4">
        <f>1.05+0.05*B147^2</f>
        <v>3.5</v>
      </c>
      <c r="N147" s="4">
        <f>(MIN(H147,Thiet_ke!$B$16)-K147)/(Thiet_ke!$B$2*M147)</f>
        <v>0.9348877245761639</v>
      </c>
      <c r="O147" s="4">
        <f>IF(N147&gt;0,1/N147,"")</f>
        <v>1.0696471605222488</v>
      </c>
    </row>
    <row r="148" spans="1:15">
      <c r="A148">
        <v>1</v>
      </c>
      <c r="B148" s="4">
        <f>Thiet_ke!$B$20</f>
        <v>7.0</v>
      </c>
      <c r="C148" s="4">
        <f>Dau_vao!$B$21+(Dau_vao!$B$19-Dau_vao!$B$21)*146/200</f>
        <v>2114.0</v>
      </c>
      <c r="D148" s="4">
        <f>2*PI()*C148*Thiet_ke!$B$7/(60*Thiet_ke!$B$15*B148)</f>
        <v>3.4057454890788224</v>
      </c>
      <c r="E148" s="4">
        <f>D148*3.6</f>
        <v>12.260683760683762</v>
      </c>
      <c r="F148" s="4">
        <f>Thiet_ke!$B$12*(Dau_vao!$B$22*(C148/Dau_vao!$B$19)+Dau_vao!$B$23*(C148/Dau_vao!$B$19)^2-Dau_vao!$B$24*(C148/Dau_vao!$B$19)^3)</f>
        <v>100.70738377596304</v>
      </c>
      <c r="G148" s="4">
        <f>60000*F148/(2*PI()*C148)</f>
        <v>454.9123349232846</v>
      </c>
      <c r="H148" s="4">
        <f>G148*Thiet_ke!$B$15*B148*Dau_vao!$B$10/Thiet_ke!$B$7</f>
        <v>26317.166637384256</v>
      </c>
      <c r="I148" s="4">
        <f>IF(D148&lt;=Dau_vao!$B$14,Dau_vao!$B$13,Dau_vao!$B$13*(1+D148^2/1500))</f>
        <v>0.015</v>
      </c>
      <c r="J148" s="4">
        <f>Thiet_ke!$B$8*D148^2</f>
        <v>33.92737433391369</v>
      </c>
      <c r="K148" s="4">
        <f>Thiet_ke!$B$3*I148+J148</f>
        <v>1165.5108743339138</v>
      </c>
      <c r="L148" s="4">
        <f>(H148-J148)/Thiet_ke!$B$3</f>
        <v>0.3484043280462777</v>
      </c>
      <c r="M148" s="4">
        <f>1.05+0.05*B148^2</f>
        <v>3.5</v>
      </c>
      <c r="N148" s="4">
        <f>(MIN(H148,Thiet_ke!$B$16)-K148)/(Thiet_ke!$B$2*M148)</f>
        <v>0.9344847023239956</v>
      </c>
      <c r="O148" s="4">
        <f>IF(N148&gt;0,1/N148,"")</f>
        <v>1.070108475305238</v>
      </c>
    </row>
    <row r="149" spans="1:15">
      <c r="A149">
        <v>1</v>
      </c>
      <c r="B149" s="4">
        <f>Thiet_ke!$B$20</f>
        <v>7.0</v>
      </c>
      <c r="C149" s="4">
        <f>Dau_vao!$B$21+(Dau_vao!$B$19-Dau_vao!$B$21)*147/200</f>
        <v>2123.0</v>
      </c>
      <c r="D149" s="4">
        <f>2*PI()*C149*Thiet_ke!$B$7/(60*Thiet_ke!$B$15*B149)</f>
        <v>3.420244878578212</v>
      </c>
      <c r="E149" s="4">
        <f>D149*3.6</f>
        <v>12.312881562881563</v>
      </c>
      <c r="F149" s="4">
        <f>Thiet_ke!$B$12*(Dau_vao!$B$22*(C149/Dau_vao!$B$19)+Dau_vao!$B$23*(C149/Dau_vao!$B$19)^2-Dau_vao!$B$24*(C149/Dau_vao!$B$19)^3)</f>
        <v>101.09326062826435</v>
      </c>
      <c r="G149" s="4">
        <f>60000*F149/(2*PI()*C149)</f>
        <v>454.71951414787253</v>
      </c>
      <c r="H149" s="4">
        <f>G149*Thiet_ke!$B$15*B149*Dau_vao!$B$10/Thiet_ke!$B$7</f>
        <v>26306.011748654917</v>
      </c>
      <c r="I149" s="4">
        <f>IF(D149&lt;=Dau_vao!$B$14,Dau_vao!$B$13,Dau_vao!$B$13*(1+D149^2/1500))</f>
        <v>0.015</v>
      </c>
      <c r="J149" s="4">
        <f>Thiet_ke!$B$8*D149^2</f>
        <v>34.216869461113426</v>
      </c>
      <c r="K149" s="4">
        <f>Thiet_ke!$B$3*I149+J149</f>
        <v>1165.8003694611136</v>
      </c>
      <c r="L149" s="4">
        <f>(H149-J149)/Thiet_ke!$B$3</f>
        <v>0.3482526240334072</v>
      </c>
      <c r="M149" s="4">
        <f>1.05+0.05*B149^2</f>
        <v>3.5</v>
      </c>
      <c r="N149" s="4">
        <f>(MIN(H149,Thiet_ke!$B$16)-K149)/(Thiet_ke!$B$2*M149)</f>
        <v>0.9340594976479213</v>
      </c>
      <c r="O149" s="4">
        <f>IF(N149&gt;0,1/N149,"")</f>
        <v>1.0705956125044767</v>
      </c>
    </row>
    <row r="150" spans="1:15">
      <c r="A150">
        <v>1</v>
      </c>
      <c r="B150" s="4">
        <f>Thiet_ke!$B$20</f>
        <v>7.0</v>
      </c>
      <c r="C150" s="4">
        <f>Dau_vao!$B$21+(Dau_vao!$B$19-Dau_vao!$B$21)*148/200</f>
        <v>2132.0</v>
      </c>
      <c r="D150" s="4">
        <f>2*PI()*C150*Thiet_ke!$B$7/(60*Thiet_ke!$B$15*B150)</f>
        <v>3.4347442680776012</v>
      </c>
      <c r="E150" s="4">
        <f>D150*3.6</f>
        <v>12.365079365079366</v>
      </c>
      <c r="F150" s="4">
        <f>Thiet_ke!$B$12*(Dau_vao!$B$22*(C150/Dau_vao!$B$19)+Dau_vao!$B$23*(C150/Dau_vao!$B$19)^2-Dau_vao!$B$24*(C150/Dau_vao!$B$19)^3)</f>
        <v>101.47647463403544</v>
      </c>
      <c r="G150" s="4">
        <f>60000*F150/(2*PI()*C150)</f>
        <v>454.51639433994575</v>
      </c>
      <c r="H150" s="4">
        <f>G150*Thiet_ke!$B$15*B150*Dau_vao!$B$10/Thiet_ke!$B$7</f>
        <v>26294.26104984509</v>
      </c>
      <c r="I150" s="4">
        <f>IF(D150&lt;=Dau_vao!$B$14,Dau_vao!$B$13,Dau_vao!$B$13*(1+D150^2/1500))</f>
        <v>0.015</v>
      </c>
      <c r="J150" s="4">
        <f>Thiet_ke!$B$8*D150^2</f>
        <v>34.50759444724392</v>
      </c>
      <c r="K150" s="4">
        <f>Thiet_ke!$B$3*I150+J150</f>
        <v>1166.0910944472441</v>
      </c>
      <c r="L150" s="4">
        <f>(H150-J150)/Thiet_ke!$B$3</f>
        <v>0.3480930058020178</v>
      </c>
      <c r="M150" s="4">
        <f>1.05+0.05*B150^2</f>
        <v>3.5</v>
      </c>
      <c r="N150" s="4">
        <f>(MIN(H150,Thiet_ke!$B$16)-K150)/(Thiet_ke!$B$2*M150)</f>
        <v>0.9336121105479415</v>
      </c>
      <c r="O150" s="4">
        <f>IF(N150&gt;0,1/N150,"")</f>
        <v>1.0711086421245062</v>
      </c>
    </row>
    <row r="151" spans="1:15">
      <c r="A151">
        <v>1</v>
      </c>
      <c r="B151" s="4">
        <f>Thiet_ke!$B$20</f>
        <v>7.0</v>
      </c>
      <c r="C151" s="4">
        <f>Dau_vao!$B$21+(Dau_vao!$B$19-Dau_vao!$B$21)*149/200</f>
        <v>2141.0</v>
      </c>
      <c r="D151" s="4">
        <f>2*PI()*C151*Thiet_ke!$B$7/(60*Thiet_ke!$B$15*B151)</f>
        <v>3.4492436575769907</v>
      </c>
      <c r="E151" s="4">
        <f>D151*3.6</f>
        <v>12.417277167277167</v>
      </c>
      <c r="F151" s="4">
        <f>Thiet_ke!$B$12*(Dau_vao!$B$22*(C151/Dau_vao!$B$19)+Dau_vao!$B$23*(C151/Dau_vao!$B$19)^2-Dau_vao!$B$24*(C151/Dau_vao!$B$19)^3)</f>
        <v>101.85699667344795</v>
      </c>
      <c r="G151" s="4">
        <f>60000*F151/(2*PI()*C151)</f>
        <v>454.30297549950444</v>
      </c>
      <c r="H151" s="4">
        <f>G151*Thiet_ke!$B$15*B151*Dau_vao!$B$10/Thiet_ke!$B$7</f>
        <v>26281.914540954756</v>
      </c>
      <c r="I151" s="4">
        <f>IF(D151&lt;=Dau_vao!$B$14,Dau_vao!$B$13,Dau_vao!$B$13*(1+D151^2/1500))</f>
        <v>0.015</v>
      </c>
      <c r="J151" s="4">
        <f>Thiet_ke!$B$8*D151^2</f>
        <v>34.79954929230516</v>
      </c>
      <c r="K151" s="4">
        <f>Thiet_ke!$B$3*I151+J151</f>
        <v>1166.3830492923053</v>
      </c>
      <c r="L151" s="4">
        <f>(H151-J151)/Thiet_ke!$B$3</f>
        <v>0.34792547335210944</v>
      </c>
      <c r="M151" s="4">
        <f>1.05+0.05*B151^2</f>
        <v>3.5</v>
      </c>
      <c r="N151" s="4">
        <f>(MIN(H151,Thiet_ke!$B$16)-K151)/(Thiet_ke!$B$2*M151)</f>
        <v>0.9331425410240555</v>
      </c>
      <c r="O151" s="4">
        <f>IF(N151&gt;0,1/N151,"")</f>
        <v>1.071647637993841</v>
      </c>
    </row>
    <row r="152" spans="1:15">
      <c r="A152">
        <v>1</v>
      </c>
      <c r="B152" s="4">
        <f>Thiet_ke!$B$20</f>
        <v>7.0</v>
      </c>
      <c r="C152" s="4">
        <f>Dau_vao!$B$21+(Dau_vao!$B$19-Dau_vao!$B$21)*150/200</f>
        <v>2150.0</v>
      </c>
      <c r="D152" s="4">
        <f>2*PI()*C152*Thiet_ke!$B$7/(60*Thiet_ke!$B$15*B152)</f>
        <v>3.4637430470763806</v>
      </c>
      <c r="E152" s="4">
        <f>D152*3.6</f>
        <v>12.46947496947497</v>
      </c>
      <c r="F152" s="4">
        <f>Thiet_ke!$B$12*(Dau_vao!$B$22*(C152/Dau_vao!$B$19)+Dau_vao!$B$23*(C152/Dau_vao!$B$19)^2-Dau_vao!$B$24*(C152/Dau_vao!$B$19)^3)</f>
        <v>102.23479762667348</v>
      </c>
      <c r="G152" s="4">
        <f>60000*F152/(2*PI()*C152)</f>
        <v>454.0792576265485</v>
      </c>
      <c r="H152" s="4">
        <f>G152*Thiet_ke!$B$15*B152*Dau_vao!$B$10/Thiet_ke!$B$7</f>
        <v>26268.972221983917</v>
      </c>
      <c r="I152" s="4">
        <f>IF(D152&lt;=Dau_vao!$B$14,Dau_vao!$B$13,Dau_vao!$B$13*(1+D152^2/1500))</f>
        <v>0.015</v>
      </c>
      <c r="J152" s="4">
        <f>Thiet_ke!$B$8*D152^2</f>
        <v>35.09273399629716</v>
      </c>
      <c r="K152" s="4">
        <f>Thiet_ke!$B$3*I152+J152</f>
        <v>1166.6762339962972</v>
      </c>
      <c r="L152" s="4">
        <f>(H152-J152)/Thiet_ke!$B$3</f>
        <v>0.347750026683682</v>
      </c>
      <c r="M152" s="4">
        <f>1.05+0.05*B152^2</f>
        <v>3.5</v>
      </c>
      <c r="N152" s="4">
        <f>(MIN(H152,Thiet_ke!$B$16)-K152)/(Thiet_ke!$B$2*M152)</f>
        <v>0.932650789076263</v>
      </c>
      <c r="O152" s="4">
        <f>IF(N152&gt;0,1/N152,"")</f>
        <v>1.072212677791698</v>
      </c>
    </row>
    <row r="153" spans="1:15">
      <c r="A153">
        <v>1</v>
      </c>
      <c r="B153" s="4">
        <f>Thiet_ke!$B$20</f>
        <v>7.0</v>
      </c>
      <c r="C153" s="4">
        <f>Dau_vao!$B$21+(Dau_vao!$B$19-Dau_vao!$B$21)*151/200</f>
        <v>2159.0</v>
      </c>
      <c r="D153" s="4">
        <f>2*PI()*C153*Thiet_ke!$B$7/(60*Thiet_ke!$B$15*B153)</f>
        <v>3.4782424365757696</v>
      </c>
      <c r="E153" s="4">
        <f>D153*3.6</f>
        <v>12.52167277167277</v>
      </c>
      <c r="F153" s="4">
        <f>Thiet_ke!$B$12*(Dau_vao!$B$22*(C153/Dau_vao!$B$19)+Dau_vao!$B$23*(C153/Dau_vao!$B$19)^2-Dau_vao!$B$24*(C153/Dau_vao!$B$19)^3)</f>
        <v>102.60984837388361</v>
      </c>
      <c r="G153" s="4">
        <f>60000*F153/(2*PI()*C153)</f>
        <v>453.84524072107797</v>
      </c>
      <c r="H153" s="4">
        <f>G153*Thiet_ke!$B$15*B153*Dau_vao!$B$10/Thiet_ke!$B$7</f>
        <v>26255.434092932595</v>
      </c>
      <c r="I153" s="4">
        <f>IF(D153&lt;=Dau_vao!$B$14,Dau_vao!$B$13,Dau_vao!$B$13*(1+D153^2/1500))</f>
        <v>0.015</v>
      </c>
      <c r="J153" s="4">
        <f>Thiet_ke!$B$8*D153^2</f>
        <v>35.3871485592199</v>
      </c>
      <c r="K153" s="4">
        <f>Thiet_ke!$B$3*I153+J153</f>
        <v>1166.97064855922</v>
      </c>
      <c r="L153" s="4">
        <f>(H153-J153)/Thiet_ke!$B$3</f>
        <v>0.3475666657967358</v>
      </c>
      <c r="M153" s="4">
        <f>1.05+0.05*B153^2</f>
        <v>3.5</v>
      </c>
      <c r="N153" s="4">
        <f>(MIN(H153,Thiet_ke!$B$16)-K153)/(Thiet_ke!$B$2*M153)</f>
        <v>0.9321368547045653</v>
      </c>
      <c r="O153" s="4">
        <f>IF(N153&gt;0,1/N153,"")</f>
        <v>1.0728038430761795</v>
      </c>
    </row>
    <row r="154" spans="1:15">
      <c r="A154">
        <v>1</v>
      </c>
      <c r="B154" s="4">
        <f>Thiet_ke!$B$20</f>
        <v>7.0</v>
      </c>
      <c r="C154" s="4">
        <f>Dau_vao!$B$21+(Dau_vao!$B$19-Dau_vao!$B$21)*152/200</f>
        <v>2168.0</v>
      </c>
      <c r="D154" s="4">
        <f>2*PI()*C154*Thiet_ke!$B$7/(60*Thiet_ke!$B$15*B154)</f>
        <v>3.4927418260751595</v>
      </c>
      <c r="E154" s="4">
        <f>D154*3.6</f>
        <v>12.573870573870574</v>
      </c>
      <c r="F154" s="4">
        <f>Thiet_ke!$B$12*(Dau_vao!$B$22*(C154/Dau_vao!$B$19)+Dau_vao!$B$23*(C154/Dau_vao!$B$19)^2-Dau_vao!$B$24*(C154/Dau_vao!$B$19)^3)</f>
        <v>102.98211979524993</v>
      </c>
      <c r="G154" s="4">
        <f>60000*F154/(2*PI()*C154)</f>
        <v>453.6009247830928</v>
      </c>
      <c r="H154" s="4">
        <f>G154*Thiet_ke!$B$15*B154*Dau_vao!$B$10/Thiet_ke!$B$7</f>
        <v>26241.300153800767</v>
      </c>
      <c r="I154" s="4">
        <f>IF(D154&lt;=Dau_vao!$B$14,Dau_vao!$B$13,Dau_vao!$B$13*(1+D154^2/1500))</f>
        <v>0.015</v>
      </c>
      <c r="J154" s="4">
        <f>Thiet_ke!$B$8*D154^2</f>
        <v>35.68279298107341</v>
      </c>
      <c r="K154" s="4">
        <f>Thiet_ke!$B$3*I154+J154</f>
        <v>1167.2662929810735</v>
      </c>
      <c r="L154" s="4">
        <f>(H154-J154)/Thiet_ke!$B$3</f>
        <v>0.34737539069127055</v>
      </c>
      <c r="M154" s="4">
        <f>1.05+0.05*B154^2</f>
        <v>3.5</v>
      </c>
      <c r="N154" s="4">
        <f>(MIN(H154,Thiet_ke!$B$16)-K154)/(Thiet_ke!$B$2*M154)</f>
        <v>0.9316007379089614</v>
      </c>
      <c r="O154" s="4">
        <f>IF(N154&gt;0,1/N154,"")</f>
        <v>1.073421219313936</v>
      </c>
    </row>
    <row r="155" spans="1:15">
      <c r="A155">
        <v>1</v>
      </c>
      <c r="B155" s="4">
        <f>Thiet_ke!$B$20</f>
        <v>7.0</v>
      </c>
      <c r="C155" s="4">
        <f>Dau_vao!$B$21+(Dau_vao!$B$19-Dau_vao!$B$21)*153/200</f>
        <v>2177.0</v>
      </c>
      <c r="D155" s="4">
        <f>2*PI()*C155*Thiet_ke!$B$7/(60*Thiet_ke!$B$15*B155)</f>
        <v>3.5072412155745485</v>
      </c>
      <c r="E155" s="4">
        <f>D155*3.6</f>
        <v>12.626068376068375</v>
      </c>
      <c r="F155" s="4">
        <f>Thiet_ke!$B$12*(Dau_vao!$B$22*(C155/Dau_vao!$B$19)+Dau_vao!$B$23*(C155/Dau_vao!$B$19)^2-Dau_vao!$B$24*(C155/Dau_vao!$B$19)^3)</f>
        <v>103.35158277094412</v>
      </c>
      <c r="G155" s="4">
        <f>60000*F155/(2*PI()*C155)</f>
        <v>453.3463098125932</v>
      </c>
      <c r="H155" s="4">
        <f>G155*Thiet_ke!$B$15*B155*Dau_vao!$B$10/Thiet_ke!$B$7</f>
        <v>26226.57040458844</v>
      </c>
      <c r="I155" s="4">
        <f>IF(D155&lt;=Dau_vao!$B$14,Dau_vao!$B$13,Dau_vao!$B$13*(1+D155^2/1500))</f>
        <v>0.015</v>
      </c>
      <c r="J155" s="4">
        <f>Thiet_ke!$B$8*D155^2</f>
        <v>35.97966726185765</v>
      </c>
      <c r="K155" s="4">
        <f>Thiet_ke!$B$3*I155+J155</f>
        <v>1167.5631672618579</v>
      </c>
      <c r="L155" s="4">
        <f>(H155-J155)/Thiet_ke!$B$3</f>
        <v>0.3471762013672864</v>
      </c>
      <c r="M155" s="4">
        <f>1.05+0.05*B155^2</f>
        <v>3.5</v>
      </c>
      <c r="N155" s="4">
        <f>(MIN(H155,Thiet_ke!$B$16)-K155)/(Thiet_ke!$B$2*M155)</f>
        <v>0.9310424386894514</v>
      </c>
      <c r="O155" s="4">
        <f>IF(N155&gt;0,1/N155,"")</f>
        <v>1.0740648959113124</v>
      </c>
    </row>
    <row r="156" spans="1:15">
      <c r="A156">
        <v>1</v>
      </c>
      <c r="B156" s="4">
        <f>Thiet_ke!$B$20</f>
        <v>7.0</v>
      </c>
      <c r="C156" s="4">
        <f>Dau_vao!$B$21+(Dau_vao!$B$19-Dau_vao!$B$21)*154/200</f>
        <v>2186.0</v>
      </c>
      <c r="D156" s="4">
        <f>2*PI()*C156*Thiet_ke!$B$7/(60*Thiet_ke!$B$15*B156)</f>
        <v>3.5217406050739384</v>
      </c>
      <c r="E156" s="4">
        <f>D156*3.6</f>
        <v>12.678266178266178</v>
      </c>
      <c r="F156" s="4">
        <f>Thiet_ke!$B$12*(Dau_vao!$B$22*(C156/Dau_vao!$B$19)+Dau_vao!$B$23*(C156/Dau_vao!$B$19)^2-Dau_vao!$B$24*(C156/Dau_vao!$B$19)^3)</f>
        <v>103.71820818113765</v>
      </c>
      <c r="G156" s="4">
        <f>60000*F156/(2*PI()*C156)</f>
        <v>453.08139580957874</v>
      </c>
      <c r="H156" s="4">
        <f>G156*Thiet_ke!$B$15*B156*Dau_vao!$B$10/Thiet_ke!$B$7</f>
        <v>26211.244845295612</v>
      </c>
      <c r="I156" s="4">
        <f>IF(D156&lt;=Dau_vao!$B$14,Dau_vao!$B$13,Dau_vao!$B$13*(1+D156^2/1500))</f>
        <v>0.015</v>
      </c>
      <c r="J156" s="4">
        <f>Thiet_ke!$B$8*D156^2</f>
        <v>36.27777140157266</v>
      </c>
      <c r="K156" s="4">
        <f>Thiet_ke!$B$3*I156+J156</f>
        <v>1167.8612714015728</v>
      </c>
      <c r="L156" s="4">
        <f>(H156-J156)/Thiet_ke!$B$3</f>
        <v>0.3469690978247832</v>
      </c>
      <c r="M156" s="4">
        <f>1.05+0.05*B156^2</f>
        <v>3.5</v>
      </c>
      <c r="N156" s="4">
        <f>(MIN(H156,Thiet_ke!$B$16)-K156)/(Thiet_ke!$B$2*M156)</f>
        <v>0.9304619570460353</v>
      </c>
      <c r="O156" s="4">
        <f>IF(N156&gt;0,1/N156,"")</f>
        <v>1.0747349662470125</v>
      </c>
    </row>
    <row r="157" spans="1:15">
      <c r="A157">
        <v>1</v>
      </c>
      <c r="B157" s="4">
        <f>Thiet_ke!$B$20</f>
        <v>7.0</v>
      </c>
      <c r="C157" s="4">
        <f>Dau_vao!$B$21+(Dau_vao!$B$19-Dau_vao!$B$21)*155/200</f>
        <v>2195.0</v>
      </c>
      <c r="D157" s="4">
        <f>2*PI()*C157*Thiet_ke!$B$7/(60*Thiet_ke!$B$15*B157)</f>
        <v>3.536239994573328</v>
      </c>
      <c r="E157" s="4">
        <f>D157*3.6</f>
        <v>12.73046398046398</v>
      </c>
      <c r="F157" s="4">
        <f>Thiet_ke!$B$12*(Dau_vao!$B$22*(C157/Dau_vao!$B$19)+Dau_vao!$B$23*(C157/Dau_vao!$B$19)^2-Dau_vao!$B$24*(C157/Dau_vao!$B$19)^3)</f>
        <v>104.08196690600225</v>
      </c>
      <c r="G157" s="4">
        <f>60000*F157/(2*PI()*C157)</f>
        <v>452.80618277404983</v>
      </c>
      <c r="H157" s="4">
        <f>G157*Thiet_ke!$B$15*B157*Dau_vao!$B$10/Thiet_ke!$B$7</f>
        <v>26195.32347592229</v>
      </c>
      <c r="I157" s="4">
        <f>IF(D157&lt;=Dau_vao!$B$14,Dau_vao!$B$13,Dau_vao!$B$13*(1+D157^2/1500))</f>
        <v>0.015</v>
      </c>
      <c r="J157" s="4">
        <f>Thiet_ke!$B$8*D157^2</f>
        <v>36.577105400218414</v>
      </c>
      <c r="K157" s="4">
        <f>Thiet_ke!$B$3*I157+J157</f>
        <v>1168.1606054002186</v>
      </c>
      <c r="L157" s="4">
        <f>(H157-J157)/Thiet_ke!$B$3</f>
        <v>0.3467540800637611</v>
      </c>
      <c r="M157" s="4">
        <f>1.05+0.05*B157^2</f>
        <v>3.5</v>
      </c>
      <c r="N157" s="4">
        <f>(MIN(H157,Thiet_ke!$B$16)-K157)/(Thiet_ke!$B$2*M157)</f>
        <v>0.9298592929787134</v>
      </c>
      <c r="O157" s="4">
        <f>IF(N157&gt;0,1/N157,"")</f>
        <v>1.0754315277063025</v>
      </c>
    </row>
    <row r="158" spans="1:15">
      <c r="A158">
        <v>1</v>
      </c>
      <c r="B158" s="4">
        <f>Thiet_ke!$B$20</f>
        <v>7.0</v>
      </c>
      <c r="C158" s="4">
        <f>Dau_vao!$B$21+(Dau_vao!$B$19-Dau_vao!$B$21)*156/200</f>
        <v>2204.0</v>
      </c>
      <c r="D158" s="4">
        <f>2*PI()*C158*Thiet_ke!$B$7/(60*Thiet_ke!$B$15*B158)</f>
        <v>3.550739384072717</v>
      </c>
      <c r="E158" s="4">
        <f>D158*3.6</f>
        <v>12.782661782661782</v>
      </c>
      <c r="F158" s="4">
        <f>Thiet_ke!$B$12*(Dau_vao!$B$22*(C158/Dau_vao!$B$19)+Dau_vao!$B$23*(C158/Dau_vao!$B$19)^2-Dau_vao!$B$24*(C158/Dau_vao!$B$19)^3)</f>
        <v>104.44282982570947</v>
      </c>
      <c r="G158" s="4">
        <f>60000*F158/(2*PI()*C158)</f>
        <v>452.52067070600634</v>
      </c>
      <c r="H158" s="4">
        <f>G158*Thiet_ke!$B$15*B158*Dau_vao!$B$10/Thiet_ke!$B$7</f>
        <v>26178.806296468472</v>
      </c>
      <c r="I158" s="4">
        <f>IF(D158&lt;=Dau_vao!$B$14,Dau_vao!$B$13,Dau_vao!$B$13*(1+D158^2/1500))</f>
        <v>0.015</v>
      </c>
      <c r="J158" s="4">
        <f>Thiet_ke!$B$8*D158^2</f>
        <v>36.877669257794906</v>
      </c>
      <c r="K158" s="4">
        <f>Thiet_ke!$B$3*I158+J158</f>
        <v>1168.461169257795</v>
      </c>
      <c r="L158" s="4">
        <f>(H158-J158)/Thiet_ke!$B$3</f>
        <v>0.34653114808422014</v>
      </c>
      <c r="M158" s="4">
        <f>1.05+0.05*B158^2</f>
        <v>3.5</v>
      </c>
      <c r="N158" s="4">
        <f>(MIN(H158,Thiet_ke!$B$16)-K158)/(Thiet_ke!$B$2*M158)</f>
        <v>0.9292344464874857</v>
      </c>
      <c r="O158" s="4">
        <f>IF(N158&gt;0,1/N158,"")</f>
        <v>1.076154681716771</v>
      </c>
    </row>
    <row r="159" spans="1:15">
      <c r="A159">
        <v>1</v>
      </c>
      <c r="B159" s="4">
        <f>Thiet_ke!$B$20</f>
        <v>7.0</v>
      </c>
      <c r="C159" s="4">
        <f>Dau_vao!$B$21+(Dau_vao!$B$19-Dau_vao!$B$21)*157/200</f>
        <v>2213.0</v>
      </c>
      <c r="D159" s="4">
        <f>2*PI()*C159*Thiet_ke!$B$7/(60*Thiet_ke!$B$15*B159)</f>
        <v>3.5652387735721067</v>
      </c>
      <c r="E159" s="4">
        <f>D159*3.6</f>
        <v>12.834859584859585</v>
      </c>
      <c r="F159" s="4">
        <f>Thiet_ke!$B$12*(Dau_vao!$B$22*(C159/Dau_vao!$B$19)+Dau_vao!$B$23*(C159/Dau_vao!$B$19)^2-Dau_vao!$B$24*(C159/Dau_vao!$B$19)^3)</f>
        <v>104.80076782043088</v>
      </c>
      <c r="G159" s="4">
        <f>60000*F159/(2*PI()*C159)</f>
        <v>452.22485960544816</v>
      </c>
      <c r="H159" s="4">
        <f>G159*Thiet_ke!$B$15*B159*Dau_vao!$B$10/Thiet_ke!$B$7</f>
        <v>26161.69330693414</v>
      </c>
      <c r="I159" s="4">
        <f>IF(D159&lt;=Dau_vao!$B$14,Dau_vao!$B$13,Dau_vao!$B$13*(1+D159^2/1500))</f>
        <v>0.015</v>
      </c>
      <c r="J159" s="4">
        <f>Thiet_ke!$B$8*D159^2</f>
        <v>37.179462974302176</v>
      </c>
      <c r="K159" s="4">
        <f>Thiet_ke!$B$3*I159+J159</f>
        <v>1168.7629629743024</v>
      </c>
      <c r="L159" s="4">
        <f>(H159-J159)/Thiet_ke!$B$3</f>
        <v>0.34630030188616</v>
      </c>
      <c r="M159" s="4">
        <f>1.05+0.05*B159^2</f>
        <v>3.5</v>
      </c>
      <c r="N159" s="4">
        <f>(MIN(H159,Thiet_ke!$B$16)-K159)/(Thiet_ke!$B$2*M159)</f>
        <v>0.9285874175723514</v>
      </c>
      <c r="O159" s="4">
        <f>IF(N159&gt;0,1/N159,"")</f>
        <v>1.0769045337856782</v>
      </c>
    </row>
    <row r="160" spans="1:15">
      <c r="A160">
        <v>1</v>
      </c>
      <c r="B160" s="4">
        <f>Thiet_ke!$B$20</f>
        <v>7.0</v>
      </c>
      <c r="C160" s="4">
        <f>Dau_vao!$B$21+(Dau_vao!$B$19-Dau_vao!$B$21)*158/200</f>
        <v>2222.0</v>
      </c>
      <c r="D160" s="4">
        <f>2*PI()*C160*Thiet_ke!$B$7/(60*Thiet_ke!$B$15*B160)</f>
        <v>3.5797381630714966</v>
      </c>
      <c r="E160" s="4">
        <f>D160*3.6</f>
        <v>12.887057387057387</v>
      </c>
      <c r="F160" s="4">
        <f>Thiet_ke!$B$12*(Dau_vao!$B$22*(C160/Dau_vao!$B$19)+Dau_vao!$B$23*(C160/Dau_vao!$B$19)^2-Dau_vao!$B$24*(C160/Dau_vao!$B$19)^3)</f>
        <v>105.15575177033813</v>
      </c>
      <c r="G160" s="4">
        <f>60000*F160/(2*PI()*C160)</f>
        <v>451.9187494723755</v>
      </c>
      <c r="H160" s="4">
        <f>G160*Thiet_ke!$B$15*B160*Dau_vao!$B$10/Thiet_ke!$B$7</f>
        <v>26143.984507319325</v>
      </c>
      <c r="I160" s="4">
        <f>IF(D160&lt;=Dau_vao!$B$14,Dau_vao!$B$13,Dau_vao!$B$13*(1+D160^2/1500))</f>
        <v>0.015</v>
      </c>
      <c r="J160" s="4">
        <f>Thiet_ke!$B$8*D160^2</f>
        <v>37.482486549740194</v>
      </c>
      <c r="K160" s="4">
        <f>Thiet_ke!$B$3*I160+J160</f>
        <v>1169.0659865497403</v>
      </c>
      <c r="L160" s="4">
        <f>(H160-J160)/Thiet_ke!$B$3</f>
        <v>0.3460615414695811</v>
      </c>
      <c r="M160" s="4">
        <f>1.05+0.05*B160^2</f>
        <v>3.5</v>
      </c>
      <c r="N160" s="4">
        <f>(MIN(H160,Thiet_ke!$B$16)-K160)/(Thiet_ke!$B$2*M160)</f>
        <v>0.9279182062333117</v>
      </c>
      <c r="O160" s="4">
        <f>IF(N160&gt;0,1/N160,"")</f>
        <v>1.0776811935389103</v>
      </c>
    </row>
    <row r="161" spans="1:15">
      <c r="A161">
        <v>1</v>
      </c>
      <c r="B161" s="4">
        <f>Thiet_ke!$B$20</f>
        <v>7.0</v>
      </c>
      <c r="C161" s="4">
        <f>Dau_vao!$B$21+(Dau_vao!$B$19-Dau_vao!$B$21)*159/200</f>
        <v>2231.0</v>
      </c>
      <c r="D161" s="4">
        <f>2*PI()*C161*Thiet_ke!$B$7/(60*Thiet_ke!$B$15*B161)</f>
        <v>3.594237552570886</v>
      </c>
      <c r="E161" s="4">
        <f>D161*3.6</f>
        <v>12.93925518925519</v>
      </c>
      <c r="F161" s="4">
        <f>Thiet_ke!$B$12*(Dau_vao!$B$22*(C161/Dau_vao!$B$19)+Dau_vao!$B$23*(C161/Dau_vao!$B$19)^2-Dau_vao!$B$24*(C161/Dau_vao!$B$19)^3)</f>
        <v>105.5077525556028</v>
      </c>
      <c r="G161" s="4">
        <f>60000*F161/(2*PI()*C161)</f>
        <v>451.60234030678816</v>
      </c>
      <c r="H161" s="4">
        <f>G161*Thiet_ke!$B$15*B161*Dau_vao!$B$10/Thiet_ke!$B$7</f>
        <v>26125.679897624006</v>
      </c>
      <c r="I161" s="4">
        <f>IF(D161&lt;=Dau_vao!$B$14,Dau_vao!$B$13,Dau_vao!$B$13*(1+D161^2/1500))</f>
        <v>0.015</v>
      </c>
      <c r="J161" s="4">
        <f>Thiet_ke!$B$8*D161^2</f>
        <v>37.786739984108955</v>
      </c>
      <c r="K161" s="4">
        <f>Thiet_ke!$B$3*I161+J161</f>
        <v>1169.370239984109</v>
      </c>
      <c r="L161" s="4">
        <f>(H161-J161)/Thiet_ke!$B$3</f>
        <v>0.3458148668344832</v>
      </c>
      <c r="M161" s="4">
        <f>1.05+0.05*B161^2</f>
        <v>3.5</v>
      </c>
      <c r="N161" s="4">
        <f>(MIN(H161,Thiet_ke!$B$16)-K161)/(Thiet_ke!$B$2*M161)</f>
        <v>0.9272268124703659</v>
      </c>
      <c r="O161" s="4">
        <f>IF(N161&gt;0,1/N161,"")</f>
        <v>1.0784847747615796</v>
      </c>
    </row>
    <row r="162" spans="1:15">
      <c r="A162">
        <v>1</v>
      </c>
      <c r="B162" s="4">
        <f>Thiet_ke!$B$20</f>
        <v>7.0</v>
      </c>
      <c r="C162" s="4">
        <f>Dau_vao!$B$21+(Dau_vao!$B$19-Dau_vao!$B$21)*160/200</f>
        <v>2240.0</v>
      </c>
      <c r="D162" s="4">
        <f>2*PI()*C162*Thiet_ke!$B$7/(60*Thiet_ke!$B$15*B162)</f>
        <v>3.608736942070275</v>
      </c>
      <c r="E162" s="4">
        <f>D162*3.6</f>
        <v>12.99145299145299</v>
      </c>
      <c r="F162" s="4">
        <f>Thiet_ke!$B$12*(Dau_vao!$B$22*(C162/Dau_vao!$B$19)+Dau_vao!$B$23*(C162/Dau_vao!$B$19)^2-Dau_vao!$B$24*(C162/Dau_vao!$B$19)^3)</f>
        <v>105.85674105639652</v>
      </c>
      <c r="G162" s="4">
        <f>60000*F162/(2*PI()*C162)</f>
        <v>451.2756321086863</v>
      </c>
      <c r="H162" s="4">
        <f>G162*Thiet_ke!$B$15*B162*Dau_vao!$B$10/Thiet_ke!$B$7</f>
        <v>26106.77947784819</v>
      </c>
      <c r="I162" s="4">
        <f>IF(D162&lt;=Dau_vao!$B$14,Dau_vao!$B$13,Dau_vao!$B$13*(1+D162^2/1500))</f>
        <v>0.015</v>
      </c>
      <c r="J162" s="4">
        <f>Thiet_ke!$B$8*D162^2</f>
        <v>38.09222327740846</v>
      </c>
      <c r="K162" s="4">
        <f>Thiet_ke!$B$3*I162+J162</f>
        <v>1169.6757232774087</v>
      </c>
      <c r="L162" s="4">
        <f>(H162-J162)/Thiet_ke!$B$3</f>
        <v>0.34556027798086636</v>
      </c>
      <c r="M162" s="4">
        <f>1.05+0.05*B162^2</f>
        <v>3.5</v>
      </c>
      <c r="N162" s="4">
        <f>(MIN(H162,Thiet_ke!$B$16)-K162)/(Thiet_ke!$B$2*M162)</f>
        <v>0.9265132362835142</v>
      </c>
      <c r="O162" s="4">
        <f>IF(N162&gt;0,1/N162,"")</f>
        <v>1.0793153954402857</v>
      </c>
    </row>
    <row r="163" spans="1:15">
      <c r="A163">
        <v>1</v>
      </c>
      <c r="B163" s="4">
        <f>Thiet_ke!$B$20</f>
        <v>7.0</v>
      </c>
      <c r="C163" s="4">
        <f>Dau_vao!$B$21+(Dau_vao!$B$19-Dau_vao!$B$21)*161/200</f>
        <v>2249.0</v>
      </c>
      <c r="D163" s="4">
        <f>2*PI()*C163*Thiet_ke!$B$7/(60*Thiet_ke!$B$15*B163)</f>
        <v>3.623236331569665</v>
      </c>
      <c r="E163" s="4">
        <f>D163*3.6</f>
        <v>13.043650793650794</v>
      </c>
      <c r="F163" s="4">
        <f>Thiet_ke!$B$12*(Dau_vao!$B$22*(C163/Dau_vao!$B$19)+Dau_vao!$B$23*(C163/Dau_vao!$B$19)^2-Dau_vao!$B$24*(C163/Dau_vao!$B$19)^3)</f>
        <v>106.20268815289084</v>
      </c>
      <c r="G163" s="4">
        <f>60000*F163/(2*PI()*C163)</f>
        <v>450.9386248780698</v>
      </c>
      <c r="H163" s="4">
        <f>G163*Thiet_ke!$B$15*B163*Dau_vao!$B$10/Thiet_ke!$B$7</f>
        <v>26087.283247991876</v>
      </c>
      <c r="I163" s="4">
        <f>IF(D163&lt;=Dau_vao!$B$14,Dau_vao!$B$13,Dau_vao!$B$13*(1+D163^2/1500))</f>
        <v>0.015</v>
      </c>
      <c r="J163" s="4">
        <f>Thiet_ke!$B$8*D163^2</f>
        <v>38.39893642963874</v>
      </c>
      <c r="K163" s="4">
        <f>Thiet_ke!$B$3*I163+J163</f>
        <v>1169.982436429639</v>
      </c>
      <c r="L163" s="4">
        <f>(H163-J163)/Thiet_ke!$B$3</f>
        <v>0.34529777490873054</v>
      </c>
      <c r="M163" s="4">
        <f>1.05+0.05*B163^2</f>
        <v>3.5</v>
      </c>
      <c r="N163" s="4">
        <f>(MIN(H163,Thiet_ke!$B$16)-K163)/(Thiet_ke!$B$2*M163)</f>
        <v>0.9257774776727563</v>
      </c>
      <c r="O163" s="4">
        <f>IF(N163&gt;0,1/N163,"")</f>
        <v>1.0801731778070753</v>
      </c>
    </row>
    <row r="164" spans="1:15">
      <c r="A164">
        <v>1</v>
      </c>
      <c r="B164" s="4">
        <f>Thiet_ke!$B$20</f>
        <v>7.0</v>
      </c>
      <c r="C164" s="4">
        <f>Dau_vao!$B$21+(Dau_vao!$B$19-Dau_vao!$B$21)*162/200</f>
        <v>2258.0</v>
      </c>
      <c r="D164" s="4">
        <f>2*PI()*C164*Thiet_ke!$B$7/(60*Thiet_ke!$B$15*B164)</f>
        <v>3.637735721069055</v>
      </c>
      <c r="E164" s="4">
        <f>D164*3.6</f>
        <v>13.095848595848597</v>
      </c>
      <c r="F164" s="4">
        <f>Thiet_ke!$B$12*(Dau_vao!$B$22*(C164/Dau_vao!$B$19)+Dau_vao!$B$23*(C164/Dau_vao!$B$19)^2-Dau_vao!$B$24*(C164/Dau_vao!$B$19)^3)</f>
        <v>106.54556472525739</v>
      </c>
      <c r="G164" s="4">
        <f>60000*F164/(2*PI()*C164)</f>
        <v>450.59131861493864</v>
      </c>
      <c r="H164" s="4">
        <f>G164*Thiet_ke!$B$15*B164*Dau_vao!$B$10/Thiet_ke!$B$7</f>
        <v>26067.191208055054</v>
      </c>
      <c r="I164" s="4">
        <f>IF(D164&lt;=Dau_vao!$B$14,Dau_vao!$B$13,Dau_vao!$B$13*(1+D164^2/1500))</f>
        <v>0.015</v>
      </c>
      <c r="J164" s="4">
        <f>Thiet_ke!$B$8*D164^2</f>
        <v>38.70687944079976</v>
      </c>
      <c r="K164" s="4">
        <f>Thiet_ke!$B$3*I164+J164</f>
        <v>1170.2903794408</v>
      </c>
      <c r="L164" s="4">
        <f>(H164-J164)/Thiet_ke!$B$3</f>
        <v>0.3450273576180757</v>
      </c>
      <c r="M164" s="4">
        <f>1.05+0.05*B164^2</f>
        <v>3.5</v>
      </c>
      <c r="N164" s="4">
        <f>(MIN(H164,Thiet_ke!$B$16)-K164)/(Thiet_ke!$B$2*M164)</f>
        <v>0.9250195366380922</v>
      </c>
      <c r="O164" s="4">
        <f>IF(N164&gt;0,1/N164,"")</f>
        <v>1.0810582483851294</v>
      </c>
    </row>
    <row r="165" spans="1:15">
      <c r="A165">
        <v>1</v>
      </c>
      <c r="B165" s="4">
        <f>Thiet_ke!$B$20</f>
        <v>7.0</v>
      </c>
      <c r="C165" s="4">
        <f>Dau_vao!$B$21+(Dau_vao!$B$19-Dau_vao!$B$21)*163/200</f>
        <v>2267.0</v>
      </c>
      <c r="D165" s="4">
        <f>2*PI()*C165*Thiet_ke!$B$7/(60*Thiet_ke!$B$15*B165)</f>
        <v>3.652235110568444</v>
      </c>
      <c r="E165" s="4">
        <f>D165*3.6</f>
        <v>13.148046398046398</v>
      </c>
      <c r="F165" s="4">
        <f>Thiet_ke!$B$12*(Dau_vao!$B$22*(C165/Dau_vao!$B$19)+Dau_vao!$B$23*(C165/Dau_vao!$B$19)^2-Dau_vao!$B$24*(C165/Dau_vao!$B$19)^3)</f>
        <v>106.88534165366778</v>
      </c>
      <c r="G165" s="4">
        <f>60000*F165/(2*PI()*C165)</f>
        <v>450.23371331929303</v>
      </c>
      <c r="H165" s="4">
        <f>G165*Thiet_ke!$B$15*B165*Dau_vao!$B$10/Thiet_ke!$B$7</f>
        <v>26046.503358037746</v>
      </c>
      <c r="I165" s="4">
        <f>IF(D165&lt;=Dau_vao!$B$14,Dau_vao!$B$13,Dau_vao!$B$13*(1+D165^2/1500))</f>
        <v>0.015</v>
      </c>
      <c r="J165" s="4">
        <f>Thiet_ke!$B$8*D165^2</f>
        <v>39.01605231089152</v>
      </c>
      <c r="K165" s="4">
        <f>Thiet_ke!$B$3*I165+J165</f>
        <v>1170.5995523108918</v>
      </c>
      <c r="L165" s="4">
        <f>(H165-J165)/Thiet_ke!$B$3</f>
        <v>0.34474902610890207</v>
      </c>
      <c r="M165" s="4">
        <f>1.05+0.05*B165^2</f>
        <v>3.5</v>
      </c>
      <c r="N165" s="4">
        <f>(MIN(H165,Thiet_ke!$B$16)-K165)/(Thiet_ke!$B$2*M165)</f>
        <v>0.9242394131795227</v>
      </c>
      <c r="O165" s="4">
        <f>IF(N165&gt;0,1/N165,"")</f>
        <v>1.081970738036208</v>
      </c>
    </row>
    <row r="166" spans="1:15">
      <c r="A166">
        <v>1</v>
      </c>
      <c r="B166" s="4">
        <f>Thiet_ke!$B$20</f>
        <v>7.0</v>
      </c>
      <c r="C166" s="4">
        <f>Dau_vao!$B$21+(Dau_vao!$B$19-Dau_vao!$B$21)*164/200</f>
        <v>2276.0</v>
      </c>
      <c r="D166" s="4">
        <f>2*PI()*C166*Thiet_ke!$B$7/(60*Thiet_ke!$B$15*B166)</f>
        <v>3.666734500067833</v>
      </c>
      <c r="E166" s="4">
        <f>D166*3.6</f>
        <v>13.200244200244198</v>
      </c>
      <c r="F166" s="4">
        <f>Thiet_ke!$B$12*(Dau_vao!$B$22*(C166/Dau_vao!$B$19)+Dau_vao!$B$23*(C166/Dau_vao!$B$19)^2-Dau_vao!$B$24*(C166/Dau_vao!$B$19)^3)</f>
        <v>107.22198981829357</v>
      </c>
      <c r="G166" s="4">
        <f>60000*F166/(2*PI()*C166)</f>
        <v>449.86580899113255</v>
      </c>
      <c r="H166" s="4">
        <f>G166*Thiet_ke!$B$15*B166*Dau_vao!$B$10/Thiet_ke!$B$7</f>
        <v>26025.21969793993</v>
      </c>
      <c r="I166" s="4">
        <f>IF(D166&lt;=Dau_vao!$B$14,Dau_vao!$B$13,Dau_vao!$B$13*(1+D166^2/1500))</f>
        <v>0.015</v>
      </c>
      <c r="J166" s="4">
        <f>Thiet_ke!$B$8*D166^2</f>
        <v>39.32645503991402</v>
      </c>
      <c r="K166" s="4">
        <f>Thiet_ke!$B$3*I166+J166</f>
        <v>1170.9099550399142</v>
      </c>
      <c r="L166" s="4">
        <f>(H166-J166)/Thiet_ke!$B$3</f>
        <v>0.3444627803812093</v>
      </c>
      <c r="M166" s="4">
        <f>1.05+0.05*B166^2</f>
        <v>3.5</v>
      </c>
      <c r="N166" s="4">
        <f>(MIN(H166,Thiet_ke!$B$16)-K166)/(Thiet_ke!$B$2*M166)</f>
        <v>0.9234371072970469</v>
      </c>
      <c r="O166" s="4">
        <f>IF(N166&gt;0,1/N166,"")</f>
        <v>1.0829107820098947</v>
      </c>
    </row>
    <row r="167" spans="1:15">
      <c r="A167">
        <v>1</v>
      </c>
      <c r="B167" s="4">
        <f>Thiet_ke!$B$20</f>
        <v>7.0</v>
      </c>
      <c r="C167" s="4">
        <f>Dau_vao!$B$21+(Dau_vao!$B$19-Dau_vao!$B$21)*165/200</f>
        <v>2285.0</v>
      </c>
      <c r="D167" s="4">
        <f>2*PI()*C167*Thiet_ke!$B$7/(60*Thiet_ke!$B$15*B167)</f>
        <v>3.6812338895672228</v>
      </c>
      <c r="E167" s="4">
        <f>D167*3.6</f>
        <v>13.252442002442002</v>
      </c>
      <c r="F167" s="4">
        <f>Thiet_ke!$B$12*(Dau_vao!$B$22*(C167/Dau_vao!$B$19)+Dau_vao!$B$23*(C167/Dau_vao!$B$19)^2-Dau_vao!$B$24*(C167/Dau_vao!$B$19)^3)</f>
        <v>107.55548009930645</v>
      </c>
      <c r="G167" s="4">
        <f>60000*F167/(2*PI()*C167)</f>
        <v>449.4876056304578</v>
      </c>
      <c r="H167" s="4">
        <f>G167*Thiet_ke!$B$15*B167*Dau_vao!$B$10/Thiet_ke!$B$7</f>
        <v>26003.340227761622</v>
      </c>
      <c r="I167" s="4">
        <f>IF(D167&lt;=Dau_vao!$B$14,Dau_vao!$B$13,Dau_vao!$B$13*(1+D167^2/1500))</f>
        <v>0.015</v>
      </c>
      <c r="J167" s="4">
        <f>Thiet_ke!$B$8*D167^2</f>
        <v>39.63808762786731</v>
      </c>
      <c r="K167" s="4">
        <f>Thiet_ke!$B$3*I167+J167</f>
        <v>1171.2215876278674</v>
      </c>
      <c r="L167" s="4">
        <f>(H167-J167)/Thiet_ke!$B$3</f>
        <v>0.34416862043499774</v>
      </c>
      <c r="M167" s="4">
        <f>1.05+0.05*B167^2</f>
        <v>3.5</v>
      </c>
      <c r="N167" s="4">
        <f>(MIN(H167,Thiet_ke!$B$16)-K167)/(Thiet_ke!$B$2*M167)</f>
        <v>0.9226126189906653</v>
      </c>
      <c r="O167" s="4">
        <f>IF(N167&gt;0,1/N167,"")</f>
        <v>1.0838785199946606</v>
      </c>
    </row>
    <row r="168" spans="1:15">
      <c r="A168">
        <v>1</v>
      </c>
      <c r="B168" s="4">
        <f>Thiet_ke!$B$20</f>
        <v>7.0</v>
      </c>
      <c r="C168" s="4">
        <f>Dau_vao!$B$21+(Dau_vao!$B$19-Dau_vao!$B$21)*166/200</f>
        <v>2294.0</v>
      </c>
      <c r="D168" s="4">
        <f>2*PI()*C168*Thiet_ke!$B$7/(60*Thiet_ke!$B$15*B168)</f>
        <v>3.695733279066612</v>
      </c>
      <c r="E168" s="4">
        <f>D168*3.6</f>
        <v>13.304639804639804</v>
      </c>
      <c r="F168" s="4">
        <f>Thiet_ke!$B$12*(Dau_vao!$B$22*(C168/Dau_vao!$B$19)+Dau_vao!$B$23*(C168/Dau_vao!$B$19)^2-Dau_vao!$B$24*(C168/Dau_vao!$B$19)^3)</f>
        <v>107.88578337687797</v>
      </c>
      <c r="G168" s="4">
        <f>60000*F168/(2*PI()*C168)</f>
        <v>449.09910323726837</v>
      </c>
      <c r="H168" s="4">
        <f>G168*Thiet_ke!$B$15*B168*Dau_vao!$B$10/Thiet_ke!$B$7</f>
        <v>25980.864947502814</v>
      </c>
      <c r="I168" s="4">
        <f>IF(D168&lt;=Dau_vao!$B$14,Dau_vao!$B$13,Dau_vao!$B$13*(1+D168^2/1500))</f>
        <v>0.015</v>
      </c>
      <c r="J168" s="4">
        <f>Thiet_ke!$B$8*D168^2</f>
        <v>39.95095007475133</v>
      </c>
      <c r="K168" s="4">
        <f>Thiet_ke!$B$3*I168+J168</f>
        <v>1171.5344500747515</v>
      </c>
      <c r="L168" s="4">
        <f>(H168-J168)/Thiet_ke!$B$3</f>
        <v>0.3438665462702672</v>
      </c>
      <c r="M168" s="4">
        <f>1.05+0.05*B168^2</f>
        <v>3.5</v>
      </c>
      <c r="N168" s="4">
        <f>(MIN(H168,Thiet_ke!$B$16)-K168)/(Thiet_ke!$B$2*M168)</f>
        <v>0.9217659482603775</v>
      </c>
      <c r="O168" s="4">
        <f>IF(N168&gt;0,1/N168,"")</f>
        <v>1.0848740961708028</v>
      </c>
    </row>
    <row r="169" spans="1:15">
      <c r="A169">
        <v>1</v>
      </c>
      <c r="B169" s="4">
        <f>Thiet_ke!$B$20</f>
        <v>7.0</v>
      </c>
      <c r="C169" s="4">
        <f>Dau_vao!$B$21+(Dau_vao!$B$19-Dau_vao!$B$21)*167/200</f>
        <v>2303.0</v>
      </c>
      <c r="D169" s="4">
        <f>2*PI()*C169*Thiet_ke!$B$7/(60*Thiet_ke!$B$15*B169)</f>
        <v>3.710232668566001</v>
      </c>
      <c r="E169" s="4">
        <f>D169*3.6</f>
        <v>13.356837606837605</v>
      </c>
      <c r="F169" s="4">
        <f>Thiet_ke!$B$12*(Dau_vao!$B$22*(C169/Dau_vao!$B$19)+Dau_vao!$B$23*(C169/Dau_vao!$B$19)^2-Dau_vao!$B$24*(C169/Dau_vao!$B$19)^3)</f>
        <v>108.21287053117969</v>
      </c>
      <c r="G169" s="4">
        <f>60000*F169/(2*PI()*C169)</f>
        <v>448.7003018115643</v>
      </c>
      <c r="H169" s="4">
        <f>G169*Thiet_ke!$B$15*B169*Dau_vao!$B$10/Thiet_ke!$B$7</f>
        <v>25957.793857163506</v>
      </c>
      <c r="I169" s="4">
        <f>IF(D169&lt;=Dau_vao!$B$14,Dau_vao!$B$13,Dau_vao!$B$13*(1+D169^2/1500))</f>
        <v>0.015</v>
      </c>
      <c r="J169" s="4">
        <f>Thiet_ke!$B$8*D169^2</f>
        <v>40.2650423805661</v>
      </c>
      <c r="K169" s="4">
        <f>Thiet_ke!$B$3*I169+J169</f>
        <v>1171.8485423805662</v>
      </c>
      <c r="L169" s="4">
        <f>(H169-J169)/Thiet_ke!$B$3</f>
        <v>0.34355655788701767</v>
      </c>
      <c r="M169" s="4">
        <f>1.05+0.05*B169^2</f>
        <v>3.5</v>
      </c>
      <c r="N169" s="4">
        <f>(MIN(H169,Thiet_ke!$B$16)-K169)/(Thiet_ke!$B$2*M169)</f>
        <v>0.9208970951061839</v>
      </c>
      <c r="O169" s="4">
        <f>IF(N169&gt;0,1/N169,"")</f>
        <v>1.085897659265279</v>
      </c>
    </row>
    <row r="170" spans="1:15">
      <c r="A170">
        <v>1</v>
      </c>
      <c r="B170" s="4">
        <f>Thiet_ke!$B$20</f>
        <v>7.0</v>
      </c>
      <c r="C170" s="4">
        <f>Dau_vao!$B$21+(Dau_vao!$B$19-Dau_vao!$B$21)*168/200</f>
        <v>2312.0</v>
      </c>
      <c r="D170" s="4">
        <f>2*PI()*C170*Thiet_ke!$B$7/(60*Thiet_ke!$B$15*B170)</f>
        <v>3.724732058065391</v>
      </c>
      <c r="E170" s="4">
        <f>D170*3.6</f>
        <v>13.409035409035408</v>
      </c>
      <c r="F170" s="4">
        <f>Thiet_ke!$B$12*(Dau_vao!$B$22*(C170/Dau_vao!$B$19)+Dau_vao!$B$23*(C170/Dau_vao!$B$19)^2-Dau_vao!$B$24*(C170/Dau_vao!$B$19)^3)</f>
        <v>108.53671244238325</v>
      </c>
      <c r="G170" s="4">
        <f>60000*F170/(2*PI()*C170)</f>
        <v>448.29120135334557</v>
      </c>
      <c r="H170" s="4">
        <f>G170*Thiet_ke!$B$15*B170*Dau_vao!$B$10/Thiet_ke!$B$7</f>
        <v>25934.126956743698</v>
      </c>
      <c r="I170" s="4">
        <f>IF(D170&lt;=Dau_vao!$B$14,Dau_vao!$B$13,Dau_vao!$B$13*(1+D170^2/1500))</f>
        <v>0.015</v>
      </c>
      <c r="J170" s="4">
        <f>Thiet_ke!$B$8*D170^2</f>
        <v>40.58036454531163</v>
      </c>
      <c r="K170" s="4">
        <f>Thiet_ke!$B$3*I170+J170</f>
        <v>1172.1638645453118</v>
      </c>
      <c r="L170" s="4">
        <f>(H170-J170)/Thiet_ke!$B$3</f>
        <v>0.34323865528524916</v>
      </c>
      <c r="M170" s="4">
        <f>1.05+0.05*B170^2</f>
        <v>3.5</v>
      </c>
      <c r="N170" s="4">
        <f>(MIN(H170,Thiet_ke!$B$16)-K170)/(Thiet_ke!$B$2*M170)</f>
        <v>0.9200060595280841</v>
      </c>
      <c r="O170" s="4">
        <f>IF(N170&gt;0,1/N170,"")</f>
        <v>1.0869493626084905</v>
      </c>
    </row>
    <row r="171" spans="1:15">
      <c r="A171">
        <v>1</v>
      </c>
      <c r="B171" s="4">
        <f>Thiet_ke!$B$20</f>
        <v>7.0</v>
      </c>
      <c r="C171" s="4">
        <f>Dau_vao!$B$21+(Dau_vao!$B$19-Dau_vao!$B$21)*169/200</f>
        <v>2321.0</v>
      </c>
      <c r="D171" s="4">
        <f>2*PI()*C171*Thiet_ke!$B$7/(60*Thiet_ke!$B$15*B171)</f>
        <v>3.739231447564781</v>
      </c>
      <c r="E171" s="4">
        <f>D171*3.6</f>
        <v>13.461233211233212</v>
      </c>
      <c r="F171" s="4">
        <f>Thiet_ke!$B$12*(Dau_vao!$B$22*(C171/Dau_vao!$B$19)+Dau_vao!$B$23*(C171/Dau_vao!$B$19)^2-Dau_vao!$B$24*(C171/Dau_vao!$B$19)^3)</f>
        <v>108.8572799906603</v>
      </c>
      <c r="G171" s="4">
        <f>60000*F171/(2*PI()*C171)</f>
        <v>447.8718018626125</v>
      </c>
      <c r="H171" s="4">
        <f>G171*Thiet_ke!$B$15*B171*Dau_vao!$B$10/Thiet_ke!$B$7</f>
        <v>25909.8642462434</v>
      </c>
      <c r="I171" s="4">
        <f>IF(D171&lt;=Dau_vao!$B$14,Dau_vao!$B$13,Dau_vao!$B$13*(1+D171^2/1500))</f>
        <v>0.015</v>
      </c>
      <c r="J171" s="4">
        <f>Thiet_ke!$B$8*D171^2</f>
        <v>40.89691656898792</v>
      </c>
      <c r="K171" s="4">
        <f>Thiet_ke!$B$3*I171+J171</f>
        <v>1172.4804165689882</v>
      </c>
      <c r="L171" s="4">
        <f>(H171-J171)/Thiet_ke!$B$3</f>
        <v>0.34291283846496184</v>
      </c>
      <c r="M171" s="4">
        <f>1.05+0.05*B171^2</f>
        <v>3.5</v>
      </c>
      <c r="N171" s="4">
        <f>(MIN(H171,Thiet_ke!$B$16)-K171)/(Thiet_ke!$B$2*M171)</f>
        <v>0.9190928415260788</v>
      </c>
      <c r="O171" s="4">
        <f>IF(N171&gt;0,1/N171,"")</f>
        <v>1.0880293641930465</v>
      </c>
    </row>
    <row r="172" spans="1:15">
      <c r="A172">
        <v>1</v>
      </c>
      <c r="B172" s="4">
        <f>Thiet_ke!$B$20</f>
        <v>7.0</v>
      </c>
      <c r="C172" s="4">
        <f>Dau_vao!$B$21+(Dau_vao!$B$19-Dau_vao!$B$21)*170/200</f>
        <v>2330.0</v>
      </c>
      <c r="D172" s="4">
        <f>2*PI()*C172*Thiet_ke!$B$7/(60*Thiet_ke!$B$15*B172)</f>
        <v>3.7537308370641704</v>
      </c>
      <c r="E172" s="4">
        <f>D172*3.6</f>
        <v>13.513431013431013</v>
      </c>
      <c r="F172" s="4">
        <f>Thiet_ke!$B$12*(Dau_vao!$B$22*(C172/Dau_vao!$B$19)+Dau_vao!$B$23*(C172/Dau_vao!$B$19)^2-Dau_vao!$B$24*(C172/Dau_vao!$B$19)^3)</f>
        <v>109.17454405618234</v>
      </c>
      <c r="G172" s="4">
        <f>60000*F172/(2*PI()*C172)</f>
        <v>447.4421033393645</v>
      </c>
      <c r="H172" s="4">
        <f>G172*Thiet_ke!$B$15*B172*Dau_vao!$B$10/Thiet_ke!$B$7</f>
        <v>25885.005725662595</v>
      </c>
      <c r="I172" s="4">
        <f>IF(D172&lt;=Dau_vao!$B$14,Dau_vao!$B$13,Dau_vao!$B$13*(1+D172^2/1500))</f>
        <v>0.015</v>
      </c>
      <c r="J172" s="4">
        <f>Thiet_ke!$B$8*D172^2</f>
        <v>41.21469845159495</v>
      </c>
      <c r="K172" s="4">
        <f>Thiet_ke!$B$3*I172+J172</f>
        <v>1172.7981984515952</v>
      </c>
      <c r="L172" s="4">
        <f>(H172-J172)/Thiet_ke!$B$3</f>
        <v>0.34257910742615544</v>
      </c>
      <c r="M172" s="4">
        <f>1.05+0.05*B172^2</f>
        <v>3.5</v>
      </c>
      <c r="N172" s="4">
        <f>(MIN(H172,Thiet_ke!$B$16)-K172)/(Thiet_ke!$B$2*M172)</f>
        <v>0.9181574411001673</v>
      </c>
      <c r="O172" s="4">
        <f>IF(N172&gt;0,1/N172,"")</f>
        <v>1.0891378267345588</v>
      </c>
    </row>
    <row r="173" spans="1:15">
      <c r="A173">
        <v>1</v>
      </c>
      <c r="B173" s="4">
        <f>Thiet_ke!$B$20</f>
        <v>7.0</v>
      </c>
      <c r="C173" s="4">
        <f>Dau_vao!$B$21+(Dau_vao!$B$19-Dau_vao!$B$21)*171/200</f>
        <v>2339.0</v>
      </c>
      <c r="D173" s="4">
        <f>2*PI()*C173*Thiet_ke!$B$7/(60*Thiet_ke!$B$15*B173)</f>
        <v>3.7682302265635594</v>
      </c>
      <c r="E173" s="4">
        <f>D173*3.6</f>
        <v>13.565628815628815</v>
      </c>
      <c r="F173" s="4">
        <f>Thiet_ke!$B$12*(Dau_vao!$B$22*(C173/Dau_vao!$B$19)+Dau_vao!$B$23*(C173/Dau_vao!$B$19)^2-Dau_vao!$B$24*(C173/Dau_vao!$B$19)^3)</f>
        <v>109.48847551912104</v>
      </c>
      <c r="G173" s="4">
        <f>60000*F173/(2*PI()*C173)</f>
        <v>447.002105783602</v>
      </c>
      <c r="H173" s="4">
        <f>G173*Thiet_ke!$B$15*B173*Dau_vao!$B$10/Thiet_ke!$B$7</f>
        <v>25859.55139500129</v>
      </c>
      <c r="I173" s="4">
        <f>IF(D173&lt;=Dau_vao!$B$14,Dau_vao!$B$13,Dau_vao!$B$13*(1+D173^2/1500))</f>
        <v>0.015</v>
      </c>
      <c r="J173" s="4">
        <f>Thiet_ke!$B$8*D173^2</f>
        <v>41.53371019313273</v>
      </c>
      <c r="K173" s="4">
        <f>Thiet_ke!$B$3*I173+J173</f>
        <v>1173.117210193133</v>
      </c>
      <c r="L173" s="4">
        <f>(H173-J173)/Thiet_ke!$B$3</f>
        <v>0.34223746216883005</v>
      </c>
      <c r="M173" s="4">
        <f>1.05+0.05*B173^2</f>
        <v>3.5</v>
      </c>
      <c r="N173" s="4">
        <f>(MIN(H173,Thiet_ke!$B$16)-K173)/(Thiet_ke!$B$2*M173)</f>
        <v>0.9171998582503494</v>
      </c>
      <c r="O173" s="4">
        <f>IF(N173&gt;0,1/N173,"")</f>
        <v>1.0902749177345057</v>
      </c>
    </row>
    <row r="174" spans="1:15">
      <c r="A174">
        <v>1</v>
      </c>
      <c r="B174" s="4">
        <f>Thiet_ke!$B$20</f>
        <v>7.0</v>
      </c>
      <c r="C174" s="4">
        <f>Dau_vao!$B$21+(Dau_vao!$B$19-Dau_vao!$B$21)*172/200</f>
        <v>2348.0</v>
      </c>
      <c r="D174" s="4">
        <f>2*PI()*C174*Thiet_ke!$B$7/(60*Thiet_ke!$B$15*B174)</f>
        <v>3.7827296160629493</v>
      </c>
      <c r="E174" s="4">
        <f>D174*3.6</f>
        <v>13.617826617826617</v>
      </c>
      <c r="F174" s="4">
        <f>Thiet_ke!$B$12*(Dau_vao!$B$22*(C174/Dau_vao!$B$19)+Dau_vao!$B$23*(C174/Dau_vao!$B$19)^2-Dau_vao!$B$24*(C174/Dau_vao!$B$19)^3)</f>
        <v>109.799045259648</v>
      </c>
      <c r="G174" s="4">
        <f>60000*F174/(2*PI()*C174)</f>
        <v>446.551809195325</v>
      </c>
      <c r="H174" s="4">
        <f>G174*Thiet_ke!$B$15*B174*Dau_vao!$B$10/Thiet_ke!$B$7</f>
        <v>25833.501254259496</v>
      </c>
      <c r="I174" s="4">
        <f>IF(D174&lt;=Dau_vao!$B$14,Dau_vao!$B$13,Dau_vao!$B$13*(1+D174^2/1500))</f>
        <v>0.015</v>
      </c>
      <c r="J174" s="4">
        <f>Thiet_ke!$B$8*D174^2</f>
        <v>41.85395179360126</v>
      </c>
      <c r="K174" s="4">
        <f>Thiet_ke!$B$3*I174+J174</f>
        <v>1173.4374517936014</v>
      </c>
      <c r="L174" s="4">
        <f>(H174-J174)/Thiet_ke!$B$3</f>
        <v>0.34188790269298586</v>
      </c>
      <c r="M174" s="4">
        <f>1.05+0.05*B174^2</f>
        <v>3.5</v>
      </c>
      <c r="N174" s="4">
        <f>(MIN(H174,Thiet_ke!$B$16)-K174)/(Thiet_ke!$B$2*M174)</f>
        <v>0.9162200929766262</v>
      </c>
      <c r="O174" s="4">
        <f>IF(N174&gt;0,1/N174,"")</f>
        <v>1.091440809545214</v>
      </c>
    </row>
    <row r="175" spans="1:15">
      <c r="A175">
        <v>1</v>
      </c>
      <c r="B175" s="4">
        <f>Thiet_ke!$B$20</f>
        <v>7.0</v>
      </c>
      <c r="C175" s="4">
        <f>Dau_vao!$B$21+(Dau_vao!$B$19-Dau_vao!$B$21)*173/200</f>
        <v>2357.0</v>
      </c>
      <c r="D175" s="4">
        <f>2*PI()*C175*Thiet_ke!$B$7/(60*Thiet_ke!$B$15*B175)</f>
        <v>3.797229005562339</v>
      </c>
      <c r="E175" s="4">
        <f>D175*3.6</f>
        <v>13.670024420024422</v>
      </c>
      <c r="F175" s="4">
        <f>Thiet_ke!$B$12*(Dau_vao!$B$22*(C175/Dau_vao!$B$19)+Dau_vao!$B$23*(C175/Dau_vao!$B$19)^2-Dau_vao!$B$24*(C175/Dau_vao!$B$19)^3)</f>
        <v>110.1062241579348</v>
      </c>
      <c r="G175" s="4">
        <f>60000*F175/(2*PI()*C175)</f>
        <v>446.0912135745334</v>
      </c>
      <c r="H175" s="4">
        <f>G175*Thiet_ke!$B$15*B175*Dau_vao!$B$10/Thiet_ke!$B$7</f>
        <v>25806.85530343719</v>
      </c>
      <c r="I175" s="4">
        <f>IF(D175&lt;=Dau_vao!$B$14,Dau_vao!$B$13,Dau_vao!$B$13*(1+D175^2/1500))</f>
        <v>0.015</v>
      </c>
      <c r="J175" s="4">
        <f>Thiet_ke!$B$8*D175^2</f>
        <v>42.17542325300057</v>
      </c>
      <c r="K175" s="4">
        <f>Thiet_ke!$B$3*I175+J175</f>
        <v>1173.7589232530008</v>
      </c>
      <c r="L175" s="4">
        <f>(H175-J175)/Thiet_ke!$B$3</f>
        <v>0.34153042899862257</v>
      </c>
      <c r="M175" s="4">
        <f>1.05+0.05*B175^2</f>
        <v>3.5</v>
      </c>
      <c r="N175" s="4">
        <f>(MIN(H175,Thiet_ke!$B$16)-K175)/(Thiet_ke!$B$2*M175)</f>
        <v>0.9152181452789965</v>
      </c>
      <c r="O175" s="4">
        <f>IF(N175&gt;0,1/N175,"")</f>
        <v>1.0926356794370138</v>
      </c>
    </row>
    <row r="176" spans="1:15">
      <c r="A176">
        <v>1</v>
      </c>
      <c r="B176" s="4">
        <f>Thiet_ke!$B$20</f>
        <v>7.0</v>
      </c>
      <c r="C176" s="4">
        <f>Dau_vao!$B$21+(Dau_vao!$B$19-Dau_vao!$B$21)*174/200</f>
        <v>2366.0</v>
      </c>
      <c r="D176" s="4">
        <f>2*PI()*C176*Thiet_ke!$B$7/(60*Thiet_ke!$B$15*B176)</f>
        <v>3.8117283950617282</v>
      </c>
      <c r="E176" s="4">
        <f>D176*3.6</f>
        <v>13.722222222222221</v>
      </c>
      <c r="F176" s="4">
        <f>Thiet_ke!$B$12*(Dau_vao!$B$22*(C176/Dau_vao!$B$19)+Dau_vao!$B$23*(C176/Dau_vao!$B$19)^2-Dau_vao!$B$24*(C176/Dau_vao!$B$19)^3)</f>
        <v>110.40998309415305</v>
      </c>
      <c r="G176" s="4">
        <f>60000*F176/(2*PI()*C176)</f>
        <v>445.62031892122707</v>
      </c>
      <c r="H176" s="4">
        <f>G176*Thiet_ke!$B$15*B176*Dau_vao!$B$10/Thiet_ke!$B$7</f>
        <v>25779.61354253439</v>
      </c>
      <c r="I176" s="4">
        <f>IF(D176&lt;=Dau_vao!$B$14,Dau_vao!$B$13,Dau_vao!$B$13*(1+D176^2/1500))</f>
        <v>0.015</v>
      </c>
      <c r="J176" s="4">
        <f>Thiet_ke!$B$8*D176^2</f>
        <v>42.49812457133059</v>
      </c>
      <c r="K176" s="4">
        <f>Thiet_ke!$B$3*I176+J176</f>
        <v>1174.0816245713308</v>
      </c>
      <c r="L176" s="4">
        <f>(H176-J176)/Thiet_ke!$B$3</f>
        <v>0.3411650410857403</v>
      </c>
      <c r="M176" s="4">
        <f>1.05+0.05*B176^2</f>
        <v>3.5</v>
      </c>
      <c r="N176" s="4">
        <f>(MIN(H176,Thiet_ke!$B$16)-K176)/(Thiet_ke!$B$2*M176)</f>
        <v>0.9141940151574608</v>
      </c>
      <c r="O176" s="4">
        <f>IF(N176&gt;0,1/N176,"")</f>
        <v>1.0938597096676026</v>
      </c>
    </row>
    <row r="177" spans="1:15">
      <c r="A177">
        <v>1</v>
      </c>
      <c r="B177" s="4">
        <f>Thiet_ke!$B$20</f>
        <v>7.0</v>
      </c>
      <c r="C177" s="4">
        <f>Dau_vao!$B$21+(Dau_vao!$B$19-Dau_vao!$B$21)*175/200</f>
        <v>2375.0</v>
      </c>
      <c r="D177" s="4">
        <f>2*PI()*C177*Thiet_ke!$B$7/(60*Thiet_ke!$B$15*B177)</f>
        <v>3.8262277845611177</v>
      </c>
      <c r="E177" s="4">
        <f>D177*3.6</f>
        <v>13.774420024420024</v>
      </c>
      <c r="F177" s="4">
        <f>Thiet_ke!$B$12*(Dau_vao!$B$22*(C177/Dau_vao!$B$19)+Dau_vao!$B$23*(C177/Dau_vao!$B$19)^2-Dau_vao!$B$24*(C177/Dau_vao!$B$19)^3)</f>
        <v>110.71029294847435</v>
      </c>
      <c r="G177" s="4">
        <f>60000*F177/(2*PI()*C177)</f>
        <v>445.1391252354063</v>
      </c>
      <c r="H177" s="4">
        <f>G177*Thiet_ke!$B$15*B177*Dau_vao!$B$10/Thiet_ke!$B$7</f>
        <v>25751.7759715511</v>
      </c>
      <c r="I177" s="4">
        <f>IF(D177&lt;=Dau_vao!$B$14,Dau_vao!$B$13,Dau_vao!$B$13*(1+D177^2/1500))</f>
        <v>0.015</v>
      </c>
      <c r="J177" s="4">
        <f>Thiet_ke!$B$8*D177^2</f>
        <v>42.82205574859138</v>
      </c>
      <c r="K177" s="4">
        <f>Thiet_ke!$B$3*I177+J177</f>
        <v>1174.4055557485915</v>
      </c>
      <c r="L177" s="4">
        <f>(H177-J177)/Thiet_ke!$B$3</f>
        <v>0.3407917389543393</v>
      </c>
      <c r="M177" s="4">
        <f>1.05+0.05*B177^2</f>
        <v>3.5</v>
      </c>
      <c r="N177" s="4">
        <f>(MIN(H177,Thiet_ke!$B$16)-K177)/(Thiet_ke!$B$2*M177)</f>
        <v>0.9131477026120196</v>
      </c>
      <c r="O177" s="4">
        <f>IF(N177&gt;0,1/N177,"")</f>
        <v>1.0951130875536819</v>
      </c>
    </row>
    <row r="178" spans="1:15">
      <c r="A178">
        <v>1</v>
      </c>
      <c r="B178" s="4">
        <f>Thiet_ke!$B$20</f>
        <v>7.0</v>
      </c>
      <c r="C178" s="4">
        <f>Dau_vao!$B$21+(Dau_vao!$B$19-Dau_vao!$B$21)*176/200</f>
        <v>2384.0</v>
      </c>
      <c r="D178" s="4">
        <f>2*PI()*C178*Thiet_ke!$B$7/(60*Thiet_ke!$B$15*B178)</f>
        <v>3.840727174060507</v>
      </c>
      <c r="E178" s="4">
        <f>D178*3.6</f>
        <v>13.826617826617825</v>
      </c>
      <c r="F178" s="4">
        <f>Thiet_ke!$B$12*(Dau_vao!$B$22*(C178/Dau_vao!$B$19)+Dau_vao!$B$23*(C178/Dau_vao!$B$19)^2-Dau_vao!$B$24*(C178/Dau_vao!$B$19)^3)</f>
        <v>111.0071246010703</v>
      </c>
      <c r="G178" s="4">
        <f>60000*F178/(2*PI()*C178)</f>
        <v>444.64763251707075</v>
      </c>
      <c r="H178" s="4">
        <f>G178*Thiet_ke!$B$15*B178*Dau_vao!$B$10/Thiet_ke!$B$7</f>
        <v>25723.342590487297</v>
      </c>
      <c r="I178" s="4">
        <f>IF(D178&lt;=Dau_vao!$B$14,Dau_vao!$B$13,Dau_vao!$B$13*(1+D178^2/1500))</f>
        <v>0.015</v>
      </c>
      <c r="J178" s="4">
        <f>Thiet_ke!$B$8*D178^2</f>
        <v>43.14721678478292</v>
      </c>
      <c r="K178" s="4">
        <f>Thiet_ke!$B$3*I178+J178</f>
        <v>1174.730716784783</v>
      </c>
      <c r="L178" s="4">
        <f>(H178-J178)/Thiet_ke!$B$3</f>
        <v>0.34041052260441906</v>
      </c>
      <c r="M178" s="4">
        <f>1.05+0.05*B178^2</f>
        <v>3.5</v>
      </c>
      <c r="N178" s="4">
        <f>(MIN(H178,Thiet_ke!$B$16)-K178)/(Thiet_ke!$B$2*M178)</f>
        <v>0.9120792076426719</v>
      </c>
      <c r="O178" s="4">
        <f>IF(N178&gt;0,1/N178,"")</f>
        <v>1.0963960055449187</v>
      </c>
    </row>
    <row r="179" spans="1:15">
      <c r="A179">
        <v>1</v>
      </c>
      <c r="B179" s="4">
        <f>Thiet_ke!$B$20</f>
        <v>7.0</v>
      </c>
      <c r="C179" s="4">
        <f>Dau_vao!$B$21+(Dau_vao!$B$19-Dau_vao!$B$21)*177/200</f>
        <v>2393.0</v>
      </c>
      <c r="D179" s="4">
        <f>2*PI()*C179*Thiet_ke!$B$7/(60*Thiet_ke!$B$15*B179)</f>
        <v>3.8552265635598966</v>
      </c>
      <c r="E179" s="4">
        <f>D179*3.6</f>
        <v>13.878815628815628</v>
      </c>
      <c r="F179" s="4">
        <f>Thiet_ke!$B$12*(Dau_vao!$B$22*(C179/Dau_vao!$B$19)+Dau_vao!$B$23*(C179/Dau_vao!$B$19)^2-Dau_vao!$B$24*(C179/Dau_vao!$B$19)^3)</f>
        <v>111.30044893211249</v>
      </c>
      <c r="G179" s="4">
        <f>60000*F179/(2*PI()*C179)</f>
        <v>444.14584076622066</v>
      </c>
      <c r="H179" s="4">
        <f>G179*Thiet_ke!$B$15*B179*Dau_vao!$B$10/Thiet_ke!$B$7</f>
        <v>25694.313399343</v>
      </c>
      <c r="I179" s="4">
        <f>IF(D179&lt;=Dau_vao!$B$14,Dau_vao!$B$13,Dau_vao!$B$13*(1+D179^2/1500))</f>
        <v>0.015</v>
      </c>
      <c r="J179" s="4">
        <f>Thiet_ke!$B$8*D179^2</f>
        <v>43.473607679905214</v>
      </c>
      <c r="K179" s="4">
        <f>Thiet_ke!$B$3*I179+J179</f>
        <v>1175.0571076799054</v>
      </c>
      <c r="L179" s="4">
        <f>(H179-J179)/Thiet_ke!$B$3</f>
        <v>0.34002139203598</v>
      </c>
      <c r="M179" s="4">
        <f>1.05+0.05*B179^2</f>
        <v>3.5</v>
      </c>
      <c r="N179" s="4">
        <f>(MIN(H179,Thiet_ke!$B$16)-K179)/(Thiet_ke!$B$2*M179)</f>
        <v>0.9109885302494183</v>
      </c>
      <c r="O179" s="4">
        <f>IF(N179&gt;0,1/N179,"")</f>
        <v>1.0977086613002816</v>
      </c>
    </row>
    <row r="180" spans="1:15">
      <c r="A180">
        <v>1</v>
      </c>
      <c r="B180" s="4">
        <f>Thiet_ke!$B$20</f>
        <v>7.0</v>
      </c>
      <c r="C180" s="4">
        <f>Dau_vao!$B$21+(Dau_vao!$B$19-Dau_vao!$B$21)*178/200</f>
        <v>2402.0</v>
      </c>
      <c r="D180" s="4">
        <f>2*PI()*C180*Thiet_ke!$B$7/(60*Thiet_ke!$B$15*B180)</f>
        <v>3.869725953059286</v>
      </c>
      <c r="E180" s="4">
        <f>D180*3.6</f>
        <v>13.93101343101343</v>
      </c>
      <c r="F180" s="4">
        <f>Thiet_ke!$B$12*(Dau_vao!$B$22*(C180/Dau_vao!$B$19)+Dau_vao!$B$23*(C180/Dau_vao!$B$19)^2-Dau_vao!$B$24*(C180/Dau_vao!$B$19)^3)</f>
        <v>111.59023682177258</v>
      </c>
      <c r="G180" s="4">
        <f>60000*F180/(2*PI()*C180)</f>
        <v>443.63374998285605</v>
      </c>
      <c r="H180" s="4">
        <f>G180*Thiet_ke!$B$15*B180*Dau_vao!$B$10/Thiet_ke!$B$7</f>
        <v>25664.688398118215</v>
      </c>
      <c r="I180" s="4">
        <f>IF(D180&lt;=Dau_vao!$B$14,Dau_vao!$B$13,Dau_vao!$B$13*(1+D180^2/1500))</f>
        <v>0.015</v>
      </c>
      <c r="J180" s="4">
        <f>Thiet_ke!$B$8*D180^2</f>
        <v>43.80122843395826</v>
      </c>
      <c r="K180" s="4">
        <f>Thiet_ke!$B$3*I180+J180</f>
        <v>1175.3847284339583</v>
      </c>
      <c r="L180" s="4">
        <f>(H180-J180)/Thiet_ke!$B$3</f>
        <v>0.33962434724902213</v>
      </c>
      <c r="M180" s="4">
        <f>1.05+0.05*B180^2</f>
        <v>3.5</v>
      </c>
      <c r="N180" s="4">
        <f>(MIN(H180,Thiet_ke!$B$16)-K180)/(Thiet_ke!$B$2*M180)</f>
        <v>0.9098756704322593</v>
      </c>
      <c r="O180" s="4">
        <f>IF(N180&gt;0,1/N180,"")</f>
        <v>1.0990512577668166</v>
      </c>
    </row>
    <row r="181" spans="1:15">
      <c r="A181">
        <v>1</v>
      </c>
      <c r="B181" s="4">
        <f>Thiet_ke!$B$20</f>
        <v>7.0</v>
      </c>
      <c r="C181" s="4">
        <f>Dau_vao!$B$21+(Dau_vao!$B$19-Dau_vao!$B$21)*179/200</f>
        <v>2411.0</v>
      </c>
      <c r="D181" s="4">
        <f>2*PI()*C181*Thiet_ke!$B$7/(60*Thiet_ke!$B$15*B181)</f>
        <v>3.8842253425586755</v>
      </c>
      <c r="E181" s="4">
        <f>D181*3.6</f>
        <v>13.983211233211232</v>
      </c>
      <c r="F181" s="4">
        <f>Thiet_ke!$B$12*(Dau_vao!$B$22*(C181/Dau_vao!$B$19)+Dau_vao!$B$23*(C181/Dau_vao!$B$19)^2-Dau_vao!$B$24*(C181/Dau_vao!$B$19)^3)</f>
        <v>111.87645915022212</v>
      </c>
      <c r="G181" s="4">
        <f>60000*F181/(2*PI()*C181)</f>
        <v>443.11136016697697</v>
      </c>
      <c r="H181" s="4">
        <f>G181*Thiet_ke!$B$15*B181*Dau_vao!$B$10/Thiet_ke!$B$7</f>
        <v>25634.467586812927</v>
      </c>
      <c r="I181" s="4">
        <f>IF(D181&lt;=Dau_vao!$B$14,Dau_vao!$B$13,Dau_vao!$B$13*(1+D181^2/1500))</f>
        <v>0.015</v>
      </c>
      <c r="J181" s="4">
        <f>Thiet_ke!$B$8*D181^2</f>
        <v>44.13007904694205</v>
      </c>
      <c r="K181" s="4">
        <f>Thiet_ke!$B$3*I181+J181</f>
        <v>1175.7135790469422</v>
      </c>
      <c r="L181" s="4">
        <f>(H181-J181)/Thiet_ke!$B$3</f>
        <v>0.3392193882435452</v>
      </c>
      <c r="M181" s="4">
        <f>1.05+0.05*B181^2</f>
        <v>3.5</v>
      </c>
      <c r="N181" s="4">
        <f>(MIN(H181,Thiet_ke!$B$16)-K181)/(Thiet_ke!$B$2*M181)</f>
        <v>0.9087406281911938</v>
      </c>
      <c r="O181" s="4">
        <f>IF(N181&gt;0,1/N181,"")</f>
        <v>1.1004240032609236</v>
      </c>
    </row>
    <row r="182" spans="1:15">
      <c r="A182">
        <v>1</v>
      </c>
      <c r="B182" s="4">
        <f>Thiet_ke!$B$20</f>
        <v>7.0</v>
      </c>
      <c r="C182" s="4">
        <f>Dau_vao!$B$21+(Dau_vao!$B$19-Dau_vao!$B$21)*180/200</f>
        <v>2420.0</v>
      </c>
      <c r="D182" s="4">
        <f>2*PI()*C182*Thiet_ke!$B$7/(60*Thiet_ke!$B$15*B182)</f>
        <v>3.8987247320580654</v>
      </c>
      <c r="E182" s="4">
        <f>D182*3.6</f>
        <v>14.035409035409035</v>
      </c>
      <c r="F182" s="4">
        <f>Thiet_ke!$B$12*(Dau_vao!$B$22*(C182/Dau_vao!$B$19)+Dau_vao!$B$23*(C182/Dau_vao!$B$19)^2-Dau_vao!$B$24*(C182/Dau_vao!$B$19)^3)</f>
        <v>112.1590867976327</v>
      </c>
      <c r="G182" s="4">
        <f>60000*F182/(2*PI()*C182)</f>
        <v>442.5786713185831</v>
      </c>
      <c r="H182" s="4">
        <f>G182*Thiet_ke!$B$15*B182*Dau_vao!$B$10/Thiet_ke!$B$7</f>
        <v>25603.65096542713</v>
      </c>
      <c r="I182" s="4">
        <f>IF(D182&lt;=Dau_vao!$B$14,Dau_vao!$B$13,Dau_vao!$B$13*(1+D182^2/1500))</f>
        <v>0.015</v>
      </c>
      <c r="J182" s="4">
        <f>Thiet_ke!$B$8*D182^2</f>
        <v>44.460159518856614</v>
      </c>
      <c r="K182" s="4">
        <f>Thiet_ke!$B$3*I182+J182</f>
        <v>1176.0436595188569</v>
      </c>
      <c r="L182" s="4">
        <f>(H182-J182)/Thiet_ke!$B$3</f>
        <v>0.33880651501954917</v>
      </c>
      <c r="M182" s="4">
        <f>1.05+0.05*B182^2</f>
        <v>3.5</v>
      </c>
      <c r="N182" s="4">
        <f>(MIN(H182,Thiet_ke!$B$16)-K182)/(Thiet_ke!$B$2*M182)</f>
        <v>0.9075834035262221</v>
      </c>
      <c r="O182" s="4">
        <f>IF(N182&gt;0,1/N182,"")</f>
        <v>1.1018271115521867</v>
      </c>
    </row>
    <row r="183" spans="1:15">
      <c r="A183">
        <v>1</v>
      </c>
      <c r="B183" s="4">
        <f>Thiet_ke!$B$20</f>
        <v>7.0</v>
      </c>
      <c r="C183" s="4">
        <f>Dau_vao!$B$21+(Dau_vao!$B$19-Dau_vao!$B$21)*181/200</f>
        <v>2429.0</v>
      </c>
      <c r="D183" s="4">
        <f>2*PI()*C183*Thiet_ke!$B$7/(60*Thiet_ke!$B$15*B183)</f>
        <v>3.913224121557455</v>
      </c>
      <c r="E183" s="4">
        <f>D183*3.6</f>
        <v>14.087606837606838</v>
      </c>
      <c r="F183" s="4">
        <f>Thiet_ke!$B$12*(Dau_vao!$B$22*(C183/Dau_vao!$B$19)+Dau_vao!$B$23*(C183/Dau_vao!$B$19)^2-Dau_vao!$B$24*(C183/Dau_vao!$B$19)^3)</f>
        <v>112.43809064417597</v>
      </c>
      <c r="G183" s="4">
        <f>60000*F183/(2*PI()*C183)</f>
        <v>442.0356834376747</v>
      </c>
      <c r="H183" s="4">
        <f>G183*Thiet_ke!$B$15*B183*Dau_vao!$B$10/Thiet_ke!$B$7</f>
        <v>25572.238533960845</v>
      </c>
      <c r="I183" s="4">
        <f>IF(D183&lt;=Dau_vao!$B$14,Dau_vao!$B$13,Dau_vao!$B$13*(1+D183^2/1500))</f>
        <v>0.015</v>
      </c>
      <c r="J183" s="4">
        <f>Thiet_ke!$B$8*D183^2</f>
        <v>44.79146984970191</v>
      </c>
      <c r="K183" s="4">
        <f>Thiet_ke!$B$3*I183+J183</f>
        <v>1176.3749698497022</v>
      </c>
      <c r="L183" s="4">
        <f>(H183-J183)/Thiet_ke!$B$3</f>
        <v>0.3383857275770344</v>
      </c>
      <c r="M183" s="4">
        <f>1.05+0.05*B183^2</f>
        <v>3.5</v>
      </c>
      <c r="N183" s="4">
        <f>(MIN(H183,Thiet_ke!$B$16)-K183)/(Thiet_ke!$B$2*M183)</f>
        <v>0.906403996437345</v>
      </c>
      <c r="O183" s="4">
        <f>IF(N183&gt;0,1/N183,"")</f>
        <v>1.1032608019498342</v>
      </c>
    </row>
    <row r="184" spans="1:15">
      <c r="A184">
        <v>1</v>
      </c>
      <c r="B184" s="4">
        <f>Thiet_ke!$B$20</f>
        <v>7.0</v>
      </c>
      <c r="C184" s="4">
        <f>Dau_vao!$B$21+(Dau_vao!$B$19-Dau_vao!$B$21)*182/200</f>
        <v>2438.0</v>
      </c>
      <c r="D184" s="4">
        <f>2*PI()*C184*Thiet_ke!$B$7/(60*Thiet_ke!$B$15*B184)</f>
        <v>3.9277235110568443</v>
      </c>
      <c r="E184" s="4">
        <f>D184*3.6</f>
        <v>14.13980463980464</v>
      </c>
      <c r="F184" s="4">
        <f>Thiet_ke!$B$12*(Dau_vao!$B$22*(C184/Dau_vao!$B$19)+Dau_vao!$B$23*(C184/Dau_vao!$B$19)^2-Dau_vao!$B$24*(C184/Dau_vao!$B$19)^3)</f>
        <v>112.71344157002348</v>
      </c>
      <c r="G184" s="4">
        <f>60000*F184/(2*PI()*C184)</f>
        <v>441.4823965242516</v>
      </c>
      <c r="H184" s="4">
        <f>G184*Thiet_ke!$B$15*B184*Dau_vao!$B$10/Thiet_ke!$B$7</f>
        <v>25540.23029241405</v>
      </c>
      <c r="I184" s="4">
        <f>IF(D184&lt;=Dau_vao!$B$14,Dau_vao!$B$13,Dau_vao!$B$13*(1+D184^2/1500))</f>
        <v>0.015</v>
      </c>
      <c r="J184" s="4">
        <f>Thiet_ke!$B$8*D184^2</f>
        <v>45.124010039477966</v>
      </c>
      <c r="K184" s="4">
        <f>Thiet_ke!$B$3*I184+J184</f>
        <v>1176.7075100394782</v>
      </c>
      <c r="L184" s="4">
        <f>(H184-J184)/Thiet_ke!$B$3</f>
        <v>0.33795702591600046</v>
      </c>
      <c r="M184" s="4">
        <f>1.05+0.05*B184^2</f>
        <v>3.5</v>
      </c>
      <c r="N184" s="4">
        <f>(MIN(H184,Thiet_ke!$B$16)-K184)/(Thiet_ke!$B$2*M184)</f>
        <v>0.9052024069245614</v>
      </c>
      <c r="O184" s="4">
        <f>IF(N184&gt;0,1/N184,"")</f>
        <v>1.1047252993918948</v>
      </c>
    </row>
    <row r="185" spans="1:15">
      <c r="A185">
        <v>1</v>
      </c>
      <c r="B185" s="4">
        <f>Thiet_ke!$B$20</f>
        <v>7.0</v>
      </c>
      <c r="C185" s="4">
        <f>Dau_vao!$B$21+(Dau_vao!$B$19-Dau_vao!$B$21)*183/200</f>
        <v>2447.0</v>
      </c>
      <c r="D185" s="4">
        <f>2*PI()*C185*Thiet_ke!$B$7/(60*Thiet_ke!$B$15*B185)</f>
        <v>3.9422229005562337</v>
      </c>
      <c r="E185" s="4">
        <f>D185*3.6</f>
        <v>14.192002442002442</v>
      </c>
      <c r="F185" s="4">
        <f>Thiet_ke!$B$12*(Dau_vao!$B$22*(C185/Dau_vao!$B$19)+Dau_vao!$B$23*(C185/Dau_vao!$B$19)^2-Dau_vao!$B$24*(C185/Dau_vao!$B$19)^3)</f>
        <v>112.98511045534687</v>
      </c>
      <c r="G185" s="4">
        <f>60000*F185/(2*PI()*C185)</f>
        <v>440.91881057831404</v>
      </c>
      <c r="H185" s="4">
        <f>G185*Thiet_ke!$B$15*B185*Dau_vao!$B$10/Thiet_ke!$B$7</f>
        <v>25507.62624078677</v>
      </c>
      <c r="I185" s="4">
        <f>IF(D185&lt;=Dau_vao!$B$14,Dau_vao!$B$13,Dau_vao!$B$13*(1+D185^2/1500))</f>
        <v>0.015</v>
      </c>
      <c r="J185" s="4">
        <f>Thiet_ke!$B$8*D185^2</f>
        <v>45.45778008818477</v>
      </c>
      <c r="K185" s="4">
        <f>Thiet_ke!$B$3*I185+J185</f>
        <v>1177.041280088185</v>
      </c>
      <c r="L185" s="4">
        <f>(H185-J185)/Thiet_ke!$B$3</f>
        <v>0.3375204100364478</v>
      </c>
      <c r="M185" s="4">
        <f>1.05+0.05*B185^2</f>
        <v>3.5</v>
      </c>
      <c r="N185" s="4">
        <f>(MIN(H185,Thiet_ke!$B$16)-K185)/(Thiet_ke!$B$2*M185)</f>
        <v>0.9039786349878723</v>
      </c>
      <c r="O185" s="4">
        <f>IF(N185&gt;0,1/N185,"")</f>
        <v>1.106220834537108</v>
      </c>
    </row>
    <row r="186" spans="1:15">
      <c r="A186">
        <v>1</v>
      </c>
      <c r="B186" s="4">
        <f>Thiet_ke!$B$20</f>
        <v>7.0</v>
      </c>
      <c r="C186" s="4">
        <f>Dau_vao!$B$21+(Dau_vao!$B$19-Dau_vao!$B$21)*184/200</f>
        <v>2456.0</v>
      </c>
      <c r="D186" s="4">
        <f>2*PI()*C186*Thiet_ke!$B$7/(60*Thiet_ke!$B$15*B186)</f>
        <v>3.9567222900556236</v>
      </c>
      <c r="E186" s="4">
        <f>D186*3.6</f>
        <v>14.244200244200245</v>
      </c>
      <c r="F186" s="4">
        <f>Thiet_ke!$B$12*(Dau_vao!$B$22*(C186/Dau_vao!$B$19)+Dau_vao!$B$23*(C186/Dau_vao!$B$19)^2-Dau_vao!$B$24*(C186/Dau_vao!$B$19)^3)</f>
        <v>113.25306818031773</v>
      </c>
      <c r="G186" s="4">
        <f>60000*F186/(2*PI()*C186)</f>
        <v>440.3449255998618</v>
      </c>
      <c r="H186" s="4">
        <f>G186*Thiet_ke!$B$15*B186*Dau_vao!$B$10/Thiet_ke!$B$7</f>
        <v>25474.42637907898</v>
      </c>
      <c r="I186" s="4">
        <f>IF(D186&lt;=Dau_vao!$B$14,Dau_vao!$B$13,Dau_vao!$B$13*(1+D186^2/1500))</f>
        <v>0.015</v>
      </c>
      <c r="J186" s="4">
        <f>Thiet_ke!$B$8*D186^2</f>
        <v>45.792779995822336</v>
      </c>
      <c r="K186" s="4">
        <f>Thiet_ke!$B$3*I186+J186</f>
        <v>1177.3762799958224</v>
      </c>
      <c r="L186" s="4">
        <f>(H186-J186)/Thiet_ke!$B$3</f>
        <v>0.337075879938376</v>
      </c>
      <c r="M186" s="4">
        <f>1.05+0.05*B186^2</f>
        <v>3.5</v>
      </c>
      <c r="N186" s="4">
        <f>(MIN(H186,Thiet_ke!$B$16)-K186)/(Thiet_ke!$B$2*M186)</f>
        <v>0.9027326806272769</v>
      </c>
      <c r="O186" s="4">
        <f>IF(N186&gt;0,1/N186,"")</f>
        <v>1.1077476438596812</v>
      </c>
    </row>
    <row r="187" spans="1:15">
      <c r="A187">
        <v>1</v>
      </c>
      <c r="B187" s="4">
        <f>Thiet_ke!$B$20</f>
        <v>7.0</v>
      </c>
      <c r="C187" s="4">
        <f>Dau_vao!$B$21+(Dau_vao!$B$19-Dau_vao!$B$21)*185/200</f>
        <v>2465.0</v>
      </c>
      <c r="D187" s="4">
        <f>2*PI()*C187*Thiet_ke!$B$7/(60*Thiet_ke!$B$15*B187)</f>
        <v>3.971221679555013</v>
      </c>
      <c r="E187" s="4">
        <f>D187*3.6</f>
        <v>14.296398046398048</v>
      </c>
      <c r="F187" s="4">
        <f>Thiet_ke!$B$12*(Dau_vao!$B$22*(C187/Dau_vao!$B$19)+Dau_vao!$B$23*(C187/Dau_vao!$B$19)^2-Dau_vao!$B$24*(C187/Dau_vao!$B$19)^3)</f>
        <v>113.51728562510766</v>
      </c>
      <c r="G187" s="4">
        <f>60000*F187/(2*PI()*C187)</f>
        <v>439.7607415888951</v>
      </c>
      <c r="H187" s="4">
        <f>G187*Thiet_ke!$B$15*B187*Dau_vao!$B$10/Thiet_ke!$B$7</f>
        <v>25440.630707290708</v>
      </c>
      <c r="I187" s="4">
        <f>IF(D187&lt;=Dau_vao!$B$14,Dau_vao!$B$13,Dau_vao!$B$13*(1+D187^2/1500))</f>
        <v>0.015</v>
      </c>
      <c r="J187" s="4">
        <f>Thiet_ke!$B$8*D187^2</f>
        <v>46.129009762390645</v>
      </c>
      <c r="K187" s="4">
        <f>Thiet_ke!$B$3*I187+J187</f>
        <v>1177.712509762391</v>
      </c>
      <c r="L187" s="4">
        <f>(H187-J187)/Thiet_ke!$B$3</f>
        <v>0.3366234356217855</v>
      </c>
      <c r="M187" s="4">
        <f>1.05+0.05*B187^2</f>
        <v>3.5</v>
      </c>
      <c r="N187" s="4">
        <f>(MIN(H187,Thiet_ke!$B$16)-K187)/(Thiet_ke!$B$2*M187)</f>
        <v>0.9014645438427761</v>
      </c>
      <c r="O187" s="4">
        <f>IF(N187&gt;0,1/N187,"")</f>
        <v>1.1093059697469472</v>
      </c>
    </row>
    <row r="188" spans="1:15">
      <c r="A188">
        <v>1</v>
      </c>
      <c r="B188" s="4">
        <f>Thiet_ke!$B$20</f>
        <v>7.0</v>
      </c>
      <c r="C188" s="4">
        <f>Dau_vao!$B$21+(Dau_vao!$B$19-Dau_vao!$B$21)*186/200</f>
        <v>2474.0</v>
      </c>
      <c r="D188" s="4">
        <f>2*PI()*C188*Thiet_ke!$B$7/(60*Thiet_ke!$B$15*B188)</f>
        <v>3.9857210690544025</v>
      </c>
      <c r="E188" s="4">
        <f>D188*3.6</f>
        <v>14.34859584859585</v>
      </c>
      <c r="F188" s="4">
        <f>Thiet_ke!$B$12*(Dau_vao!$B$22*(C188/Dau_vao!$B$19)+Dau_vao!$B$23*(C188/Dau_vao!$B$19)^2-Dau_vao!$B$24*(C188/Dau_vao!$B$19)^3)</f>
        <v>113.77773366988825</v>
      </c>
      <c r="G188" s="4">
        <f>60000*F188/(2*PI()*C188)</f>
        <v>439.1662585454136</v>
      </c>
      <c r="H188" s="4">
        <f>G188*Thiet_ke!$B$15*B188*Dau_vao!$B$10/Thiet_ke!$B$7</f>
        <v>25406.239225421916</v>
      </c>
      <c r="I188" s="4">
        <f>IF(D188&lt;=Dau_vao!$B$14,Dau_vao!$B$13,Dau_vao!$B$13*(1+D188^2/1500))</f>
        <v>0.015</v>
      </c>
      <c r="J188" s="4">
        <f>Thiet_ke!$B$8*D188^2</f>
        <v>46.466469387889695</v>
      </c>
      <c r="K188" s="4">
        <f>Thiet_ke!$B$3*I188+J188</f>
        <v>1178.0499693878899</v>
      </c>
      <c r="L188" s="4">
        <f>(H188-J188)/Thiet_ke!$B$3</f>
        <v>0.33616307708667575</v>
      </c>
      <c r="M188" s="4">
        <f>1.05+0.05*B188^2</f>
        <v>3.5</v>
      </c>
      <c r="N188" s="4">
        <f>(MIN(H188,Thiet_ke!$B$16)-K188)/(Thiet_ke!$B$2*M188)</f>
        <v>0.9001742246343685</v>
      </c>
      <c r="O188" s="4">
        <f>IF(N188&gt;0,1/N188,"")</f>
        <v>1.1108960606000229</v>
      </c>
    </row>
    <row r="189" spans="1:15">
      <c r="A189">
        <v>1</v>
      </c>
      <c r="B189" s="4">
        <f>Thiet_ke!$B$20</f>
        <v>7.0</v>
      </c>
      <c r="C189" s="4">
        <f>Dau_vao!$B$21+(Dau_vao!$B$19-Dau_vao!$B$21)*187/200</f>
        <v>2483.0</v>
      </c>
      <c r="D189" s="4">
        <f>2*PI()*C189*Thiet_ke!$B$7/(60*Thiet_ke!$B$15*B189)</f>
        <v>4.000220458553791</v>
      </c>
      <c r="E189" s="4">
        <f>D189*3.6</f>
        <v>14.400793650793648</v>
      </c>
      <c r="F189" s="4">
        <f>Thiet_ke!$B$12*(Dau_vao!$B$22*(C189/Dau_vao!$B$19)+Dau_vao!$B$23*(C189/Dau_vao!$B$19)^2-Dau_vao!$B$24*(C189/Dau_vao!$B$19)^3)</f>
        <v>114.03438319483111</v>
      </c>
      <c r="G189" s="4">
        <f>60000*F189/(2*PI()*C189)</f>
        <v>438.56147646941764</v>
      </c>
      <c r="H189" s="4">
        <f>G189*Thiet_ke!$B$15*B189*Dau_vao!$B$10/Thiet_ke!$B$7</f>
        <v>25371.251933472646</v>
      </c>
      <c r="I189" s="4">
        <f>IF(D189&lt;=Dau_vao!$B$14,Dau_vao!$B$13,Dau_vao!$B$13*(1+D189^2/1500))</f>
        <v>0.015</v>
      </c>
      <c r="J189" s="4">
        <f>Thiet_ke!$B$8*D189^2</f>
        <v>46.80515887231948</v>
      </c>
      <c r="K189" s="4">
        <f>Thiet_ke!$B$3*I189+J189</f>
        <v>1178.3886588723196</v>
      </c>
      <c r="L189" s="4">
        <f>(H189-J189)/Thiet_ke!$B$3</f>
        <v>0.3356948043330473</v>
      </c>
      <c r="M189" s="4">
        <f>1.05+0.05*B189^2</f>
        <v>3.5</v>
      </c>
      <c r="N189" s="4">
        <f>(MIN(H189,Thiet_ke!$B$16)-K189)/(Thiet_ke!$B$2*M189)</f>
        <v>0.8988617230020557</v>
      </c>
      <c r="O189" s="4">
        <f>IF(N189&gt;0,1/N189,"")</f>
        <v>1.1125181709375258</v>
      </c>
    </row>
    <row r="190" spans="1:15">
      <c r="A190">
        <v>1</v>
      </c>
      <c r="B190" s="4">
        <f>Thiet_ke!$B$20</f>
        <v>7.0</v>
      </c>
      <c r="C190" s="4">
        <f>Dau_vao!$B$21+(Dau_vao!$B$19-Dau_vao!$B$21)*188/200</f>
        <v>2492.0</v>
      </c>
      <c r="D190" s="4">
        <f>2*PI()*C190*Thiet_ke!$B$7/(60*Thiet_ke!$B$15*B190)</f>
        <v>4.014719848053181</v>
      </c>
      <c r="E190" s="4">
        <f>D190*3.6</f>
        <v>14.452991452991451</v>
      </c>
      <c r="F190" s="4">
        <f>Thiet_ke!$B$12*(Dau_vao!$B$22*(C190/Dau_vao!$B$19)+Dau_vao!$B$23*(C190/Dau_vao!$B$19)^2-Dau_vao!$B$24*(C190/Dau_vao!$B$19)^3)</f>
        <v>114.28720508010785</v>
      </c>
      <c r="G190" s="4">
        <f>60000*F190/(2*PI()*C190)</f>
        <v>437.94639536090705</v>
      </c>
      <c r="H190" s="4">
        <f>G190*Thiet_ke!$B$15*B190*Dau_vao!$B$10/Thiet_ke!$B$7</f>
        <v>25335.668831442857</v>
      </c>
      <c r="I190" s="4">
        <f>IF(D190&lt;=Dau_vao!$B$14,Dau_vao!$B$13,Dau_vao!$B$13*(1+D190^2/1500))</f>
        <v>0.015</v>
      </c>
      <c r="J190" s="4">
        <f>Thiet_ke!$B$8*D190^2</f>
        <v>47.14507821568006</v>
      </c>
      <c r="K190" s="4">
        <f>Thiet_ke!$B$3*I190+J190</f>
        <v>1178.7285782156803</v>
      </c>
      <c r="L190" s="4">
        <f>(H190-J190)/Thiet_ke!$B$3</f>
        <v>0.3352186173608997</v>
      </c>
      <c r="M190" s="4">
        <f>1.05+0.05*B190^2</f>
        <v>3.5</v>
      </c>
      <c r="N190" s="4">
        <f>(MIN(H190,Thiet_ke!$B$16)-K190)/(Thiet_ke!$B$2*M190)</f>
        <v>0.8975270389458361</v>
      </c>
      <c r="O190" s="4">
        <f>IF(N190&gt;0,1/N190,"")</f>
        <v>1.1141725615024596</v>
      </c>
    </row>
    <row r="191" spans="1:15">
      <c r="A191">
        <v>1</v>
      </c>
      <c r="B191" s="4">
        <f>Thiet_ke!$B$20</f>
        <v>7.0</v>
      </c>
      <c r="C191" s="4">
        <f>Dau_vao!$B$21+(Dau_vao!$B$19-Dau_vao!$B$21)*189/200</f>
        <v>2501.0</v>
      </c>
      <c r="D191" s="4">
        <f>2*PI()*C191*Thiet_ke!$B$7/(60*Thiet_ke!$B$15*B191)</f>
        <v>4.02921923755257</v>
      </c>
      <c r="E191" s="4">
        <f>D191*3.6</f>
        <v>14.505189255189253</v>
      </c>
      <c r="F191" s="4">
        <f>Thiet_ke!$B$12*(Dau_vao!$B$22*(C191/Dau_vao!$B$19)+Dau_vao!$B$23*(C191/Dau_vao!$B$19)^2-Dau_vao!$B$24*(C191/Dau_vao!$B$19)^3)</f>
        <v>114.5361702058901</v>
      </c>
      <c r="G191" s="4">
        <f>60000*F191/(2*PI()*C191)</f>
        <v>437.32101521988193</v>
      </c>
      <c r="H191" s="4">
        <f>G191*Thiet_ke!$B$15*B191*Dau_vao!$B$10/Thiet_ke!$B$7</f>
        <v>25299.48991933259</v>
      </c>
      <c r="I191" s="4">
        <f>IF(D191&lt;=Dau_vao!$B$14,Dau_vao!$B$13,Dau_vao!$B$13*(1+D191^2/1500))</f>
        <v>0.015</v>
      </c>
      <c r="J191" s="4">
        <f>Thiet_ke!$B$8*D191^2</f>
        <v>47.486227417971364</v>
      </c>
      <c r="K191" s="4">
        <f>Thiet_ke!$B$3*I191+J191</f>
        <v>1179.0697274179715</v>
      </c>
      <c r="L191" s="4">
        <f>(H191-J191)/Thiet_ke!$B$3</f>
        <v>0.33473451617023336</v>
      </c>
      <c r="M191" s="4">
        <f>1.05+0.05*B191^2</f>
        <v>3.5</v>
      </c>
      <c r="N191" s="4">
        <f>(MIN(H191,Thiet_ke!$B$16)-K191)/(Thiet_ke!$B$2*M191)</f>
        <v>0.8961701724657113</v>
      </c>
      <c r="O191" s="4">
        <f>IF(N191&gt;0,1/N191,"")</f>
        <v>1.1158594993723263</v>
      </c>
    </row>
    <row r="192" spans="1:15">
      <c r="A192">
        <v>1</v>
      </c>
      <c r="B192" s="4">
        <f>Thiet_ke!$B$20</f>
        <v>7.0</v>
      </c>
      <c r="C192" s="4">
        <f>Dau_vao!$B$21+(Dau_vao!$B$19-Dau_vao!$B$21)*190/200</f>
        <v>2510.0</v>
      </c>
      <c r="D192" s="4">
        <f>2*PI()*C192*Thiet_ke!$B$7/(60*Thiet_ke!$B$15*B192)</f>
        <v>4.04371862705196</v>
      </c>
      <c r="E192" s="4">
        <f>D192*3.6</f>
        <v>14.557387057387055</v>
      </c>
      <c r="F192" s="4">
        <f>Thiet_ke!$B$12*(Dau_vao!$B$22*(C192/Dau_vao!$B$19)+Dau_vao!$B$23*(C192/Dau_vao!$B$19)^2-Dau_vao!$B$24*(C192/Dau_vao!$B$19)^3)</f>
        <v>114.78124945234941</v>
      </c>
      <c r="G192" s="4">
        <f>60000*F192/(2*PI()*C192)</f>
        <v>436.6853360463422</v>
      </c>
      <c r="H192" s="4">
        <f>G192*Thiet_ke!$B$15*B192*Dau_vao!$B$10/Thiet_ke!$B$7</f>
        <v>25262.715197141806</v>
      </c>
      <c r="I192" s="4">
        <f>IF(D192&lt;=Dau_vao!$B$14,Dau_vao!$B$13,Dau_vao!$B$13*(1+D192^2/1500))</f>
        <v>0.015</v>
      </c>
      <c r="J192" s="4">
        <f>Thiet_ke!$B$8*D192^2</f>
        <v>47.82860647919344</v>
      </c>
      <c r="K192" s="4">
        <f>Thiet_ke!$B$3*I192+J192</f>
        <v>1179.4121064791937</v>
      </c>
      <c r="L192" s="4">
        <f>(H192-J192)/Thiet_ke!$B$3</f>
        <v>0.33424250076104783</v>
      </c>
      <c r="M192" s="4">
        <f>1.05+0.05*B192^2</f>
        <v>3.5</v>
      </c>
      <c r="N192" s="4">
        <f>(MIN(H192,Thiet_ke!$B$16)-K192)/(Thiet_ke!$B$2*M192)</f>
        <v>0.8947911235616798</v>
      </c>
      <c r="O192" s="4">
        <f>IF(N192&gt;0,1/N192,"")</f>
        <v>1.1175792580725885</v>
      </c>
    </row>
    <row r="193" spans="1:15">
      <c r="A193">
        <v>1</v>
      </c>
      <c r="B193" s="4">
        <f>Thiet_ke!$B$20</f>
        <v>7.0</v>
      </c>
      <c r="C193" s="4">
        <f>Dau_vao!$B$21+(Dau_vao!$B$19-Dau_vao!$B$21)*191/200</f>
        <v>2519.0</v>
      </c>
      <c r="D193" s="4">
        <f>2*PI()*C193*Thiet_ke!$B$7/(60*Thiet_ke!$B$15*B193)</f>
        <v>4.05821801655135</v>
      </c>
      <c r="E193" s="4">
        <f>D193*3.6</f>
        <v>14.60958485958486</v>
      </c>
      <c r="F193" s="4">
        <f>Thiet_ke!$B$12*(Dau_vao!$B$22*(C193/Dau_vao!$B$19)+Dau_vao!$B$23*(C193/Dau_vao!$B$19)^2-Dau_vao!$B$24*(C193/Dau_vao!$B$19)^3)</f>
        <v>115.02241369965739</v>
      </c>
      <c r="G193" s="4">
        <f>60000*F193/(2*PI()*C193)</f>
        <v>436.03935784028783</v>
      </c>
      <c r="H193" s="4">
        <f>G193*Thiet_ke!$B$15*B193*Dau_vao!$B$10/Thiet_ke!$B$7</f>
        <v>25225.34466487054</v>
      </c>
      <c r="I193" s="4">
        <f>IF(D193&lt;=Dau_vao!$B$14,Dau_vao!$B$13,Dau_vao!$B$13*(1+D193^2/1500))</f>
        <v>0.015</v>
      </c>
      <c r="J193" s="4">
        <f>Thiet_ke!$B$8*D193^2</f>
        <v>48.17221539934627</v>
      </c>
      <c r="K193" s="4">
        <f>Thiet_ke!$B$3*I193+J193</f>
        <v>1179.7557153993464</v>
      </c>
      <c r="L193" s="4">
        <f>(H193-J193)/Thiet_ke!$B$3</f>
        <v>0.33374257113334355</v>
      </c>
      <c r="M193" s="4">
        <f>1.05+0.05*B193^2</f>
        <v>3.5</v>
      </c>
      <c r="N193" s="4">
        <f>(MIN(H193,Thiet_ke!$B$16)-K193)/(Thiet_ke!$B$2*M193)</f>
        <v>0.893389892233743</v>
      </c>
      <c r="O193" s="4">
        <f>IF(N193&gt;0,1/N193,"")</f>
        <v>1.1193321176935411</v>
      </c>
    </row>
    <row r="194" spans="1:15">
      <c r="A194">
        <v>1</v>
      </c>
      <c r="B194" s="4">
        <f>Thiet_ke!$B$20</f>
        <v>7.0</v>
      </c>
      <c r="C194" s="4">
        <f>Dau_vao!$B$21+(Dau_vao!$B$19-Dau_vao!$B$21)*192/200</f>
        <v>2528.0</v>
      </c>
      <c r="D194" s="4">
        <f>2*PI()*C194*Thiet_ke!$B$7/(60*Thiet_ke!$B$15*B194)</f>
        <v>4.07271740605074</v>
      </c>
      <c r="E194" s="4">
        <f>D194*3.6</f>
        <v>14.661782661782663</v>
      </c>
      <c r="F194" s="4">
        <f>Thiet_ke!$B$12*(Dau_vao!$B$22*(C194/Dau_vao!$B$19)+Dau_vao!$B$23*(C194/Dau_vao!$B$19)^2-Dau_vao!$B$24*(C194/Dau_vao!$B$19)^3)</f>
        <v>115.25963382798565</v>
      </c>
      <c r="G194" s="4">
        <f>60000*F194/(2*PI()*C194)</f>
        <v>435.3830806017188</v>
      </c>
      <c r="H194" s="4">
        <f>G194*Thiet_ke!$B$15*B194*Dau_vao!$B$10/Thiet_ke!$B$7</f>
        <v>25187.378322518758</v>
      </c>
      <c r="I194" s="4">
        <f>IF(D194&lt;=Dau_vao!$B$14,Dau_vao!$B$13,Dau_vao!$B$13*(1+D194^2/1500))</f>
        <v>0.015</v>
      </c>
      <c r="J194" s="4">
        <f>Thiet_ke!$B$8*D194^2</f>
        <v>48.517054178429845</v>
      </c>
      <c r="K194" s="4">
        <f>Thiet_ke!$B$3*I194+J194</f>
        <v>1180.10055417843</v>
      </c>
      <c r="L194" s="4">
        <f>(H194-J194)/Thiet_ke!$B$3</f>
        <v>0.3332347272871201</v>
      </c>
      <c r="M194" s="4">
        <f>1.05+0.05*B194^2</f>
        <v>3.5</v>
      </c>
      <c r="N194" s="4">
        <f>(MIN(H194,Thiet_ke!$B$16)-K194)/(Thiet_ke!$B$2*M194)</f>
        <v>0.8919664784818997</v>
      </c>
      <c r="O194" s="4">
        <f>IF(N194&gt;0,1/N194,"")</f>
        <v>1.1211183650107235</v>
      </c>
    </row>
    <row r="195" spans="1:15">
      <c r="A195">
        <v>1</v>
      </c>
      <c r="B195" s="4">
        <f>Thiet_ke!$B$20</f>
        <v>7.0</v>
      </c>
      <c r="C195" s="4">
        <f>Dau_vao!$B$21+(Dau_vao!$B$19-Dau_vao!$B$21)*193/200</f>
        <v>2537.0</v>
      </c>
      <c r="D195" s="4">
        <f>2*PI()*C195*Thiet_ke!$B$7/(60*Thiet_ke!$B$15*B195)</f>
        <v>4.087216795550129</v>
      </c>
      <c r="E195" s="4">
        <f>D195*3.6</f>
        <v>14.713980463980464</v>
      </c>
      <c r="F195" s="4">
        <f>Thiet_ke!$B$12*(Dau_vao!$B$22*(C195/Dau_vao!$B$19)+Dau_vao!$B$23*(C195/Dau_vao!$B$19)^2-Dau_vao!$B$24*(C195/Dau_vao!$B$19)^3)</f>
        <v>115.49288071750577</v>
      </c>
      <c r="G195" s="4">
        <f>60000*F195/(2*PI()*C195)</f>
        <v>434.71650433063513</v>
      </c>
      <c r="H195" s="4">
        <f>G195*Thiet_ke!$B$15*B195*Dau_vao!$B$10/Thiet_ke!$B$7</f>
        <v>25148.816170086484</v>
      </c>
      <c r="I195" s="4">
        <f>IF(D195&lt;=Dau_vao!$B$14,Dau_vao!$B$13,Dau_vao!$B$13*(1+D195^2/1500))</f>
        <v>0.015</v>
      </c>
      <c r="J195" s="4">
        <f>Thiet_ke!$B$8*D195^2</f>
        <v>48.86312281644416</v>
      </c>
      <c r="K195" s="4">
        <f>Thiet_ke!$B$3*I195+J195</f>
        <v>1180.4466228164442</v>
      </c>
      <c r="L195" s="4">
        <f>(H195-J195)/Thiet_ke!$B$3</f>
        <v>0.3327189692223778</v>
      </c>
      <c r="M195" s="4">
        <f>1.05+0.05*B195^2</f>
        <v>3.5</v>
      </c>
      <c r="N195" s="4">
        <f>(MIN(H195,Thiet_ke!$B$16)-K195)/(Thiet_ke!$B$2*M195)</f>
        <v>0.8905208823061505</v>
      </c>
      <c r="O195" s="4">
        <f>IF(N195&gt;0,1/N195,"")</f>
        <v>1.1229382936089443</v>
      </c>
    </row>
    <row r="196" spans="1:15">
      <c r="A196">
        <v>1</v>
      </c>
      <c r="B196" s="4">
        <f>Thiet_ke!$B$20</f>
        <v>7.0</v>
      </c>
      <c r="C196" s="4">
        <f>Dau_vao!$B$21+(Dau_vao!$B$19-Dau_vao!$B$21)*194/200</f>
        <v>2546.0</v>
      </c>
      <c r="D196" s="4">
        <f>2*PI()*C196*Thiet_ke!$B$7/(60*Thiet_ke!$B$15*B196)</f>
        <v>4.1017161850495185</v>
      </c>
      <c r="E196" s="4">
        <f>D196*3.6</f>
        <v>14.766178266178267</v>
      </c>
      <c r="F196" s="4">
        <f>Thiet_ke!$B$12*(Dau_vao!$B$22*(C196/Dau_vao!$B$19)+Dau_vao!$B$23*(C196/Dau_vao!$B$19)^2-Dau_vao!$B$24*(C196/Dau_vao!$B$19)^3)</f>
        <v>115.72212524838945</v>
      </c>
      <c r="G196" s="4">
        <f>60000*F196/(2*PI()*C196)</f>
        <v>434.0396290270371</v>
      </c>
      <c r="H196" s="4">
        <f>G196*Thiet_ke!$B$15*B196*Dau_vao!$B$10/Thiet_ke!$B$7</f>
        <v>25109.658207573717</v>
      </c>
      <c r="I196" s="4">
        <f>IF(D196&lt;=Dau_vao!$B$14,Dau_vao!$B$13,Dau_vao!$B$13*(1+D196^2/1500))</f>
        <v>0.015</v>
      </c>
      <c r="J196" s="4">
        <f>Thiet_ke!$B$8*D196^2</f>
        <v>49.21042131338925</v>
      </c>
      <c r="K196" s="4">
        <f>Thiet_ke!$B$3*I196+J196</f>
        <v>1180.7939213133895</v>
      </c>
      <c r="L196" s="4">
        <f>(H196-J196)/Thiet_ke!$B$3</f>
        <v>0.3321952969391166</v>
      </c>
      <c r="M196" s="4">
        <f>1.05+0.05*B196^2</f>
        <v>3.5</v>
      </c>
      <c r="N196" s="4">
        <f>(MIN(H196,Thiet_ke!$B$16)-K196)/(Thiet_ke!$B$2*M196)</f>
        <v>0.8890531037064955</v>
      </c>
      <c r="O196" s="4">
        <f>IF(N196&gt;0,1/N196,"")</f>
        <v>1.1247922040100449</v>
      </c>
    </row>
    <row r="197" spans="1:15">
      <c r="A197">
        <v>1</v>
      </c>
      <c r="B197" s="4">
        <f>Thiet_ke!$B$20</f>
        <v>7.0</v>
      </c>
      <c r="C197" s="4">
        <f>Dau_vao!$B$21+(Dau_vao!$B$19-Dau_vao!$B$21)*195/200</f>
        <v>2555.0</v>
      </c>
      <c r="D197" s="4">
        <f>2*PI()*C197*Thiet_ke!$B$7/(60*Thiet_ke!$B$15*B197)</f>
        <v>4.1162155745489075</v>
      </c>
      <c r="E197" s="4">
        <f>D197*3.6</f>
        <v>14.818376068376068</v>
      </c>
      <c r="F197" s="4">
        <f>Thiet_ke!$B$12*(Dau_vao!$B$22*(C197/Dau_vao!$B$19)+Dau_vao!$B$23*(C197/Dau_vao!$B$19)^2-Dau_vao!$B$24*(C197/Dau_vao!$B$19)^3)</f>
        <v>115.94733830080816</v>
      </c>
      <c r="G197" s="4">
        <f>60000*F197/(2*PI()*C197)</f>
        <v>433.3524546909243</v>
      </c>
      <c r="H197" s="4">
        <f>G197*Thiet_ke!$B$15*B197*Dau_vao!$B$10/Thiet_ke!$B$7</f>
        <v>25069.904434980454</v>
      </c>
      <c r="I197" s="4">
        <f>IF(D197&lt;=Dau_vao!$B$14,Dau_vao!$B$13,Dau_vao!$B$13*(1+D197^2/1500))</f>
        <v>0.015</v>
      </c>
      <c r="J197" s="4">
        <f>Thiet_ke!$B$8*D197^2</f>
        <v>49.558949669265054</v>
      </c>
      <c r="K197" s="4">
        <f>Thiet_ke!$B$3*I197+J197</f>
        <v>1181.1424496692653</v>
      </c>
      <c r="L197" s="4">
        <f>(H197-J197)/Thiet_ke!$B$3</f>
        <v>0.3316637104373365</v>
      </c>
      <c r="M197" s="4">
        <f>1.05+0.05*B197^2</f>
        <v>3.5</v>
      </c>
      <c r="N197" s="4">
        <f>(MIN(H197,Thiet_ke!$B$16)-K197)/(Thiet_ke!$B$2*M197)</f>
        <v>0.8875631426829348</v>
      </c>
      <c r="O197" s="4">
        <f>IF(N197&gt;0,1/N197,"")</f>
        <v>1.1266804038045</v>
      </c>
    </row>
    <row r="198" spans="1:15">
      <c r="A198">
        <v>1</v>
      </c>
      <c r="B198" s="4">
        <f>Thiet_ke!$B$20</f>
        <v>7.0</v>
      </c>
      <c r="C198" s="4">
        <f>Dau_vao!$B$21+(Dau_vao!$B$19-Dau_vao!$B$21)*196/200</f>
        <v>2564.0</v>
      </c>
      <c r="D198" s="4">
        <f>2*PI()*C198*Thiet_ke!$B$7/(60*Thiet_ke!$B$15*B198)</f>
        <v>4.130714964048297</v>
      </c>
      <c r="E198" s="4">
        <f>D198*3.6</f>
        <v>14.870573870573871</v>
      </c>
      <c r="F198" s="4">
        <f>Thiet_ke!$B$12*(Dau_vao!$B$22*(C198/Dau_vao!$B$19)+Dau_vao!$B$23*(C198/Dau_vao!$B$19)^2-Dau_vao!$B$24*(C198/Dau_vao!$B$19)^3)</f>
        <v>116.16849075493356</v>
      </c>
      <c r="G198" s="4">
        <f>60000*F198/(2*PI()*C198)</f>
        <v>432.654981322297</v>
      </c>
      <c r="H198" s="4">
        <f>G198*Thiet_ke!$B$15*B198*Dau_vao!$B$10/Thiet_ke!$B$7</f>
        <v>25029.554852306683</v>
      </c>
      <c r="I198" s="4">
        <f>IF(D198&lt;=Dau_vao!$B$14,Dau_vao!$B$13,Dau_vao!$B$13*(1+D198^2/1500))</f>
        <v>0.015</v>
      </c>
      <c r="J198" s="4">
        <f>Thiet_ke!$B$8*D198^2</f>
        <v>49.908707884071646</v>
      </c>
      <c r="K198" s="4">
        <f>Thiet_ke!$B$3*I198+J198</f>
        <v>1181.4922078840718</v>
      </c>
      <c r="L198" s="4">
        <f>(H198-J198)/Thiet_ke!$B$3</f>
        <v>0.3311242097170373</v>
      </c>
      <c r="M198" s="4">
        <f>1.05+0.05*B198^2</f>
        <v>3.5</v>
      </c>
      <c r="N198" s="4">
        <f>(MIN(H198,Thiet_ke!$B$16)-K198)/(Thiet_ke!$B$2*M198)</f>
        <v>0.8860509992354676</v>
      </c>
      <c r="O198" s="4">
        <f>IF(N198&gt;0,1/N198,"")</f>
        <v>1.1286032077869714</v>
      </c>
    </row>
    <row r="199" spans="1:15">
      <c r="A199">
        <v>1</v>
      </c>
      <c r="B199" s="4">
        <f>Thiet_ke!$B$20</f>
        <v>7.0</v>
      </c>
      <c r="C199" s="4">
        <f>Dau_vao!$B$21+(Dau_vao!$B$19-Dau_vao!$B$21)*197/200</f>
        <v>2573.0</v>
      </c>
      <c r="D199" s="4">
        <f>2*PI()*C199*Thiet_ke!$B$7/(60*Thiet_ke!$B$15*B199)</f>
        <v>4.145214353547686</v>
      </c>
      <c r="E199" s="4">
        <f>D199*3.6</f>
        <v>14.922771672771672</v>
      </c>
      <c r="F199" s="4">
        <f>Thiet_ke!$B$12*(Dau_vao!$B$22*(C199/Dau_vao!$B$19)+Dau_vao!$B$23*(C199/Dau_vao!$B$19)^2-Dau_vao!$B$24*(C199/Dau_vao!$B$19)^3)</f>
        <v>116.38555349093728</v>
      </c>
      <c r="G199" s="4">
        <f>60000*F199/(2*PI()*C199)</f>
        <v>431.94720892115504</v>
      </c>
      <c r="H199" s="4">
        <f>G199*Thiet_ke!$B$15*B199*Dau_vao!$B$10/Thiet_ke!$B$7</f>
        <v>24988.609459552423</v>
      </c>
      <c r="I199" s="4">
        <f>IF(D199&lt;=Dau_vao!$B$14,Dau_vao!$B$13,Dau_vao!$B$13*(1+D199^2/1500))</f>
        <v>0.015</v>
      </c>
      <c r="J199" s="4">
        <f>Thiet_ke!$B$8*D199^2</f>
        <v>50.259695957808965</v>
      </c>
      <c r="K199" s="4">
        <f>Thiet_ke!$B$3*I199+J199</f>
        <v>1181.8431959578093</v>
      </c>
      <c r="L199" s="4">
        <f>(H199-J199)/Thiet_ke!$B$3</f>
        <v>0.33057679477821933</v>
      </c>
      <c r="M199" s="4">
        <f>1.05+0.05*B199^2</f>
        <v>3.5</v>
      </c>
      <c r="N199" s="4">
        <f>(MIN(H199,Thiet_ke!$B$16)-K199)/(Thiet_ke!$B$2*M199)</f>
        <v>0.8845166733640949</v>
      </c>
      <c r="O199" s="4">
        <f>IF(N199&gt;0,1/N199,"")</f>
        <v>1.1305609380959272</v>
      </c>
    </row>
    <row r="200" spans="1:15">
      <c r="A200">
        <v>1</v>
      </c>
      <c r="B200" s="4">
        <f>Thiet_ke!$B$20</f>
        <v>7.0</v>
      </c>
      <c r="C200" s="4">
        <f>Dau_vao!$B$21+(Dau_vao!$B$19-Dau_vao!$B$21)*198/200</f>
        <v>2582.0</v>
      </c>
      <c r="D200" s="4">
        <f>2*PI()*C200*Thiet_ke!$B$7/(60*Thiet_ke!$B$15*B200)</f>
        <v>4.159713743047076</v>
      </c>
      <c r="E200" s="4">
        <f>D200*3.6</f>
        <v>14.974969474969475</v>
      </c>
      <c r="F200" s="4">
        <f>Thiet_ke!$B$12*(Dau_vao!$B$22*(C200/Dau_vao!$B$19)+Dau_vao!$B$23*(C200/Dau_vao!$B$19)^2-Dau_vao!$B$24*(C200/Dau_vao!$B$19)^3)</f>
        <v>116.59849738899089</v>
      </c>
      <c r="G200" s="4">
        <f>60000*F200/(2*PI()*C200)</f>
        <v>431.2291374874985</v>
      </c>
      <c r="H200" s="4">
        <f>G200*Thiet_ke!$B$15*B200*Dau_vao!$B$10/Thiet_ke!$B$7</f>
        <v>24947.068256717652</v>
      </c>
      <c r="I200" s="4">
        <f>IF(D200&lt;=Dau_vao!$B$14,Dau_vao!$B$13,Dau_vao!$B$13*(1+D200^2/1500))</f>
        <v>0.015</v>
      </c>
      <c r="J200" s="4">
        <f>Thiet_ke!$B$8*D200^2</f>
        <v>50.61191389047706</v>
      </c>
      <c r="K200" s="4">
        <f>Thiet_ke!$B$3*I200+J200</f>
        <v>1182.1954138904773</v>
      </c>
      <c r="L200" s="4">
        <f>(H200-J200)/Thiet_ke!$B$3</f>
        <v>0.33002146562088225</v>
      </c>
      <c r="M200" s="4">
        <f>1.05+0.05*B200^2</f>
        <v>3.5</v>
      </c>
      <c r="N200" s="4">
        <f>(MIN(H200,Thiet_ke!$B$16)-K200)/(Thiet_ke!$B$2*M200)</f>
        <v>0.8829601650688157</v>
      </c>
      <c r="O200" s="4">
        <f>IF(N200&gt;0,1/N200,"")</f>
        <v>1.1325539243574625</v>
      </c>
    </row>
    <row r="201" spans="1:15">
      <c r="A201">
        <v>1</v>
      </c>
      <c r="B201" s="4">
        <f>Thiet_ke!$B$20</f>
        <v>7.0</v>
      </c>
      <c r="C201" s="4">
        <f>Dau_vao!$B$21+(Dau_vao!$B$19-Dau_vao!$B$21)*199/200</f>
        <v>2591.0</v>
      </c>
      <c r="D201" s="4">
        <f>2*PI()*C201*Thiet_ke!$B$7/(60*Thiet_ke!$B$15*B201)</f>
        <v>4.174213132546465</v>
      </c>
      <c r="E201" s="4">
        <f>D201*3.6</f>
        <v>15.027167277167276</v>
      </c>
      <c r="F201" s="4">
        <f>Thiet_ke!$B$12*(Dau_vao!$B$22*(C201/Dau_vao!$B$19)+Dau_vao!$B$23*(C201/Dau_vao!$B$19)^2-Dau_vao!$B$24*(C201/Dau_vao!$B$19)^3)</f>
        <v>116.80729332926596</v>
      </c>
      <c r="G201" s="4">
        <f>60000*F201/(2*PI()*C201)</f>
        <v>430.5007670213273</v>
      </c>
      <c r="H201" s="4">
        <f>G201*Thiet_ke!$B$15*B201*Dau_vao!$B$10/Thiet_ke!$B$7</f>
        <v>24904.93124380239</v>
      </c>
      <c r="I201" s="4">
        <f>IF(D201&lt;=Dau_vao!$B$14,Dau_vao!$B$13,Dau_vao!$B$13*(1+D201^2/1500))</f>
        <v>0.015</v>
      </c>
      <c r="J201" s="4">
        <f>Thiet_ke!$B$8*D201^2</f>
        <v>50.96536168207588</v>
      </c>
      <c r="K201" s="4">
        <f>Thiet_ke!$B$3*I201+J201</f>
        <v>1182.548861682076</v>
      </c>
      <c r="L201" s="4">
        <f>(H201-J201)/Thiet_ke!$B$3</f>
        <v>0.3294582222450263</v>
      </c>
      <c r="M201" s="4">
        <f>1.05+0.05*B201^2</f>
        <v>3.5</v>
      </c>
      <c r="N201" s="4">
        <f>(MIN(H201,Thiet_ke!$B$16)-K201)/(Thiet_ke!$B$2*M201)</f>
        <v>0.8813814743496309</v>
      </c>
      <c r="O201" s="4">
        <f>IF(N201&gt;0,1/N201,"")</f>
        <v>1.1345825038334252</v>
      </c>
    </row>
    <row r="202" spans="1:15">
      <c r="A202">
        <v>1</v>
      </c>
      <c r="B202" s="4">
        <f>Thiet_ke!$B$20</f>
        <v>7.0</v>
      </c>
      <c r="C202" s="4">
        <f>Dau_vao!$B$21+(Dau_vao!$B$19-Dau_vao!$B$21)*200/200</f>
        <v>2600.0</v>
      </c>
      <c r="D202" s="4">
        <f>2*PI()*C202*Thiet_ke!$B$7/(60*Thiet_ke!$B$15*B202)</f>
        <v>4.188712522045854</v>
      </c>
      <c r="E202" s="4">
        <f>D202*3.6</f>
        <v>15.079365079365076</v>
      </c>
      <c r="F202" s="4">
        <f>Thiet_ke!$B$12*(Dau_vao!$B$22*(C202/Dau_vao!$B$19)+Dau_vao!$B$23*(C202/Dau_vao!$B$19)^2-Dau_vao!$B$24*(C202/Dau_vao!$B$19)^3)</f>
        <v>117.01191219193416</v>
      </c>
      <c r="G202" s="4">
        <f>60000*F202/(2*PI()*C202)</f>
        <v>429.7620975226416</v>
      </c>
      <c r="H202" s="4">
        <f>G202*Thiet_ke!$B$15*B202*Dau_vao!$B$10/Thiet_ke!$B$7</f>
        <v>24862.198420806628</v>
      </c>
      <c r="I202" s="4">
        <f>IF(D202&lt;=Dau_vao!$B$14,Dau_vao!$B$13,Dau_vao!$B$13*(1+D202^2/1500))</f>
        <v>0.015</v>
      </c>
      <c r="J202" s="4">
        <f>Thiet_ke!$B$8*D202^2</f>
        <v>51.32003933260545</v>
      </c>
      <c r="K202" s="4">
        <f>Thiet_ke!$B$3*I202+J202</f>
        <v>1182.9035393326055</v>
      </c>
      <c r="L202" s="4">
        <f>(H202-J202)/Thiet_ke!$B$3</f>
        <v>0.3288870646506513</v>
      </c>
      <c r="M202" s="4">
        <f>1.05+0.05*B202^2</f>
        <v>3.5</v>
      </c>
      <c r="N202" s="4">
        <f>(MIN(H202,Thiet_ke!$B$16)-K202)/(Thiet_ke!$B$2*M202)</f>
        <v>0.87978060120654</v>
      </c>
      <c r="O202" s="4">
        <f>IF(N202&gt;0,1/N202,"")</f>
        <v>1.1366470215740037</v>
      </c>
    </row>
    <row r="203" spans="1:15">
      <c r="A203">
        <v>2</v>
      </c>
      <c r="B203" s="4">
        <f>Thiet_ke!$B$21</f>
        <v>4.30351707065885</v>
      </c>
      <c r="C203" s="4">
        <f>Dau_vao!$B$21+(Dau_vao!$B$19-Dau_vao!$B$21)*0/200</f>
        <v>800.0</v>
      </c>
      <c r="D203" s="4">
        <f>2*PI()*C203*Thiet_ke!$B$7/(60*Thiet_ke!$B$15*B203)</f>
        <v>2.096388188323018</v>
      </c>
      <c r="E203" s="4">
        <f>D203*3.6</f>
        <v>7.546997477962866</v>
      </c>
      <c r="F203" s="4">
        <f>Thiet_ke!$B$12*(Dau_vao!$B$22*(C203/Dau_vao!$B$19)+Dau_vao!$B$23*(C203/Dau_vao!$B$19)^2-Dau_vao!$B$24*(C203/Dau_vao!$B$19)^3)</f>
        <v>31.210277899168606</v>
      </c>
      <c r="G203" s="4">
        <f>60000*F203/(2*PI()*C203)</f>
        <v>372.54525021933136</v>
      </c>
      <c r="H203" s="4">
        <f>G203*Thiet_ke!$B$15*B203*Dau_vao!$B$10/Thiet_ke!$B$7</f>
        <v>13250.001829327262</v>
      </c>
      <c r="I203" s="4">
        <f>IF(D203&lt;=Dau_vao!$B$14,Dau_vao!$B$13,Dau_vao!$B$13*(1+D203^2/1500))</f>
        <v>0.015</v>
      </c>
      <c r="J203" s="4">
        <f>Thiet_ke!$B$8*D203^2</f>
        <v>12.854917050710283</v>
      </c>
      <c r="K203" s="4">
        <f>Thiet_ke!$B$3*I203+J203</f>
        <v>1144.4384170507105</v>
      </c>
      <c r="L203" s="4">
        <f>(H203-J203)/Thiet_ke!$B$3</f>
        <v>0.17546845078966622</v>
      </c>
      <c r="M203" s="4">
        <f>1.05+0.05*B203^2</f>
        <v>1.9760129588726065</v>
      </c>
      <c r="N203" s="4">
        <f>(MIN(H203,Thiet_ke!$B$16)-K203)/(Thiet_ke!$B$2*M203)</f>
        <v>0.7966524182841221</v>
      </c>
      <c r="O203" s="4">
        <f>IF(N203&gt;0,1/N203,"")</f>
        <v>1.2552525757140862</v>
      </c>
    </row>
    <row r="204" spans="1:15">
      <c r="A204">
        <v>2</v>
      </c>
      <c r="B204" s="4">
        <f>Thiet_ke!$B$21</f>
        <v>4.30351707065885</v>
      </c>
      <c r="C204" s="4">
        <f>Dau_vao!$B$21+(Dau_vao!$B$19-Dau_vao!$B$21)*1/200</f>
        <v>809.0</v>
      </c>
      <c r="D204" s="4">
        <f>2*PI()*C204*Thiet_ke!$B$7/(60*Thiet_ke!$B$15*B204)</f>
        <v>2.119972555441652</v>
      </c>
      <c r="E204" s="4">
        <f>D204*3.6</f>
        <v>7.631901199589947</v>
      </c>
      <c r="F204" s="4">
        <f>Thiet_ke!$B$12*(Dau_vao!$B$22*(C204/Dau_vao!$B$19)+Dau_vao!$B$23*(C204/Dau_vao!$B$19)^2-Dau_vao!$B$24*(C204/Dau_vao!$B$19)^3)</f>
        <v>31.67244546633681</v>
      </c>
      <c r="G204" s="4">
        <f>60000*F204/(2*PI()*C204)</f>
        <v>373.8560881910502</v>
      </c>
      <c r="H204" s="4">
        <f>G204*Thiet_ke!$B$15*B204*Dau_vao!$B$10/Thiet_ke!$B$7</f>
        <v>13296.623294808303</v>
      </c>
      <c r="I204" s="4">
        <f>IF(D204&lt;=Dau_vao!$B$14,Dau_vao!$B$13,Dau_vao!$B$13*(1+D204^2/1500))</f>
        <v>0.015</v>
      </c>
      <c r="J204" s="4">
        <f>Thiet_ke!$B$8*D204^2</f>
        <v>13.14577963479049</v>
      </c>
      <c r="K204" s="4">
        <f>Thiet_ke!$B$3*I204+J204</f>
        <v>1144.7292796347906</v>
      </c>
      <c r="L204" s="4">
        <f>(H204-J204)/Thiet_ke!$B$3</f>
        <v>0.17608259817114924</v>
      </c>
      <c r="M204" s="4">
        <f>1.05+0.05*B204^2</f>
        <v>1.9760129588726065</v>
      </c>
      <c r="N204" s="4">
        <f>(MIN(H204,Thiet_ke!$B$16)-K204)/(Thiet_ke!$B$2*M204)</f>
        <v>0.7997013789628953</v>
      </c>
      <c r="O204" s="4">
        <f>IF(N204&gt;0,1/N204,"")</f>
        <v>1.2504667696045053</v>
      </c>
    </row>
    <row r="205" spans="1:15">
      <c r="A205">
        <v>2</v>
      </c>
      <c r="B205" s="4">
        <f>Thiet_ke!$B$21</f>
        <v>4.30351707065885</v>
      </c>
      <c r="C205" s="4">
        <f>Dau_vao!$B$21+(Dau_vao!$B$19-Dau_vao!$B$21)*2/200</f>
        <v>818.0</v>
      </c>
      <c r="D205" s="4">
        <f>2*PI()*C205*Thiet_ke!$B$7/(60*Thiet_ke!$B$15*B205)</f>
        <v>2.143556922560286</v>
      </c>
      <c r="E205" s="4">
        <f>D205*3.6</f>
        <v>7.71680492121703</v>
      </c>
      <c r="F205" s="4">
        <f>Thiet_ke!$B$12*(Dau_vao!$B$22*(C205/Dau_vao!$B$19)+Dau_vao!$B$23*(C205/Dau_vao!$B$19)^2-Dau_vao!$B$24*(C205/Dau_vao!$B$19)^3)</f>
        <v>32.13620168192096</v>
      </c>
      <c r="G205" s="4">
        <f>60000*F205/(2*PI()*C205)</f>
        <v>375.15662713025444</v>
      </c>
      <c r="H205" s="4">
        <f>G205*Thiet_ke!$B$15*B205*Dau_vao!$B$10/Thiet_ke!$B$7</f>
        <v>13342.878463310446</v>
      </c>
      <c r="I205" s="4">
        <f>IF(D205&lt;=Dau_vao!$B$14,Dau_vao!$B$13,Dau_vao!$B$13*(1+D205^2/1500))</f>
        <v>0.015</v>
      </c>
      <c r="J205" s="4">
        <f>Thiet_ke!$B$8*D205^2</f>
        <v>13.439896119749166</v>
      </c>
      <c r="K205" s="4">
        <f>Thiet_ke!$B$3*I205+J205</f>
        <v>1145.0233961197493</v>
      </c>
      <c r="L205" s="4">
        <f>(H205-J205)/Thiet_ke!$B$3</f>
        <v>0.17669184687463224</v>
      </c>
      <c r="M205" s="4">
        <f>1.05+0.05*B205^2</f>
        <v>1.9760129588726065</v>
      </c>
      <c r="N205" s="4">
        <f>(MIN(H205,Thiet_ke!$B$16)-K205)/(Thiet_ke!$B$2*M205)</f>
        <v>0.802726019947324</v>
      </c>
      <c r="O205" s="4">
        <f>IF(N205&gt;0,1/N205,"")</f>
        <v>1.2457550585760524</v>
      </c>
    </row>
    <row r="206" spans="1:15">
      <c r="A206">
        <v>2</v>
      </c>
      <c r="B206" s="4">
        <f>Thiet_ke!$B$21</f>
        <v>4.30351707065885</v>
      </c>
      <c r="C206" s="4">
        <f>Dau_vao!$B$21+(Dau_vao!$B$19-Dau_vao!$B$21)*3/200</f>
        <v>827.0</v>
      </c>
      <c r="D206" s="4">
        <f>2*PI()*C206*Thiet_ke!$B$7/(60*Thiet_ke!$B$15*B206)</f>
        <v>2.16714128967892</v>
      </c>
      <c r="E206" s="4">
        <f>D206*3.6</f>
        <v>7.801708642844112</v>
      </c>
      <c r="F206" s="4">
        <f>Thiet_ke!$B$12*(Dau_vao!$B$22*(C206/Dau_vao!$B$19)+Dau_vao!$B$23*(C206/Dau_vao!$B$19)^2-Dau_vao!$B$24*(C206/Dau_vao!$B$19)^3)</f>
        <v>32.60151742609266</v>
      </c>
      <c r="G206" s="4">
        <f>60000*F206/(2*PI()*C206)</f>
        <v>376.44686703694407</v>
      </c>
      <c r="H206" s="4">
        <f>G206*Thiet_ke!$B$15*B206*Dau_vao!$B$10/Thiet_ke!$B$7</f>
        <v>13388.767334833688</v>
      </c>
      <c r="I206" s="4">
        <f>IF(D206&lt;=Dau_vao!$B$14,Dau_vao!$B$13,Dau_vao!$B$13*(1+D206^2/1500))</f>
        <v>0.015</v>
      </c>
      <c r="J206" s="4">
        <f>Thiet_ke!$B$8*D206^2</f>
        <v>13.737266505586298</v>
      </c>
      <c r="K206" s="4">
        <f>Thiet_ke!$B$3*I206+J206</f>
        <v>1145.3207665055866</v>
      </c>
      <c r="L206" s="4">
        <f>(H206-J206)/Thiet_ke!$B$3</f>
        <v>0.1772961969001152</v>
      </c>
      <c r="M206" s="4">
        <f>1.05+0.05*B206^2</f>
        <v>1.9760129588726065</v>
      </c>
      <c r="N206" s="4">
        <f>(MIN(H206,Thiet_ke!$B$16)-K206)/(Thiet_ke!$B$2*M206)</f>
        <v>0.8057263412374082</v>
      </c>
      <c r="O206" s="4">
        <f>IF(N206&gt;0,1/N206,"")</f>
        <v>1.2411161815365657</v>
      </c>
    </row>
    <row r="207" spans="1:15">
      <c r="A207">
        <v>2</v>
      </c>
      <c r="B207" s="4">
        <f>Thiet_ke!$B$21</f>
        <v>4.30351707065885</v>
      </c>
      <c r="C207" s="4">
        <f>Dau_vao!$B$21+(Dau_vao!$B$19-Dau_vao!$B$21)*4/200</f>
        <v>836.0</v>
      </c>
      <c r="D207" s="4">
        <f>2*PI()*C207*Thiet_ke!$B$7/(60*Thiet_ke!$B$15*B207)</f>
        <v>2.190725656797554</v>
      </c>
      <c r="E207" s="4">
        <f>D207*3.6</f>
        <v>7.886612364471195</v>
      </c>
      <c r="F207" s="4">
        <f>Thiet_ke!$B$12*(Dau_vao!$B$22*(C207/Dau_vao!$B$19)+Dau_vao!$B$23*(C207/Dau_vao!$B$19)^2-Dau_vao!$B$24*(C207/Dau_vao!$B$19)^3)</f>
        <v>33.068363579023526</v>
      </c>
      <c r="G207" s="4">
        <f>60000*F207/(2*PI()*C207)</f>
        <v>377.7268079111192</v>
      </c>
      <c r="H207" s="4">
        <f>G207*Thiet_ke!$B$15*B207*Dau_vao!$B$10/Thiet_ke!$B$7</f>
        <v>13434.289909378032</v>
      </c>
      <c r="I207" s="4">
        <f>IF(D207&lt;=Dau_vao!$B$14,Dau_vao!$B$13,Dau_vao!$B$13*(1+D207^2/1500))</f>
        <v>0.015</v>
      </c>
      <c r="J207" s="4">
        <f>Thiet_ke!$B$8*D207^2</f>
        <v>14.037890792301896</v>
      </c>
      <c r="K207" s="4">
        <f>Thiet_ke!$B$3*I207+J207</f>
        <v>1145.621390792302</v>
      </c>
      <c r="L207" s="4">
        <f>(H207-J207)/Thiet_ke!$B$3</f>
        <v>0.1778956482475981</v>
      </c>
      <c r="M207" s="4">
        <f>1.05+0.05*B207^2</f>
        <v>1.9760129588726065</v>
      </c>
      <c r="N207" s="4">
        <f>(MIN(H207,Thiet_ke!$B$16)-K207)/(Thiet_ke!$B$2*M207)</f>
        <v>0.808702342833148</v>
      </c>
      <c r="O207" s="4">
        <f>IF(N207&gt;0,1/N207,"")</f>
        <v>1.2365489093263584</v>
      </c>
    </row>
    <row r="208" spans="1:15">
      <c r="A208">
        <v>2</v>
      </c>
      <c r="B208" s="4">
        <f>Thiet_ke!$B$21</f>
        <v>4.30351707065885</v>
      </c>
      <c r="C208" s="4">
        <f>Dau_vao!$B$21+(Dau_vao!$B$19-Dau_vao!$B$21)*5/200</f>
        <v>845.0</v>
      </c>
      <c r="D208" s="4">
        <f>2*PI()*C208*Thiet_ke!$B$7/(60*Thiet_ke!$B$15*B208)</f>
        <v>2.214310023916188</v>
      </c>
      <c r="E208" s="4">
        <f>D208*3.6</f>
        <v>7.971516086098276</v>
      </c>
      <c r="F208" s="4">
        <f>Thiet_ke!$B$12*(Dau_vao!$B$22*(C208/Dau_vao!$B$19)+Dau_vao!$B$23*(C208/Dau_vao!$B$19)^2-Dau_vao!$B$24*(C208/Dau_vao!$B$19)^3)</f>
        <v>33.53671102088513</v>
      </c>
      <c r="G208" s="4">
        <f>60000*F208/(2*PI()*C208)</f>
        <v>378.9964497527796</v>
      </c>
      <c r="H208" s="4">
        <f>G208*Thiet_ke!$B$15*B208*Dau_vao!$B$10/Thiet_ke!$B$7</f>
        <v>13479.446186943469</v>
      </c>
      <c r="I208" s="4">
        <f>IF(D208&lt;=Dau_vao!$B$14,Dau_vao!$B$13,Dau_vao!$B$13*(1+D208^2/1500))</f>
        <v>0.015</v>
      </c>
      <c r="J208" s="4">
        <f>Thiet_ke!$B$8*D208^2</f>
        <v>14.34176897989595</v>
      </c>
      <c r="K208" s="4">
        <f>Thiet_ke!$B$3*I208+J208</f>
        <v>1145.9252689798961</v>
      </c>
      <c r="L208" s="4">
        <f>(H208-J208)/Thiet_ke!$B$3</f>
        <v>0.17849020091708087</v>
      </c>
      <c r="M208" s="4">
        <f>1.05+0.05*B208^2</f>
        <v>1.9760129588726065</v>
      </c>
      <c r="N208" s="4">
        <f>(MIN(H208,Thiet_ke!$B$16)-K208)/(Thiet_ke!$B$2*M208)</f>
        <v>0.8116540247345427</v>
      </c>
      <c r="O208" s="4">
        <f>IF(N208&gt;0,1/N208,"")</f>
        <v>1.2320520437597253</v>
      </c>
    </row>
    <row r="209" spans="1:15">
      <c r="A209">
        <v>2</v>
      </c>
      <c r="B209" s="4">
        <f>Thiet_ke!$B$21</f>
        <v>4.30351707065885</v>
      </c>
      <c r="C209" s="4">
        <f>Dau_vao!$B$21+(Dau_vao!$B$19-Dau_vao!$B$21)*6/200</f>
        <v>854.0</v>
      </c>
      <c r="D209" s="4">
        <f>2*PI()*C209*Thiet_ke!$B$7/(60*Thiet_ke!$B$15*B209)</f>
        <v>2.2378943910348217</v>
      </c>
      <c r="E209" s="4">
        <f>D209*3.6</f>
        <v>8.056419807725359</v>
      </c>
      <c r="F209" s="4">
        <f>Thiet_ke!$B$12*(Dau_vao!$B$22*(C209/Dau_vao!$B$19)+Dau_vao!$B$23*(C209/Dau_vao!$B$19)^2-Dau_vao!$B$24*(C209/Dau_vao!$B$19)^3)</f>
        <v>34.006530631849095</v>
      </c>
      <c r="G209" s="4">
        <f>60000*F209/(2*PI()*C209)</f>
        <v>380.25579256192543</v>
      </c>
      <c r="H209" s="4">
        <f>G209*Thiet_ke!$B$15*B209*Dau_vao!$B$10/Thiet_ke!$B$7</f>
        <v>13524.236167530014</v>
      </c>
      <c r="I209" s="4">
        <f>IF(D209&lt;=Dau_vao!$B$14,Dau_vao!$B$13,Dau_vao!$B$13*(1+D209^2/1500))</f>
        <v>0.015</v>
      </c>
      <c r="J209" s="4">
        <f>Thiet_ke!$B$8*D209^2</f>
        <v>14.648901068368463</v>
      </c>
      <c r="K209" s="4">
        <f>Thiet_ke!$B$3*I209+J209</f>
        <v>1146.2324010683687</v>
      </c>
      <c r="L209" s="4">
        <f>(H209-J209)/Thiet_ke!$B$3</f>
        <v>0.17907985490856368</v>
      </c>
      <c r="M209" s="4">
        <f>1.05+0.05*B209^2</f>
        <v>1.9760129588726065</v>
      </c>
      <c r="N209" s="4">
        <f>(MIN(H209,Thiet_ke!$B$16)-K209)/(Thiet_ke!$B$2*M209)</f>
        <v>0.8145813869415935</v>
      </c>
      <c r="O209" s="4">
        <f>IF(N209&gt;0,1/N209,"")</f>
        <v>1.2276244167014108</v>
      </c>
    </row>
    <row r="210" spans="1:15">
      <c r="A210">
        <v>2</v>
      </c>
      <c r="B210" s="4">
        <f>Thiet_ke!$B$21</f>
        <v>4.30351707065885</v>
      </c>
      <c r="C210" s="4">
        <f>Dau_vao!$B$21+(Dau_vao!$B$19-Dau_vao!$B$21)*7/200</f>
        <v>863.0</v>
      </c>
      <c r="D210" s="4">
        <f>2*PI()*C210*Thiet_ke!$B$7/(60*Thiet_ke!$B$15*B210)</f>
        <v>2.2614787581534554</v>
      </c>
      <c r="E210" s="4">
        <f>D210*3.6</f>
        <v>8.141323529352439</v>
      </c>
      <c r="F210" s="4">
        <f>Thiet_ke!$B$12*(Dau_vao!$B$22*(C210/Dau_vao!$B$19)+Dau_vao!$B$23*(C210/Dau_vao!$B$19)^2-Dau_vao!$B$24*(C210/Dau_vao!$B$19)^3)</f>
        <v>34.47779329208702</v>
      </c>
      <c r="G210" s="4">
        <f>60000*F210/(2*PI()*C210)</f>
        <v>381.50483633855674</v>
      </c>
      <c r="H210" s="4">
        <f>G210*Thiet_ke!$B$15*B210*Dau_vao!$B$10/Thiet_ke!$B$7</f>
        <v>13568.659851137654</v>
      </c>
      <c r="I210" s="4">
        <f>IF(D210&lt;=Dau_vao!$B$14,Dau_vao!$B$13,Dau_vao!$B$13*(1+D210^2/1500))</f>
        <v>0.015</v>
      </c>
      <c r="J210" s="4">
        <f>Thiet_ke!$B$8*D210^2</f>
        <v>14.959287057719438</v>
      </c>
      <c r="K210" s="4">
        <f>Thiet_ke!$B$3*I210+J210</f>
        <v>1146.5427870577196</v>
      </c>
      <c r="L210" s="4">
        <f>(H210-J210)/Thiet_ke!$B$3</f>
        <v>0.17966461022204636</v>
      </c>
      <c r="M210" s="4">
        <f>1.05+0.05*B210^2</f>
        <v>1.9760129588726065</v>
      </c>
      <c r="N210" s="4">
        <f>(MIN(H210,Thiet_ke!$B$16)-K210)/(Thiet_ke!$B$2*M210)</f>
        <v>0.8174844294542996</v>
      </c>
      <c r="O210" s="4">
        <f>IF(N210&gt;0,1/N210,"")</f>
        <v>1.223264889176588</v>
      </c>
    </row>
    <row r="211" spans="1:15">
      <c r="A211">
        <v>2</v>
      </c>
      <c r="B211" s="4">
        <f>Thiet_ke!$B$21</f>
        <v>4.30351707065885</v>
      </c>
      <c r="C211" s="4">
        <f>Dau_vao!$B$21+(Dau_vao!$B$19-Dau_vao!$B$21)*8/200</f>
        <v>872.0</v>
      </c>
      <c r="D211" s="4">
        <f>2*PI()*C211*Thiet_ke!$B$7/(60*Thiet_ke!$B$15*B211)</f>
        <v>2.285063125272089</v>
      </c>
      <c r="E211" s="4">
        <f>D211*3.6</f>
        <v>8.226227250979521</v>
      </c>
      <c r="F211" s="4">
        <f>Thiet_ke!$B$12*(Dau_vao!$B$22*(C211/Dau_vao!$B$19)+Dau_vao!$B$23*(C211/Dau_vao!$B$19)^2-Dau_vao!$B$24*(C211/Dau_vao!$B$19)^3)</f>
        <v>34.9504698817705</v>
      </c>
      <c r="G211" s="4">
        <f>60000*F211/(2*PI()*C211)</f>
        <v>382.7435810826734</v>
      </c>
      <c r="H211" s="4">
        <f>G211*Thiet_ke!$B$15*B211*Dau_vao!$B$10/Thiet_ke!$B$7</f>
        <v>13612.717237766401</v>
      </c>
      <c r="I211" s="4">
        <f>IF(D211&lt;=Dau_vao!$B$14,Dau_vao!$B$13,Dau_vao!$B$13*(1+D211^2/1500))</f>
        <v>0.015</v>
      </c>
      <c r="J211" s="4">
        <f>Thiet_ke!$B$8*D211^2</f>
        <v>15.272926947948877</v>
      </c>
      <c r="K211" s="4">
        <f>Thiet_ke!$B$3*I211+J211</f>
        <v>1146.856426947949</v>
      </c>
      <c r="L211" s="4">
        <f>(H211-J211)/Thiet_ke!$B$3</f>
        <v>0.18024446685752907</v>
      </c>
      <c r="M211" s="4">
        <f>1.05+0.05*B211^2</f>
        <v>1.9760129588726065</v>
      </c>
      <c r="N211" s="4">
        <f>(MIN(H211,Thiet_ke!$B$16)-K211)/(Thiet_ke!$B$2*M211)</f>
        <v>0.8203631522726615</v>
      </c>
      <c r="O211" s="4">
        <f>IF(N211&gt;0,1/N211,"")</f>
        <v>1.2189723505129264</v>
      </c>
    </row>
    <row r="212" spans="1:15">
      <c r="A212">
        <v>2</v>
      </c>
      <c r="B212" s="4">
        <f>Thiet_ke!$B$21</f>
        <v>4.30351707065885</v>
      </c>
      <c r="C212" s="4">
        <f>Dau_vao!$B$21+(Dau_vao!$B$19-Dau_vao!$B$21)*9/200</f>
        <v>881.0</v>
      </c>
      <c r="D212" s="4">
        <f>2*PI()*C212*Thiet_ke!$B$7/(60*Thiet_ke!$B$15*B212)</f>
        <v>2.308647492390724</v>
      </c>
      <c r="E212" s="4">
        <f>D212*3.6</f>
        <v>8.311130972606605</v>
      </c>
      <c r="F212" s="4">
        <f>Thiet_ke!$B$12*(Dau_vao!$B$22*(C212/Dau_vao!$B$19)+Dau_vao!$B$23*(C212/Dau_vao!$B$19)^2-Dau_vao!$B$24*(C212/Dau_vao!$B$19)^3)</f>
        <v>35.42453128107114</v>
      </c>
      <c r="G212" s="4">
        <f>60000*F212/(2*PI()*C212)</f>
        <v>383.9720267942754</v>
      </c>
      <c r="H212" s="4">
        <f>G212*Thiet_ke!$B$15*B212*Dau_vao!$B$10/Thiet_ke!$B$7</f>
        <v>13656.408327416246</v>
      </c>
      <c r="I212" s="4">
        <f>IF(D212&lt;=Dau_vao!$B$14,Dau_vao!$B$13,Dau_vao!$B$13*(1+D212^2/1500))</f>
        <v>0.015</v>
      </c>
      <c r="J212" s="4">
        <f>Thiet_ke!$B$8*D212^2</f>
        <v>15.589820739056787</v>
      </c>
      <c r="K212" s="4">
        <f>Thiet_ke!$B$3*I212+J212</f>
        <v>1147.1733207390569</v>
      </c>
      <c r="L212" s="4">
        <f>(H212-J212)/Thiet_ke!$B$3</f>
        <v>0.18081942481501173</v>
      </c>
      <c r="M212" s="4">
        <f>1.05+0.05*B212^2</f>
        <v>1.9760129588726065</v>
      </c>
      <c r="N212" s="4">
        <f>(MIN(H212,Thiet_ke!$B$16)-K212)/(Thiet_ke!$B$2*M212)</f>
        <v>0.8232175553966787</v>
      </c>
      <c r="O212" s="4">
        <f>IF(N212&gt;0,1/N212,"")</f>
        <v>1.2147457175134417</v>
      </c>
    </row>
    <row r="213" spans="1:15">
      <c r="A213">
        <v>2</v>
      </c>
      <c r="B213" s="4">
        <f>Thiet_ke!$B$21</f>
        <v>4.30351707065885</v>
      </c>
      <c r="C213" s="4">
        <f>Dau_vao!$B$21+(Dau_vao!$B$19-Dau_vao!$B$21)*10/200</f>
        <v>890.0</v>
      </c>
      <c r="D213" s="4">
        <f>2*PI()*C213*Thiet_ke!$B$7/(60*Thiet_ke!$B$15*B213)</f>
        <v>2.3322318595093576</v>
      </c>
      <c r="E213" s="4">
        <f>D213*3.6</f>
        <v>8.396034694233688</v>
      </c>
      <c r="F213" s="4">
        <f>Thiet_ke!$B$12*(Dau_vao!$B$22*(C213/Dau_vao!$B$19)+Dau_vao!$B$23*(C213/Dau_vao!$B$19)^2-Dau_vao!$B$24*(C213/Dau_vao!$B$19)^3)</f>
        <v>35.89994837016054</v>
      </c>
      <c r="G213" s="4">
        <f>60000*F213/(2*PI()*C213)</f>
        <v>385.1901734733628</v>
      </c>
      <c r="H213" s="4">
        <f>G213*Thiet_ke!$B$15*B213*Dau_vao!$B$10/Thiet_ke!$B$7</f>
        <v>13699.733120087192</v>
      </c>
      <c r="I213" s="4">
        <f>IF(D213&lt;=Dau_vao!$B$14,Dau_vao!$B$13,Dau_vao!$B$13*(1+D213^2/1500))</f>
        <v>0.015</v>
      </c>
      <c r="J213" s="4">
        <f>Thiet_ke!$B$8*D213^2</f>
        <v>15.909968431043144</v>
      </c>
      <c r="K213" s="4">
        <f>Thiet_ke!$B$3*I213+J213</f>
        <v>1147.4934684310433</v>
      </c>
      <c r="L213" s="4">
        <f>(H213-J213)/Thiet_ke!$B$3</f>
        <v>0.18138948409449432</v>
      </c>
      <c r="M213" s="4">
        <f>1.05+0.05*B213^2</f>
        <v>1.9760129588726065</v>
      </c>
      <c r="N213" s="4">
        <f>(MIN(H213,Thiet_ke!$B$16)-K213)/(Thiet_ke!$B$2*M213)</f>
        <v>0.8260476388263518</v>
      </c>
      <c r="O213" s="4">
        <f>IF(N213&gt;0,1/N213,"")</f>
        <v>1.210583933658838</v>
      </c>
    </row>
    <row r="214" spans="1:15">
      <c r="A214">
        <v>2</v>
      </c>
      <c r="B214" s="4">
        <f>Thiet_ke!$B$21</f>
        <v>4.30351707065885</v>
      </c>
      <c r="C214" s="4">
        <f>Dau_vao!$B$21+(Dau_vao!$B$19-Dau_vao!$B$21)*11/200</f>
        <v>899.0</v>
      </c>
      <c r="D214" s="4">
        <f>2*PI()*C214*Thiet_ke!$B$7/(60*Thiet_ke!$B$15*B214)</f>
        <v>2.355816226627992</v>
      </c>
      <c r="E214" s="4">
        <f>D214*3.6</f>
        <v>8.480938415860772</v>
      </c>
      <c r="F214" s="4">
        <f>Thiet_ke!$B$12*(Dau_vao!$B$22*(C214/Dau_vao!$B$19)+Dau_vao!$B$23*(C214/Dau_vao!$B$19)^2-Dau_vao!$B$24*(C214/Dau_vao!$B$19)^3)</f>
        <v>36.37669202921032</v>
      </c>
      <c r="G214" s="4">
        <f>60000*F214/(2*PI()*C214)</f>
        <v>386.3980211199358</v>
      </c>
      <c r="H214" s="4">
        <f>G214*Thiet_ke!$B$15*B214*Dau_vao!$B$10/Thiet_ke!$B$7</f>
        <v>13742.691615779238</v>
      </c>
      <c r="I214" s="4">
        <f>IF(D214&lt;=Dau_vao!$B$14,Dau_vao!$B$13,Dau_vao!$B$13*(1+D214^2/1500))</f>
        <v>0.015</v>
      </c>
      <c r="J214" s="4">
        <f>Thiet_ke!$B$8*D214^2</f>
        <v>16.23337002390797</v>
      </c>
      <c r="K214" s="4">
        <f>Thiet_ke!$B$3*I214+J214</f>
        <v>1147.8168700239082</v>
      </c>
      <c r="L214" s="4">
        <f>(H214-J214)/Thiet_ke!$B$3</f>
        <v>0.18195464469597686</v>
      </c>
      <c r="M214" s="4">
        <f>1.05+0.05*B214^2</f>
        <v>1.9760129588726065</v>
      </c>
      <c r="N214" s="4">
        <f>(MIN(H214,Thiet_ke!$B$16)-K214)/(Thiet_ke!$B$2*M214)</f>
        <v>0.8288534025616802</v>
      </c>
      <c r="O214" s="4">
        <f>IF(N214&gt;0,1/N214,"")</f>
        <v>1.206485968338151</v>
      </c>
    </row>
    <row r="215" spans="1:15">
      <c r="A215">
        <v>2</v>
      </c>
      <c r="B215" s="4">
        <f>Thiet_ke!$B$21</f>
        <v>4.30351707065885</v>
      </c>
      <c r="C215" s="4">
        <f>Dau_vao!$B$21+(Dau_vao!$B$19-Dau_vao!$B$21)*12/200</f>
        <v>908.0</v>
      </c>
      <c r="D215" s="4">
        <f>2*PI()*C215*Thiet_ke!$B$7/(60*Thiet_ke!$B$15*B215)</f>
        <v>2.3794005937466256</v>
      </c>
      <c r="E215" s="4">
        <f>D215*3.6</f>
        <v>8.565842137487852</v>
      </c>
      <c r="F215" s="4">
        <f>Thiet_ke!$B$12*(Dau_vao!$B$22*(C215/Dau_vao!$B$19)+Dau_vao!$B$23*(C215/Dau_vao!$B$19)^2-Dau_vao!$B$24*(C215/Dau_vao!$B$19)^3)</f>
        <v>36.854733138392056</v>
      </c>
      <c r="G215" s="4">
        <f>60000*F215/(2*PI()*C215)</f>
        <v>387.59556973399407</v>
      </c>
      <c r="H215" s="4">
        <f>G215*Thiet_ke!$B$15*B215*Dau_vao!$B$10/Thiet_ke!$B$7</f>
        <v>13785.283814492386</v>
      </c>
      <c r="I215" s="4">
        <f>IF(D215&lt;=Dau_vao!$B$14,Dau_vao!$B$13,Dau_vao!$B$13*(1+D215^2/1500))</f>
        <v>0.015</v>
      </c>
      <c r="J215" s="4">
        <f>Thiet_ke!$B$8*D215^2</f>
        <v>16.560025517651248</v>
      </c>
      <c r="K215" s="4">
        <f>Thiet_ke!$B$3*I215+J215</f>
        <v>1148.1435255176514</v>
      </c>
      <c r="L215" s="4">
        <f>(H215-J215)/Thiet_ke!$B$3</f>
        <v>0.18251490661945938</v>
      </c>
      <c r="M215" s="4">
        <f>1.05+0.05*B215^2</f>
        <v>1.9760129588726065</v>
      </c>
      <c r="N215" s="4">
        <f>(MIN(H215,Thiet_ke!$B$16)-K215)/(Thiet_ke!$B$2*M215)</f>
        <v>0.8316348466026642</v>
      </c>
      <c r="O215" s="4">
        <f>IF(N215&gt;0,1/N215,"")</f>
        <v>1.202450816106527</v>
      </c>
    </row>
    <row r="216" spans="1:15">
      <c r="A216">
        <v>2</v>
      </c>
      <c r="B216" s="4">
        <f>Thiet_ke!$B$21</f>
        <v>4.30351707065885</v>
      </c>
      <c r="C216" s="4">
        <f>Dau_vao!$B$21+(Dau_vao!$B$19-Dau_vao!$B$21)*13/200</f>
        <v>917.0</v>
      </c>
      <c r="D216" s="4">
        <f>2*PI()*C216*Thiet_ke!$B$7/(60*Thiet_ke!$B$15*B216)</f>
        <v>2.4029849608652594</v>
      </c>
      <c r="E216" s="4">
        <f>D216*3.6</f>
        <v>8.650745859114934</v>
      </c>
      <c r="F216" s="4">
        <f>Thiet_ke!$B$12*(Dau_vao!$B$22*(C216/Dau_vao!$B$19)+Dau_vao!$B$23*(C216/Dau_vao!$B$19)^2-Dau_vao!$B$24*(C216/Dau_vao!$B$19)^3)</f>
        <v>37.33404257787736</v>
      </c>
      <c r="G216" s="4">
        <f>60000*F216/(2*PI()*C216)</f>
        <v>388.7828193155378</v>
      </c>
      <c r="H216" s="4">
        <f>G216*Thiet_ke!$B$15*B216*Dau_vao!$B$10/Thiet_ke!$B$7</f>
        <v>13827.50971622663</v>
      </c>
      <c r="I216" s="4">
        <f>IF(D216&lt;=Dau_vao!$B$14,Dau_vao!$B$13,Dau_vao!$B$13*(1+D216^2/1500))</f>
        <v>0.015</v>
      </c>
      <c r="J216" s="4">
        <f>Thiet_ke!$B$8*D216^2</f>
        <v>16.88993491227299</v>
      </c>
      <c r="K216" s="4">
        <f>Thiet_ke!$B$3*I216+J216</f>
        <v>1148.4734349122732</v>
      </c>
      <c r="L216" s="4">
        <f>(H216-J216)/Thiet_ke!$B$3</f>
        <v>0.18307026986494176</v>
      </c>
      <c r="M216" s="4">
        <f>1.05+0.05*B216^2</f>
        <v>1.9760129588726065</v>
      </c>
      <c r="N216" s="4">
        <f>(MIN(H216,Thiet_ke!$B$16)-K216)/(Thiet_ke!$B$2*M216)</f>
        <v>0.8343919709493034</v>
      </c>
      <c r="O216" s="4">
        <f>IF(N216&gt;0,1/N216,"")</f>
        <v>1.1984774959690483</v>
      </c>
    </row>
    <row r="217" spans="1:15">
      <c r="A217">
        <v>2</v>
      </c>
      <c r="B217" s="4">
        <f>Thiet_ke!$B$21</f>
        <v>4.30351707065885</v>
      </c>
      <c r="C217" s="4">
        <f>Dau_vao!$B$21+(Dau_vao!$B$19-Dau_vao!$B$21)*14/200</f>
        <v>926.0</v>
      </c>
      <c r="D217" s="4">
        <f>2*PI()*C217*Thiet_ke!$B$7/(60*Thiet_ke!$B$15*B217)</f>
        <v>2.426569327983893</v>
      </c>
      <c r="E217" s="4">
        <f>D217*3.6</f>
        <v>8.735649580742015</v>
      </c>
      <c r="F217" s="4">
        <f>Thiet_ke!$B$12*(Dau_vao!$B$22*(C217/Dau_vao!$B$19)+Dau_vao!$B$23*(C217/Dau_vao!$B$19)^2-Dau_vao!$B$24*(C217/Dau_vao!$B$19)^3)</f>
        <v>37.81459122783783</v>
      </c>
      <c r="G217" s="4">
        <f>60000*F217/(2*PI()*C217)</f>
        <v>389.9597698645668</v>
      </c>
      <c r="H217" s="4">
        <f>G217*Thiet_ke!$B$15*B217*Dau_vao!$B$10/Thiet_ke!$B$7</f>
        <v>13869.369320981978</v>
      </c>
      <c r="I217" s="4">
        <f>IF(D217&lt;=Dau_vao!$B$14,Dau_vao!$B$13,Dau_vao!$B$13*(1+D217^2/1500))</f>
        <v>0.015</v>
      </c>
      <c r="J217" s="4">
        <f>Thiet_ke!$B$8*D217^2</f>
        <v>17.223098207773194</v>
      </c>
      <c r="K217" s="4">
        <f>Thiet_ke!$B$3*I217+J217</f>
        <v>1148.8065982077733</v>
      </c>
      <c r="L217" s="4">
        <f>(H217-J217)/Thiet_ke!$B$3</f>
        <v>0.18362073443242416</v>
      </c>
      <c r="M217" s="4">
        <f>1.05+0.05*B217^2</f>
        <v>1.9760129588726065</v>
      </c>
      <c r="N217" s="4">
        <f>(MIN(H217,Thiet_ke!$B$16)-K217)/(Thiet_ke!$B$2*M217)</f>
        <v>0.8371247756015984</v>
      </c>
      <c r="O217" s="4">
        <f>IF(N217&gt;0,1/N217,"")</f>
        <v>1.1945650506895482</v>
      </c>
    </row>
    <row r="218" spans="1:15">
      <c r="A218">
        <v>2</v>
      </c>
      <c r="B218" s="4">
        <f>Thiet_ke!$B$21</f>
        <v>4.30351707065885</v>
      </c>
      <c r="C218" s="4">
        <f>Dau_vao!$B$21+(Dau_vao!$B$19-Dau_vao!$B$21)*15/200</f>
        <v>935.0</v>
      </c>
      <c r="D218" s="4">
        <f>2*PI()*C218*Thiet_ke!$B$7/(60*Thiet_ke!$B$15*B218)</f>
        <v>2.4501536951025273</v>
      </c>
      <c r="E218" s="4">
        <f>D218*3.6</f>
        <v>8.820553302369099</v>
      </c>
      <c r="F218" s="4">
        <f>Thiet_ke!$B$12*(Dau_vao!$B$22*(C218/Dau_vao!$B$19)+Dau_vao!$B$23*(C218/Dau_vao!$B$19)^2-Dau_vao!$B$24*(C218/Dau_vao!$B$19)^3)</f>
        <v>38.29634996844507</v>
      </c>
      <c r="G218" s="4">
        <f>60000*F218/(2*PI()*C218)</f>
        <v>391.1264213810813</v>
      </c>
      <c r="H218" s="4">
        <f>G218*Thiet_ke!$B$15*B218*Dau_vao!$B$10/Thiet_ke!$B$7</f>
        <v>13910.862628758425</v>
      </c>
      <c r="I218" s="4">
        <f>IF(D218&lt;=Dau_vao!$B$14,Dau_vao!$B$13,Dau_vao!$B$13*(1+D218^2/1500))</f>
        <v>0.015</v>
      </c>
      <c r="J218" s="4">
        <f>Thiet_ke!$B$8*D218^2</f>
        <v>17.559515404151867</v>
      </c>
      <c r="K218" s="4">
        <f>Thiet_ke!$B$3*I218+J218</f>
        <v>1149.143015404152</v>
      </c>
      <c r="L218" s="4">
        <f>(H218-J218)/Thiet_ke!$B$3</f>
        <v>0.1841663003219065</v>
      </c>
      <c r="M218" s="4">
        <f>1.05+0.05*B218^2</f>
        <v>1.9760129588726065</v>
      </c>
      <c r="N218" s="4">
        <f>(MIN(H218,Thiet_ke!$B$16)-K218)/(Thiet_ke!$B$2*M218)</f>
        <v>0.8398332605595489</v>
      </c>
      <c r="O218" s="4">
        <f>IF(N218&gt;0,1/N218,"")</f>
        <v>1.1907125461234271</v>
      </c>
    </row>
    <row r="219" spans="1:15">
      <c r="A219">
        <v>2</v>
      </c>
      <c r="B219" s="4">
        <f>Thiet_ke!$B$21</f>
        <v>4.30351707065885</v>
      </c>
      <c r="C219" s="4">
        <f>Dau_vao!$B$21+(Dau_vao!$B$19-Dau_vao!$B$21)*16/200</f>
        <v>944.0</v>
      </c>
      <c r="D219" s="4">
        <f>2*PI()*C219*Thiet_ke!$B$7/(60*Thiet_ke!$B$15*B219)</f>
        <v>2.473738062221161</v>
      </c>
      <c r="E219" s="4">
        <f>D219*3.6</f>
        <v>8.90545702399618</v>
      </c>
      <c r="F219" s="4">
        <f>Thiet_ke!$B$12*(Dau_vao!$B$22*(C219/Dau_vao!$B$19)+Dau_vao!$B$23*(C219/Dau_vao!$B$19)^2-Dau_vao!$B$24*(C219/Dau_vao!$B$19)^3)</f>
        <v>38.7792896798707</v>
      </c>
      <c r="G219" s="4">
        <f>60000*F219/(2*PI()*C219)</f>
        <v>392.2827738650813</v>
      </c>
      <c r="H219" s="4">
        <f>G219*Thiet_ke!$B$15*B219*Dau_vao!$B$10/Thiet_ke!$B$7</f>
        <v>13951.989639555972</v>
      </c>
      <c r="I219" s="4">
        <f>IF(D219&lt;=Dau_vao!$B$14,Dau_vao!$B$13,Dau_vao!$B$13*(1+D219^2/1500))</f>
        <v>0.015</v>
      </c>
      <c r="J219" s="4">
        <f>Thiet_ke!$B$8*D219^2</f>
        <v>17.899186501408987</v>
      </c>
      <c r="K219" s="4">
        <f>Thiet_ke!$B$3*I219+J219</f>
        <v>1149.4826865014093</v>
      </c>
      <c r="L219" s="4">
        <f>(H219-J219)/Thiet_ke!$B$3</f>
        <v>0.18470696753338875</v>
      </c>
      <c r="M219" s="4">
        <f>1.05+0.05*B219^2</f>
        <v>1.9760129588726065</v>
      </c>
      <c r="N219" s="4">
        <f>(MIN(H219,Thiet_ke!$B$16)-K219)/(Thiet_ke!$B$2*M219)</f>
        <v>0.8425174258231548</v>
      </c>
      <c r="O219" s="4">
        <f>IF(N219&gt;0,1/N219,"")</f>
        <v>1.186919070573504</v>
      </c>
    </row>
    <row r="220" spans="1:15">
      <c r="A220">
        <v>2</v>
      </c>
      <c r="B220" s="4">
        <f>Thiet_ke!$B$21</f>
        <v>4.30351707065885</v>
      </c>
      <c r="C220" s="4">
        <f>Dau_vao!$B$21+(Dau_vao!$B$19-Dau_vao!$B$21)*17/200</f>
        <v>953.0</v>
      </c>
      <c r="D220" s="4">
        <f>2*PI()*C220*Thiet_ke!$B$7/(60*Thiet_ke!$B$15*B220)</f>
        <v>2.4973224293397958</v>
      </c>
      <c r="E220" s="4">
        <f>D220*3.6</f>
        <v>8.990360745623265</v>
      </c>
      <c r="F220" s="4">
        <f>Thiet_ke!$B$12*(Dau_vao!$B$22*(C220/Dau_vao!$B$19)+Dau_vao!$B$23*(C220/Dau_vao!$B$19)^2-Dau_vao!$B$24*(C220/Dau_vao!$B$19)^3)</f>
        <v>39.26338124228629</v>
      </c>
      <c r="G220" s="4">
        <f>60000*F220/(2*PI()*C220)</f>
        <v>393.4288273165666</v>
      </c>
      <c r="H220" s="4">
        <f>G220*Thiet_ke!$B$15*B220*Dau_vao!$B$10/Thiet_ke!$B$7</f>
        <v>13992.750353374624</v>
      </c>
      <c r="I220" s="4">
        <f>IF(D220&lt;=Dau_vao!$B$14,Dau_vao!$B$13,Dau_vao!$B$13*(1+D220^2/1500))</f>
        <v>0.015</v>
      </c>
      <c r="J220" s="4">
        <f>Thiet_ke!$B$8*D220^2</f>
        <v>18.24211149954459</v>
      </c>
      <c r="K220" s="4">
        <f>Thiet_ke!$B$3*I220+J220</f>
        <v>1149.8256114995447</v>
      </c>
      <c r="L220" s="4">
        <f>(H220-J220)/Thiet_ke!$B$3</f>
        <v>0.18524273606687103</v>
      </c>
      <c r="M220" s="4">
        <f>1.05+0.05*B220^2</f>
        <v>1.9760129588726065</v>
      </c>
      <c r="N220" s="4">
        <f>(MIN(H220,Thiet_ke!$B$16)-K220)/(Thiet_ke!$B$2*M220)</f>
        <v>0.8451772713924165</v>
      </c>
      <c r="O220" s="4">
        <f>IF(N220&gt;0,1/N220,"")</f>
        <v>1.1831837341679994</v>
      </c>
    </row>
    <row r="221" spans="1:15">
      <c r="A221">
        <v>2</v>
      </c>
      <c r="B221" s="4">
        <f>Thiet_ke!$B$21</f>
        <v>4.30351707065885</v>
      </c>
      <c r="C221" s="4">
        <f>Dau_vao!$B$21+(Dau_vao!$B$19-Dau_vao!$B$21)*18/200</f>
        <v>962.0</v>
      </c>
      <c r="D221" s="4">
        <f>2*PI()*C221*Thiet_ke!$B$7/(60*Thiet_ke!$B$15*B221)</f>
        <v>2.5209067964584295</v>
      </c>
      <c r="E221" s="4">
        <f>D221*3.6</f>
        <v>9.075264467250346</v>
      </c>
      <c r="F221" s="4">
        <f>Thiet_ke!$B$12*(Dau_vao!$B$22*(C221/Dau_vao!$B$19)+Dau_vao!$B$23*(C221/Dau_vao!$B$19)^2-Dau_vao!$B$24*(C221/Dau_vao!$B$19)^3)</f>
        <v>39.74859553586345</v>
      </c>
      <c r="G221" s="4">
        <f>60000*F221/(2*PI()*C221)</f>
        <v>394.5645817355372</v>
      </c>
      <c r="H221" s="4">
        <f>G221*Thiet_ke!$B$15*B221*Dau_vao!$B$10/Thiet_ke!$B$7</f>
        <v>14033.144770214374</v>
      </c>
      <c r="I221" s="4">
        <f>IF(D221&lt;=Dau_vao!$B$14,Dau_vao!$B$13,Dau_vao!$B$13*(1+D221^2/1500))</f>
        <v>0.015</v>
      </c>
      <c r="J221" s="4">
        <f>Thiet_ke!$B$8*D221^2</f>
        <v>18.588290398558634</v>
      </c>
      <c r="K221" s="4">
        <f>Thiet_ke!$B$3*I221+J221</f>
        <v>1150.1717903985589</v>
      </c>
      <c r="L221" s="4">
        <f>(H221-J221)/Thiet_ke!$B$3</f>
        <v>0.18577360592235323</v>
      </c>
      <c r="M221" s="4">
        <f>1.05+0.05*B221^2</f>
        <v>1.9760129588726065</v>
      </c>
      <c r="N221" s="4">
        <f>(MIN(H221,Thiet_ke!$B$16)-K221)/(Thiet_ke!$B$2*M221)</f>
        <v>0.8478127972673337</v>
      </c>
      <c r="O221" s="4">
        <f>IF(N221&gt;0,1/N221,"")</f>
        <v>1.1795056682597802</v>
      </c>
    </row>
    <row r="222" spans="1:15">
      <c r="A222">
        <v>2</v>
      </c>
      <c r="B222" s="4">
        <f>Thiet_ke!$B$21</f>
        <v>4.30351707065885</v>
      </c>
      <c r="C222" s="4">
        <f>Dau_vao!$B$21+(Dau_vao!$B$19-Dau_vao!$B$21)*19/200</f>
        <v>971.0</v>
      </c>
      <c r="D222" s="4">
        <f>2*PI()*C222*Thiet_ke!$B$7/(60*Thiet_ke!$B$15*B222)</f>
        <v>2.5444911635770633</v>
      </c>
      <c r="E222" s="4">
        <f>D222*3.6</f>
        <v>9.160168188877428</v>
      </c>
      <c r="F222" s="4">
        <f>Thiet_ke!$B$12*(Dau_vao!$B$22*(C222/Dau_vao!$B$19)+Dau_vao!$B$23*(C222/Dau_vao!$B$19)^2-Dau_vao!$B$24*(C222/Dau_vao!$B$19)^3)</f>
        <v>40.234903440773806</v>
      </c>
      <c r="G222" s="4">
        <f>60000*F222/(2*PI()*C222)</f>
        <v>395.6900371219933</v>
      </c>
      <c r="H222" s="4">
        <f>G222*Thiet_ke!$B$15*B222*Dau_vao!$B$10/Thiet_ke!$B$7</f>
        <v>14073.172890075222</v>
      </c>
      <c r="I222" s="4">
        <f>IF(D222&lt;=Dau_vao!$B$14,Dau_vao!$B$13,Dau_vao!$B$13*(1+D222^2/1500))</f>
        <v>0.015</v>
      </c>
      <c r="J222" s="4">
        <f>Thiet_ke!$B$8*D222^2</f>
        <v>18.937723198451142</v>
      </c>
      <c r="K222" s="4">
        <f>Thiet_ke!$B$3*I222+J222</f>
        <v>1150.5212231984513</v>
      </c>
      <c r="L222" s="4">
        <f>(H222-J222)/Thiet_ke!$B$3</f>
        <v>0.18629957709983536</v>
      </c>
      <c r="M222" s="4">
        <f>1.05+0.05*B222^2</f>
        <v>1.9760129588726065</v>
      </c>
      <c r="N222" s="4">
        <f>(MIN(H222,Thiet_ke!$B$16)-K222)/(Thiet_ke!$B$2*M222)</f>
        <v>0.8504240034479063</v>
      </c>
      <c r="O222" s="4">
        <f>IF(N222&gt;0,1/N222,"")</f>
        <v>1.1758840248460323</v>
      </c>
    </row>
    <row r="223" spans="1:15">
      <c r="A223">
        <v>2</v>
      </c>
      <c r="B223" s="4">
        <f>Thiet_ke!$B$21</f>
        <v>4.30351707065885</v>
      </c>
      <c r="C223" s="4">
        <f>Dau_vao!$B$21+(Dau_vao!$B$19-Dau_vao!$B$21)*20/200</f>
        <v>980.0</v>
      </c>
      <c r="D223" s="4">
        <f>2*PI()*C223*Thiet_ke!$B$7/(60*Thiet_ke!$B$15*B223)</f>
        <v>2.568075530695697</v>
      </c>
      <c r="E223" s="4">
        <f>D223*3.6</f>
        <v>9.24507191050451</v>
      </c>
      <c r="F223" s="4">
        <f>Thiet_ke!$B$12*(Dau_vao!$B$22*(C223/Dau_vao!$B$19)+Dau_vao!$B$23*(C223/Dau_vao!$B$19)^2-Dau_vao!$B$24*(C223/Dau_vao!$B$19)^3)</f>
        <v>40.72227583718894</v>
      </c>
      <c r="G223" s="4">
        <f>60000*F223/(2*PI()*C223)</f>
        <v>396.8051934759349</v>
      </c>
      <c r="H223" s="4">
        <f>G223*Thiet_ke!$B$15*B223*Dau_vao!$B$10/Thiet_ke!$B$7</f>
        <v>14112.834712957174</v>
      </c>
      <c r="I223" s="4">
        <f>IF(D223&lt;=Dau_vao!$B$14,Dau_vao!$B$13,Dau_vao!$B$13*(1+D223^2/1500))</f>
        <v>0.015</v>
      </c>
      <c r="J223" s="4">
        <f>Thiet_ke!$B$8*D223^2</f>
        <v>19.29040989922211</v>
      </c>
      <c r="K223" s="4">
        <f>Thiet_ke!$B$3*I223+J223</f>
        <v>1150.8739098992223</v>
      </c>
      <c r="L223" s="4">
        <f>(H223-J223)/Thiet_ke!$B$3</f>
        <v>0.18682064959931746</v>
      </c>
      <c r="M223" s="4">
        <f>1.05+0.05*B223^2</f>
        <v>1.9760129588726065</v>
      </c>
      <c r="N223" s="4">
        <f>(MIN(H223,Thiet_ke!$B$16)-K223)/(Thiet_ke!$B$2*M223)</f>
        <v>0.8530108899341345</v>
      </c>
      <c r="O223" s="4">
        <f>IF(N223&gt;0,1/N223,"")</f>
        <v>1.1723179760075693</v>
      </c>
    </row>
    <row r="224" spans="1:15">
      <c r="A224">
        <v>2</v>
      </c>
      <c r="B224" s="4">
        <f>Thiet_ke!$B$21</f>
        <v>4.30351707065885</v>
      </c>
      <c r="C224" s="4">
        <f>Dau_vao!$B$21+(Dau_vao!$B$19-Dau_vao!$B$21)*21/200</f>
        <v>989.0</v>
      </c>
      <c r="D224" s="4">
        <f>2*PI()*C224*Thiet_ke!$B$7/(60*Thiet_ke!$B$15*B224)</f>
        <v>2.591659897814331</v>
      </c>
      <c r="E224" s="4">
        <f>D224*3.6</f>
        <v>9.32997563213159</v>
      </c>
      <c r="F224" s="4">
        <f>Thiet_ke!$B$12*(Dau_vao!$B$22*(C224/Dau_vao!$B$19)+Dau_vao!$B$23*(C224/Dau_vao!$B$19)^2-Dau_vao!$B$24*(C224/Dau_vao!$B$19)^3)</f>
        <v>41.210683605280444</v>
      </c>
      <c r="G224" s="4">
        <f>60000*F224/(2*PI()*C224)</f>
        <v>397.91005079736175</v>
      </c>
      <c r="H224" s="4">
        <f>G224*Thiet_ke!$B$15*B224*Dau_vao!$B$10/Thiet_ke!$B$7</f>
        <v>14152.130238860225</v>
      </c>
      <c r="I224" s="4">
        <f>IF(D224&lt;=Dau_vao!$B$14,Dau_vao!$B$13,Dau_vao!$B$13*(1+D224^2/1500))</f>
        <v>0.015</v>
      </c>
      <c r="J224" s="4">
        <f>Thiet_ke!$B$8*D224^2</f>
        <v>19.64635050087154</v>
      </c>
      <c r="K224" s="4">
        <f>Thiet_ke!$B$3*I224+J224</f>
        <v>1151.2298505008716</v>
      </c>
      <c r="L224" s="4">
        <f>(H224-J224)/Thiet_ke!$B$3</f>
        <v>0.1873368234207995</v>
      </c>
      <c r="M224" s="4">
        <f>1.05+0.05*B224^2</f>
        <v>1.9760129588726065</v>
      </c>
      <c r="N224" s="4">
        <f>(MIN(H224,Thiet_ke!$B$16)-K224)/(Thiet_ke!$B$2*M224)</f>
        <v>0.8555734567260184</v>
      </c>
      <c r="O224" s="4">
        <f>IF(N224&gt;0,1/N224,"")</f>
        <v>1.1688067133670226</v>
      </c>
    </row>
    <row r="225" spans="1:15">
      <c r="A225">
        <v>2</v>
      </c>
      <c r="B225" s="4">
        <f>Thiet_ke!$B$21</f>
        <v>4.30351707065885</v>
      </c>
      <c r="C225" s="4">
        <f>Dau_vao!$B$21+(Dau_vao!$B$19-Dau_vao!$B$21)*22/200</f>
        <v>998.0</v>
      </c>
      <c r="D225" s="4">
        <f>2*PI()*C225*Thiet_ke!$B$7/(60*Thiet_ke!$B$15*B225)</f>
        <v>2.615244264932965</v>
      </c>
      <c r="E225" s="4">
        <f>D225*3.6</f>
        <v>9.414879353758675</v>
      </c>
      <c r="F225" s="4">
        <f>Thiet_ke!$B$12*(Dau_vao!$B$22*(C225/Dau_vao!$B$19)+Dau_vao!$B$23*(C225/Dau_vao!$B$19)^2-Dau_vao!$B$24*(C225/Dau_vao!$B$19)^3)</f>
        <v>41.70009762521995</v>
      </c>
      <c r="G225" s="4">
        <f>60000*F225/(2*PI()*C225)</f>
        <v>399.0046090862742</v>
      </c>
      <c r="H225" s="4">
        <f>G225*Thiet_ke!$B$15*B225*Dau_vao!$B$10/Thiet_ke!$B$7</f>
        <v>14191.059467784378</v>
      </c>
      <c r="I225" s="4">
        <f>IF(D225&lt;=Dau_vao!$B$14,Dau_vao!$B$13,Dau_vao!$B$13*(1+D225^2/1500))</f>
        <v>0.015</v>
      </c>
      <c r="J225" s="4">
        <f>Thiet_ke!$B$8*D225^2</f>
        <v>20.005545003399437</v>
      </c>
      <c r="K225" s="4">
        <f>Thiet_ke!$B$3*I225+J225</f>
        <v>1151.5890450033996</v>
      </c>
      <c r="L225" s="4">
        <f>(H225-J225)/Thiet_ke!$B$3</f>
        <v>0.18784809856428153</v>
      </c>
      <c r="M225" s="4">
        <f>1.05+0.05*B225^2</f>
        <v>1.9760129588726065</v>
      </c>
      <c r="N225" s="4">
        <f>(MIN(H225,Thiet_ke!$B$16)-K225)/(Thiet_ke!$B$2*M225)</f>
        <v>0.8581117038235576</v>
      </c>
      <c r="O225" s="4">
        <f>IF(N225&gt;0,1/N225,"")</f>
        <v>1.165349447565182</v>
      </c>
    </row>
    <row r="226" spans="1:15">
      <c r="A226">
        <v>2</v>
      </c>
      <c r="B226" s="4">
        <f>Thiet_ke!$B$21</f>
        <v>4.30351707065885</v>
      </c>
      <c r="C226" s="4">
        <f>Dau_vao!$B$21+(Dau_vao!$B$19-Dau_vao!$B$21)*23/200</f>
        <v>1007.0</v>
      </c>
      <c r="D226" s="4">
        <f>2*PI()*C226*Thiet_ke!$B$7/(60*Thiet_ke!$B$15*B226)</f>
        <v>2.638828632051599</v>
      </c>
      <c r="E226" s="4">
        <f>D226*3.6</f>
        <v>9.499783075385755</v>
      </c>
      <c r="F226" s="4">
        <f>Thiet_ke!$B$12*(Dau_vao!$B$22*(C226/Dau_vao!$B$19)+Dau_vao!$B$23*(C226/Dau_vao!$B$19)^2-Dau_vao!$B$24*(C226/Dau_vao!$B$19)^3)</f>
        <v>42.19048877717902</v>
      </c>
      <c r="G226" s="4">
        <f>60000*F226/(2*PI()*C226)</f>
        <v>400.0888683426719</v>
      </c>
      <c r="H226" s="4">
        <f>G226*Thiet_ke!$B$15*B226*Dau_vao!$B$10/Thiet_ke!$B$7</f>
        <v>14229.622399729631</v>
      </c>
      <c r="I226" s="4">
        <f>IF(D226&lt;=Dau_vao!$B$14,Dau_vao!$B$13,Dau_vao!$B$13*(1+D226^2/1500))</f>
        <v>0.015</v>
      </c>
      <c r="J226" s="4">
        <f>Thiet_ke!$B$8*D226^2</f>
        <v>20.36799340680579</v>
      </c>
      <c r="K226" s="4">
        <f>Thiet_ke!$B$3*I226+J226</f>
        <v>1151.9514934068059</v>
      </c>
      <c r="L226" s="4">
        <f>(H226-J226)/Thiet_ke!$B$3</f>
        <v>0.18835447502976346</v>
      </c>
      <c r="M226" s="4">
        <f>1.05+0.05*B226^2</f>
        <v>1.9760129588726065</v>
      </c>
      <c r="N226" s="4">
        <f>(MIN(H226,Thiet_ke!$B$16)-K226)/(Thiet_ke!$B$2*M226)</f>
        <v>0.8606256312267524</v>
      </c>
      <c r="O226" s="4">
        <f>IF(N226&gt;0,1/N226,"")</f>
        <v>1.1619454077547988</v>
      </c>
    </row>
    <row r="227" spans="1:15">
      <c r="A227">
        <v>2</v>
      </c>
      <c r="B227" s="4">
        <f>Thiet_ke!$B$21</f>
        <v>4.30351707065885</v>
      </c>
      <c r="C227" s="4">
        <f>Dau_vao!$B$21+(Dau_vao!$B$19-Dau_vao!$B$21)*24/200</f>
        <v>1016.0</v>
      </c>
      <c r="D227" s="4">
        <f>2*PI()*C227*Thiet_ke!$B$7/(60*Thiet_ke!$B$15*B227)</f>
        <v>2.662412999170233</v>
      </c>
      <c r="E227" s="4">
        <f>D227*3.6</f>
        <v>9.58468679701284</v>
      </c>
      <c r="F227" s="4">
        <f>Thiet_ke!$B$12*(Dau_vao!$B$22*(C227/Dau_vao!$B$19)+Dau_vao!$B$23*(C227/Dau_vao!$B$19)^2-Dau_vao!$B$24*(C227/Dau_vao!$B$19)^3)</f>
        <v>42.681827941329296</v>
      </c>
      <c r="G227" s="4">
        <f>60000*F227/(2*PI()*C227)</f>
        <v>401.1628285665551</v>
      </c>
      <c r="H227" s="4">
        <f>G227*Thiet_ke!$B$15*B227*Dau_vao!$B$10/Thiet_ke!$B$7</f>
        <v>14267.81903469598</v>
      </c>
      <c r="I227" s="4">
        <f>IF(D227&lt;=Dau_vao!$B$14,Dau_vao!$B$13,Dau_vao!$B$13*(1+D227^2/1500))</f>
        <v>0.015</v>
      </c>
      <c r="J227" s="4">
        <f>Thiet_ke!$B$8*D227^2</f>
        <v>20.733695711090608</v>
      </c>
      <c r="K227" s="4">
        <f>Thiet_ke!$B$3*I227+J227</f>
        <v>1152.3171957110908</v>
      </c>
      <c r="L227" s="4">
        <f>(H227-J227)/Thiet_ke!$B$3</f>
        <v>0.18885595281724532</v>
      </c>
      <c r="M227" s="4">
        <f>1.05+0.05*B227^2</f>
        <v>1.9760129588726065</v>
      </c>
      <c r="N227" s="4">
        <f>(MIN(H227,Thiet_ke!$B$16)-K227)/(Thiet_ke!$B$2*M227)</f>
        <v>0.8631152389356025</v>
      </c>
      <c r="O227" s="4">
        <f>IF(N227&gt;0,1/N227,"")</f>
        <v>1.1585938411111874</v>
      </c>
    </row>
    <row r="228" spans="1:15">
      <c r="A228">
        <v>2</v>
      </c>
      <c r="B228" s="4">
        <f>Thiet_ke!$B$21</f>
        <v>4.30351707065885</v>
      </c>
      <c r="C228" s="4">
        <f>Dau_vao!$B$21+(Dau_vao!$B$19-Dau_vao!$B$21)*25/200</f>
        <v>1025.0</v>
      </c>
      <c r="D228" s="4">
        <f>2*PI()*C228*Thiet_ke!$B$7/(60*Thiet_ke!$B$15*B228)</f>
        <v>2.6859973662888668</v>
      </c>
      <c r="E228" s="4">
        <f>D228*3.6</f>
        <v>9.66959051863992</v>
      </c>
      <c r="F228" s="4">
        <f>Thiet_ke!$B$12*(Dau_vao!$B$22*(C228/Dau_vao!$B$19)+Dau_vao!$B$23*(C228/Dau_vao!$B$19)^2-Dau_vao!$B$24*(C228/Dau_vao!$B$19)^3)</f>
        <v>43.17408599784235</v>
      </c>
      <c r="G228" s="4">
        <f>60000*F228/(2*PI()*C228)</f>
        <v>402.22648975792356</v>
      </c>
      <c r="H228" s="4">
        <f>G228*Thiet_ke!$B$15*B228*Dau_vao!$B$10/Thiet_ke!$B$7</f>
        <v>14305.64937268344</v>
      </c>
      <c r="I228" s="4">
        <f>IF(D228&lt;=Dau_vao!$B$14,Dau_vao!$B$13,Dau_vao!$B$13*(1+D228^2/1500))</f>
        <v>0.015</v>
      </c>
      <c r="J228" s="4">
        <f>Thiet_ke!$B$8*D228^2</f>
        <v>21.102651916253883</v>
      </c>
      <c r="K228" s="4">
        <f>Thiet_ke!$B$3*I228+J228</f>
        <v>1152.6861519162542</v>
      </c>
      <c r="L228" s="4">
        <f>(H228-J228)/Thiet_ke!$B$3</f>
        <v>0.18935253192672724</v>
      </c>
      <c r="M228" s="4">
        <f>1.05+0.05*B228^2</f>
        <v>1.9760129588726065</v>
      </c>
      <c r="N228" s="4">
        <f>(MIN(H228,Thiet_ke!$B$16)-K228)/(Thiet_ke!$B$2*M228)</f>
        <v>0.8655805269501089</v>
      </c>
      <c r="O228" s="4">
        <f>IF(N228&gt;0,1/N228,"")</f>
        <v>1.1552940123589899</v>
      </c>
    </row>
    <row r="229" spans="1:15">
      <c r="A229">
        <v>2</v>
      </c>
      <c r="B229" s="4">
        <f>Thiet_ke!$B$21</f>
        <v>4.30351707065885</v>
      </c>
      <c r="C229" s="4">
        <f>Dau_vao!$B$21+(Dau_vao!$B$19-Dau_vao!$B$21)*26/200</f>
        <v>1034.0</v>
      </c>
      <c r="D229" s="4">
        <f>2*PI()*C229*Thiet_ke!$B$7/(60*Thiet_ke!$B$15*B229)</f>
        <v>2.709581733407501</v>
      </c>
      <c r="E229" s="4">
        <f>D229*3.6</f>
        <v>9.754494240267004</v>
      </c>
      <c r="F229" s="4">
        <f>Thiet_ke!$B$12*(Dau_vao!$B$22*(C229/Dau_vao!$B$19)+Dau_vao!$B$23*(C229/Dau_vao!$B$19)^2-Dau_vao!$B$24*(C229/Dau_vao!$B$19)^3)</f>
        <v>43.667233826889785</v>
      </c>
      <c r="G229" s="4">
        <f>60000*F229/(2*PI()*C229)</f>
        <v>403.27985191677743</v>
      </c>
      <c r="H229" s="4">
        <f>G229*Thiet_ke!$B$15*B229*Dau_vao!$B$10/Thiet_ke!$B$7</f>
        <v>14343.113413691988</v>
      </c>
      <c r="I229" s="4">
        <f>IF(D229&lt;=Dau_vao!$B$14,Dau_vao!$B$13,Dau_vao!$B$13*(1+D229^2/1500))</f>
        <v>0.015</v>
      </c>
      <c r="J229" s="4">
        <f>Thiet_ke!$B$8*D229^2</f>
        <v>21.474862022295625</v>
      </c>
      <c r="K229" s="4">
        <f>Thiet_ke!$B$3*I229+J229</f>
        <v>1153.0583620222958</v>
      </c>
      <c r="L229" s="4">
        <f>(H229-J229)/Thiet_ke!$B$3</f>
        <v>0.18984421235820897</v>
      </c>
      <c r="M229" s="4">
        <f>1.05+0.05*B229^2</f>
        <v>1.9760129588726065</v>
      </c>
      <c r="N229" s="4">
        <f>(MIN(H229,Thiet_ke!$B$16)-K229)/(Thiet_ke!$B$2*M229)</f>
        <v>0.86802149527027</v>
      </c>
      <c r="O229" s="4">
        <f>IF(N229&gt;0,1/N229,"")</f>
        <v>1.1520452033145063</v>
      </c>
    </row>
    <row r="230" spans="1:15">
      <c r="A230">
        <v>2</v>
      </c>
      <c r="B230" s="4">
        <f>Thiet_ke!$B$21</f>
        <v>4.30351707065885</v>
      </c>
      <c r="C230" s="4">
        <f>Dau_vao!$B$21+(Dau_vao!$B$19-Dau_vao!$B$21)*27/200</f>
        <v>1043.0</v>
      </c>
      <c r="D230" s="4">
        <f>2*PI()*C230*Thiet_ke!$B$7/(60*Thiet_ke!$B$15*B230)</f>
        <v>2.7331661005261347</v>
      </c>
      <c r="E230" s="4">
        <f>D230*3.6</f>
        <v>9.839397961894086</v>
      </c>
      <c r="F230" s="4">
        <f>Thiet_ke!$B$12*(Dau_vao!$B$22*(C230/Dau_vao!$B$19)+Dau_vao!$B$23*(C230/Dau_vao!$B$19)^2-Dau_vao!$B$24*(C230/Dau_vao!$B$19)^3)</f>
        <v>44.161242308643224</v>
      </c>
      <c r="G230" s="4">
        <f>60000*F230/(2*PI()*C230)</f>
        <v>404.3229150431168</v>
      </c>
      <c r="H230" s="4">
        <f>G230*Thiet_ke!$B$15*B230*Dau_vao!$B$10/Thiet_ke!$B$7</f>
        <v>14380.211157721644</v>
      </c>
      <c r="I230" s="4">
        <f>IF(D230&lt;=Dau_vao!$B$14,Dau_vao!$B$13,Dau_vao!$B$13*(1+D230^2/1500))</f>
        <v>0.015</v>
      </c>
      <c r="J230" s="4">
        <f>Thiet_ke!$B$8*D230^2</f>
        <v>21.85032602921582</v>
      </c>
      <c r="K230" s="4">
        <f>Thiet_ke!$B$3*I230+J230</f>
        <v>1153.433826029216</v>
      </c>
      <c r="L230" s="4">
        <f>(H230-J230)/Thiet_ke!$B$3</f>
        <v>0.19033099411169072</v>
      </c>
      <c r="M230" s="4">
        <f>1.05+0.05*B230^2</f>
        <v>1.9760129588726065</v>
      </c>
      <c r="N230" s="4">
        <f>(MIN(H230,Thiet_ke!$B$16)-K230)/(Thiet_ke!$B$2*M230)</f>
        <v>0.870438143896087</v>
      </c>
      <c r="O230" s="4">
        <f>IF(N230&gt;0,1/N230,"")</f>
        <v>1.1488467124429926</v>
      </c>
    </row>
    <row r="231" spans="1:15">
      <c r="A231">
        <v>2</v>
      </c>
      <c r="B231" s="4">
        <f>Thiet_ke!$B$21</f>
        <v>4.30351707065885</v>
      </c>
      <c r="C231" s="4">
        <f>Dau_vao!$B$21+(Dau_vao!$B$19-Dau_vao!$B$21)*28/200</f>
        <v>1052.0</v>
      </c>
      <c r="D231" s="4">
        <f>2*PI()*C231*Thiet_ke!$B$7/(60*Thiet_ke!$B$15*B231)</f>
        <v>2.756750467644769</v>
      </c>
      <c r="E231" s="4">
        <f>D231*3.6</f>
        <v>9.924301683521168</v>
      </c>
      <c r="F231" s="4">
        <f>Thiet_ke!$B$12*(Dau_vao!$B$22*(C231/Dau_vao!$B$19)+Dau_vao!$B$23*(C231/Dau_vao!$B$19)^2-Dau_vao!$B$24*(C231/Dau_vao!$B$19)^3)</f>
        <v>44.65608232327426</v>
      </c>
      <c r="G231" s="4">
        <f>60000*F231/(2*PI()*C231)</f>
        <v>405.35567913694155</v>
      </c>
      <c r="H231" s="4">
        <f>G231*Thiet_ke!$B$15*B231*Dau_vao!$B$10/Thiet_ke!$B$7</f>
        <v>14416.942604772394</v>
      </c>
      <c r="I231" s="4">
        <f>IF(D231&lt;=Dau_vao!$B$14,Dau_vao!$B$13,Dau_vao!$B$13*(1+D231^2/1500))</f>
        <v>0.015</v>
      </c>
      <c r="J231" s="4">
        <f>Thiet_ke!$B$8*D231^2</f>
        <v>22.229043937014485</v>
      </c>
      <c r="K231" s="4">
        <f>Thiet_ke!$B$3*I231+J231</f>
        <v>1153.8125439370147</v>
      </c>
      <c r="L231" s="4">
        <f>(H231-J231)/Thiet_ke!$B$3</f>
        <v>0.19081287718717235</v>
      </c>
      <c r="M231" s="4">
        <f>1.05+0.05*B231^2</f>
        <v>1.9760129588726065</v>
      </c>
      <c r="N231" s="4">
        <f>(MIN(H231,Thiet_ke!$B$16)-K231)/(Thiet_ke!$B$2*M231)</f>
        <v>0.8728304728275591</v>
      </c>
      <c r="O231" s="4">
        <f>IF(N231&gt;0,1/N231,"")</f>
        <v>1.145697854430393</v>
      </c>
    </row>
    <row r="232" spans="1:15">
      <c r="A232">
        <v>2</v>
      </c>
      <c r="B232" s="4">
        <f>Thiet_ke!$B$21</f>
        <v>4.30351707065885</v>
      </c>
      <c r="C232" s="4">
        <f>Dau_vao!$B$21+(Dau_vao!$B$19-Dau_vao!$B$21)*29/200</f>
        <v>1061.0</v>
      </c>
      <c r="D232" s="4">
        <f>2*PI()*C232*Thiet_ke!$B$7/(60*Thiet_ke!$B$15*B232)</f>
        <v>2.7803348347634027</v>
      </c>
      <c r="E232" s="4">
        <f>D232*3.6</f>
        <v>10.00920540514825</v>
      </c>
      <c r="F232" s="4">
        <f>Thiet_ke!$B$12*(Dau_vao!$B$22*(C232/Dau_vao!$B$19)+Dau_vao!$B$23*(C232/Dau_vao!$B$19)^2-Dau_vao!$B$24*(C232/Dau_vao!$B$19)^3)</f>
        <v>45.151724750954486</v>
      </c>
      <c r="G232" s="4">
        <f>60000*F232/(2*PI()*C232)</f>
        <v>406.3781441982517</v>
      </c>
      <c r="H232" s="4">
        <f>G232*Thiet_ke!$B$15*B232*Dau_vao!$B$10/Thiet_ke!$B$7</f>
        <v>14453.307754844249</v>
      </c>
      <c r="I232" s="4">
        <f>IF(D232&lt;=Dau_vao!$B$14,Dau_vao!$B$13,Dau_vao!$B$13*(1+D232^2/1500))</f>
        <v>0.015</v>
      </c>
      <c r="J232" s="4">
        <f>Thiet_ke!$B$8*D232^2</f>
        <v>22.611015745691603</v>
      </c>
      <c r="K232" s="4">
        <f>Thiet_ke!$B$3*I232+J232</f>
        <v>1154.194515745692</v>
      </c>
      <c r="L232" s="4">
        <f>(H232-J232)/Thiet_ke!$B$3</f>
        <v>0.19128986158465403</v>
      </c>
      <c r="M232" s="4">
        <f>1.05+0.05*B232^2</f>
        <v>1.9760129588726065</v>
      </c>
      <c r="N232" s="4">
        <f>(MIN(H232,Thiet_ke!$B$16)-K232)/(Thiet_ke!$B$2*M232)</f>
        <v>0.875198482064687</v>
      </c>
      <c r="O232" s="4">
        <f>IF(N232&gt;0,1/N232,"")</f>
        <v>1.1425979597689577</v>
      </c>
    </row>
    <row r="233" spans="1:15">
      <c r="A233">
        <v>2</v>
      </c>
      <c r="B233" s="4">
        <f>Thiet_ke!$B$21</f>
        <v>4.30351707065885</v>
      </c>
      <c r="C233" s="4">
        <f>Dau_vao!$B$21+(Dau_vao!$B$19-Dau_vao!$B$21)*30/200</f>
        <v>1070.0</v>
      </c>
      <c r="D233" s="4">
        <f>2*PI()*C233*Thiet_ke!$B$7/(60*Thiet_ke!$B$15*B233)</f>
        <v>2.8039192018820365</v>
      </c>
      <c r="E233" s="4">
        <f>D233*3.6</f>
        <v>10.094109126775331</v>
      </c>
      <c r="F233" s="4">
        <f>Thiet_ke!$B$12*(Dau_vao!$B$22*(C233/Dau_vao!$B$19)+Dau_vao!$B$23*(C233/Dau_vao!$B$19)^2-Dau_vao!$B$24*(C233/Dau_vao!$B$19)^3)</f>
        <v>45.64814047185552</v>
      </c>
      <c r="G233" s="4">
        <f>60000*F233/(2*PI()*C233)</f>
        <v>407.3903102270473</v>
      </c>
      <c r="H233" s="4">
        <f>G233*Thiet_ke!$B$15*B233*Dau_vao!$B$10/Thiet_ke!$B$7</f>
        <v>14489.306607937206</v>
      </c>
      <c r="I233" s="4">
        <f>IF(D233&lt;=Dau_vao!$B$14,Dau_vao!$B$13,Dau_vao!$B$13*(1+D233^2/1500))</f>
        <v>0.015</v>
      </c>
      <c r="J233" s="4">
        <f>Thiet_ke!$B$8*D233^2</f>
        <v>22.99624145524718</v>
      </c>
      <c r="K233" s="4">
        <f>Thiet_ke!$B$3*I233+J233</f>
        <v>1154.5797414552474</v>
      </c>
      <c r="L233" s="4">
        <f>(H233-J233)/Thiet_ke!$B$3</f>
        <v>0.19176194730413562</v>
      </c>
      <c r="M233" s="4">
        <f>1.05+0.05*B233^2</f>
        <v>1.9760129588726065</v>
      </c>
      <c r="N233" s="4">
        <f>(MIN(H233,Thiet_ke!$B$16)-K233)/(Thiet_ke!$B$2*M233)</f>
        <v>0.8775421716074706</v>
      </c>
      <c r="O233" s="4">
        <f>IF(N233&gt;0,1/N233,"")</f>
        <v>1.1395463743562462</v>
      </c>
    </row>
    <row r="234" spans="1:15">
      <c r="A234">
        <v>2</v>
      </c>
      <c r="B234" s="4">
        <f>Thiet_ke!$B$21</f>
        <v>4.30351707065885</v>
      </c>
      <c r="C234" s="4">
        <f>Dau_vao!$B$21+(Dau_vao!$B$19-Dau_vao!$B$21)*31/200</f>
        <v>1079.0</v>
      </c>
      <c r="D234" s="4">
        <f>2*PI()*C234*Thiet_ke!$B$7/(60*Thiet_ke!$B$15*B234)</f>
        <v>2.8275035690006702</v>
      </c>
      <c r="E234" s="4">
        <f>D234*3.6</f>
        <v>10.179012848402413</v>
      </c>
      <c r="F234" s="4">
        <f>Thiet_ke!$B$12*(Dau_vao!$B$22*(C234/Dau_vao!$B$19)+Dau_vao!$B$23*(C234/Dau_vao!$B$19)^2-Dau_vao!$B$24*(C234/Dau_vao!$B$19)^3)</f>
        <v>46.14530036614894</v>
      </c>
      <c r="G234" s="4">
        <f>60000*F234/(2*PI()*C234)</f>
        <v>408.3921772233282</v>
      </c>
      <c r="H234" s="4">
        <f>G234*Thiet_ke!$B$15*B234*Dau_vao!$B$10/Thiet_ke!$B$7</f>
        <v>14524.939164051264</v>
      </c>
      <c r="I234" s="4">
        <f>IF(D234&lt;=Dau_vao!$B$14,Dau_vao!$B$13,Dau_vao!$B$13*(1+D234^2/1500))</f>
        <v>0.015</v>
      </c>
      <c r="J234" s="4">
        <f>Thiet_ke!$B$8*D234^2</f>
        <v>23.38472106568122</v>
      </c>
      <c r="K234" s="4">
        <f>Thiet_ke!$B$3*I234+J234</f>
        <v>1154.9682210656815</v>
      </c>
      <c r="L234" s="4">
        <f>(H234-J234)/Thiet_ke!$B$3</f>
        <v>0.1922291343456172</v>
      </c>
      <c r="M234" s="4">
        <f>1.05+0.05*B234^2</f>
        <v>1.9760129588726065</v>
      </c>
      <c r="N234" s="4">
        <f>(MIN(H234,Thiet_ke!$B$16)-K234)/(Thiet_ke!$B$2*M234)</f>
        <v>0.8798615414559099</v>
      </c>
      <c r="O234" s="4">
        <f>IF(N234&gt;0,1/N234,"")</f>
        <v>1.136542459107028</v>
      </c>
    </row>
    <row r="235" spans="1:15">
      <c r="A235">
        <v>2</v>
      </c>
      <c r="B235" s="4">
        <f>Thiet_ke!$B$21</f>
        <v>4.30351707065885</v>
      </c>
      <c r="C235" s="4">
        <f>Dau_vao!$B$21+(Dau_vao!$B$19-Dau_vao!$B$21)*32/200</f>
        <v>1088.0</v>
      </c>
      <c r="D235" s="4">
        <f>2*PI()*C235*Thiet_ke!$B$7/(60*Thiet_ke!$B$15*B235)</f>
        <v>2.851087936119305</v>
      </c>
      <c r="E235" s="4">
        <f>D235*3.6</f>
        <v>10.263916570029497</v>
      </c>
      <c r="F235" s="4">
        <f>Thiet_ke!$B$12*(Dau_vao!$B$22*(C235/Dau_vao!$B$19)+Dau_vao!$B$23*(C235/Dau_vao!$B$19)^2-Dau_vao!$B$24*(C235/Dau_vao!$B$19)^3)</f>
        <v>46.64317531400637</v>
      </c>
      <c r="G235" s="4">
        <f>60000*F235/(2*PI()*C235)</f>
        <v>409.3837451870946</v>
      </c>
      <c r="H235" s="4">
        <f>G235*Thiet_ke!$B$15*B235*Dau_vao!$B$10/Thiet_ke!$B$7</f>
        <v>14560.205423186417</v>
      </c>
      <c r="I235" s="4">
        <f>IF(D235&lt;=Dau_vao!$B$14,Dau_vao!$B$13,Dau_vao!$B$13*(1+D235^2/1500))</f>
        <v>0.015</v>
      </c>
      <c r="J235" s="4">
        <f>Thiet_ke!$B$8*D235^2</f>
        <v>23.776454576993736</v>
      </c>
      <c r="K235" s="4">
        <f>Thiet_ke!$B$3*I235+J235</f>
        <v>1155.359954576994</v>
      </c>
      <c r="L235" s="4">
        <f>(H235-J235)/Thiet_ke!$B$3</f>
        <v>0.19269142270909864</v>
      </c>
      <c r="M235" s="4">
        <f>1.05+0.05*B235^2</f>
        <v>1.9760129588726065</v>
      </c>
      <c r="N235" s="4">
        <f>(MIN(H235,Thiet_ke!$B$16)-K235)/(Thiet_ke!$B$2*M235)</f>
        <v>0.8821565916100041</v>
      </c>
      <c r="O235" s="4">
        <f>IF(N235&gt;0,1/N235,"")</f>
        <v>1.1335855895776084</v>
      </c>
    </row>
    <row r="236" spans="1:15">
      <c r="A236">
        <v>2</v>
      </c>
      <c r="B236" s="4">
        <f>Thiet_ke!$B$21</f>
        <v>4.30351707065885</v>
      </c>
      <c r="C236" s="4">
        <f>Dau_vao!$B$21+(Dau_vao!$B$19-Dau_vao!$B$21)*33/200</f>
        <v>1097.0</v>
      </c>
      <c r="D236" s="4">
        <f>2*PI()*C236*Thiet_ke!$B$7/(60*Thiet_ke!$B$15*B236)</f>
        <v>2.8746723032379387</v>
      </c>
      <c r="E236" s="4">
        <f>D236*3.6</f>
        <v>10.34882029165658</v>
      </c>
      <c r="F236" s="4">
        <f>Thiet_ke!$B$12*(Dau_vao!$B$22*(C236/Dau_vao!$B$19)+Dau_vao!$B$23*(C236/Dau_vao!$B$19)^2-Dau_vao!$B$24*(C236/Dau_vao!$B$19)^3)</f>
        <v>47.1417361955994</v>
      </c>
      <c r="G236" s="4">
        <f>60000*F236/(2*PI()*C236)</f>
        <v>410.3650141183463</v>
      </c>
      <c r="H236" s="4">
        <f>G236*Thiet_ke!$B$15*B236*Dau_vao!$B$10/Thiet_ke!$B$7</f>
        <v>14595.105385342675</v>
      </c>
      <c r="I236" s="4">
        <f>IF(D236&lt;=Dau_vao!$B$14,Dau_vao!$B$13,Dau_vao!$B$13*(1+D236^2/1500))</f>
        <v>0.015</v>
      </c>
      <c r="J236" s="4">
        <f>Thiet_ke!$B$8*D236^2</f>
        <v>24.171441989184697</v>
      </c>
      <c r="K236" s="4">
        <f>Thiet_ke!$B$3*I236+J236</f>
        <v>1155.7549419891848</v>
      </c>
      <c r="L236" s="4">
        <f>(H236-J236)/Thiet_ke!$B$3</f>
        <v>0.1931488123945801</v>
      </c>
      <c r="M236" s="4">
        <f>1.05+0.05*B236^2</f>
        <v>1.9760129588726065</v>
      </c>
      <c r="N236" s="4">
        <f>(MIN(H236,Thiet_ke!$B$16)-K236)/(Thiet_ke!$B$2*M236)</f>
        <v>0.8844273220697544</v>
      </c>
      <c r="O236" s="4">
        <f>IF(N236&gt;0,1/N236,"")</f>
        <v>1.130675155602136</v>
      </c>
    </row>
    <row r="237" spans="1:15">
      <c r="A237">
        <v>2</v>
      </c>
      <c r="B237" s="4">
        <f>Thiet_ke!$B$21</f>
        <v>4.30351707065885</v>
      </c>
      <c r="C237" s="4">
        <f>Dau_vao!$B$21+(Dau_vao!$B$19-Dau_vao!$B$21)*34/200</f>
        <v>1106.0</v>
      </c>
      <c r="D237" s="4">
        <f>2*PI()*C237*Thiet_ke!$B$7/(60*Thiet_ke!$B$15*B237)</f>
        <v>2.8982566703565724</v>
      </c>
      <c r="E237" s="4">
        <f>D237*3.6</f>
        <v>10.43372401328366</v>
      </c>
      <c r="F237" s="4">
        <f>Thiet_ke!$B$12*(Dau_vao!$B$22*(C237/Dau_vao!$B$19)+Dau_vao!$B$23*(C237/Dau_vao!$B$19)^2-Dau_vao!$B$24*(C237/Dau_vao!$B$19)^3)</f>
        <v>47.64095389109963</v>
      </c>
      <c r="G237" s="4">
        <f>60000*F237/(2*PI()*C237)</f>
        <v>411.33598401708343</v>
      </c>
      <c r="H237" s="4">
        <f>G237*Thiet_ke!$B$15*B237*Dau_vao!$B$10/Thiet_ke!$B$7</f>
        <v>14629.639050520027</v>
      </c>
      <c r="I237" s="4">
        <f>IF(D237&lt;=Dau_vao!$B$14,Dau_vao!$B$13,Dau_vao!$B$13*(1+D237^2/1500))</f>
        <v>0.015</v>
      </c>
      <c r="J237" s="4">
        <f>Thiet_ke!$B$8*D237^2</f>
        <v>24.569683302254123</v>
      </c>
      <c r="K237" s="4">
        <f>Thiet_ke!$B$3*I237+J237</f>
        <v>1156.1531833022543</v>
      </c>
      <c r="L237" s="4">
        <f>(H237-J237)/Thiet_ke!$B$3</f>
        <v>0.19360130340206141</v>
      </c>
      <c r="M237" s="4">
        <f>1.05+0.05*B237^2</f>
        <v>1.9760129588726065</v>
      </c>
      <c r="N237" s="4">
        <f>(MIN(H237,Thiet_ke!$B$16)-K237)/(Thiet_ke!$B$2*M237)</f>
        <v>0.8866737328351596</v>
      </c>
      <c r="O237" s="4">
        <f>IF(N237&gt;0,1/N237,"")</f>
        <v>1.127810560940468</v>
      </c>
    </row>
    <row r="238" spans="1:15">
      <c r="A238">
        <v>2</v>
      </c>
      <c r="B238" s="4">
        <f>Thiet_ke!$B$21</f>
        <v>4.30351707065885</v>
      </c>
      <c r="C238" s="4">
        <f>Dau_vao!$B$21+(Dau_vao!$B$19-Dau_vao!$B$21)*35/200</f>
        <v>1115.0</v>
      </c>
      <c r="D238" s="4">
        <f>2*PI()*C238*Thiet_ke!$B$7/(60*Thiet_ke!$B$15*B238)</f>
        <v>2.9218410374752066</v>
      </c>
      <c r="E238" s="4">
        <f>D238*3.6</f>
        <v>10.518627734910744</v>
      </c>
      <c r="F238" s="4">
        <f>Thiet_ke!$B$12*(Dau_vao!$B$22*(C238/Dau_vao!$B$19)+Dau_vao!$B$23*(C238/Dau_vao!$B$19)^2-Dau_vao!$B$24*(C238/Dau_vao!$B$19)^3)</f>
        <v>48.14079928067868</v>
      </c>
      <c r="G238" s="4">
        <f>60000*F238/(2*PI()*C238)</f>
        <v>412.29665488330613</v>
      </c>
      <c r="H238" s="4">
        <f>G238*Thiet_ke!$B$15*B238*Dau_vao!$B$10/Thiet_ke!$B$7</f>
        <v>14663.806418718488</v>
      </c>
      <c r="I238" s="4">
        <f>IF(D238&lt;=Dau_vao!$B$14,Dau_vao!$B$13,Dau_vao!$B$13*(1+D238^2/1500))</f>
        <v>0.015</v>
      </c>
      <c r="J238" s="4">
        <f>Thiet_ke!$B$8*D238^2</f>
        <v>24.971178516202013</v>
      </c>
      <c r="K238" s="4">
        <f>Thiet_ke!$B$3*I238+J238</f>
        <v>1156.554678516202</v>
      </c>
      <c r="L238" s="4">
        <f>(H238-J238)/Thiet_ke!$B$3</f>
        <v>0.1940488957315428</v>
      </c>
      <c r="M238" s="4">
        <f>1.05+0.05*B238^2</f>
        <v>1.9760129588726065</v>
      </c>
      <c r="N238" s="4">
        <f>(MIN(H238,Thiet_ke!$B$16)-K238)/(Thiet_ke!$B$2*M238)</f>
        <v>0.888895823906221</v>
      </c>
      <c r="O238" s="4">
        <f>IF(N238&gt;0,1/N238,"")</f>
        <v>1.1249912229371668</v>
      </c>
    </row>
    <row r="239" spans="1:15">
      <c r="A239">
        <v>2</v>
      </c>
      <c r="B239" s="4">
        <f>Thiet_ke!$B$21</f>
        <v>4.30351707065885</v>
      </c>
      <c r="C239" s="4">
        <f>Dau_vao!$B$21+(Dau_vao!$B$19-Dau_vao!$B$21)*36/200</f>
        <v>1124.0</v>
      </c>
      <c r="D239" s="4">
        <f>2*PI()*C239*Thiet_ke!$B$7/(60*Thiet_ke!$B$15*B239)</f>
        <v>2.9454254045938404</v>
      </c>
      <c r="E239" s="4">
        <f>D239*3.6</f>
        <v>10.603531456537826</v>
      </c>
      <c r="F239" s="4">
        <f>Thiet_ke!$B$12*(Dau_vao!$B$22*(C239/Dau_vao!$B$19)+Dau_vao!$B$23*(C239/Dau_vao!$B$19)^2-Dau_vao!$B$24*(C239/Dau_vao!$B$19)^3)</f>
        <v>48.64124324450813</v>
      </c>
      <c r="G239" s="4">
        <f>60000*F239/(2*PI()*C239)</f>
        <v>413.2470267170141</v>
      </c>
      <c r="H239" s="4">
        <f>G239*Thiet_ke!$B$15*B239*Dau_vao!$B$10/Thiet_ke!$B$7</f>
        <v>14697.607489938053</v>
      </c>
      <c r="I239" s="4">
        <f>IF(D239&lt;=Dau_vao!$B$14,Dau_vao!$B$13,Dau_vao!$B$13*(1+D239^2/1500))</f>
        <v>0.015</v>
      </c>
      <c r="J239" s="4">
        <f>Thiet_ke!$B$8*D239^2</f>
        <v>25.375927631028357</v>
      </c>
      <c r="K239" s="4">
        <f>Thiet_ke!$B$3*I239+J239</f>
        <v>1156.9594276310286</v>
      </c>
      <c r="L239" s="4">
        <f>(H239-J239)/Thiet_ke!$B$3</f>
        <v>0.1944915893830242</v>
      </c>
      <c r="M239" s="4">
        <f>1.05+0.05*B239^2</f>
        <v>1.9760129588726065</v>
      </c>
      <c r="N239" s="4">
        <f>(MIN(H239,Thiet_ke!$B$16)-K239)/(Thiet_ke!$B$2*M239)</f>
        <v>0.8910935952829381</v>
      </c>
      <c r="O239" s="4">
        <f>IF(N239&gt;0,1/N239,"")</f>
        <v>1.1222165721912547</v>
      </c>
    </row>
    <row r="240" spans="1:15">
      <c r="A240">
        <v>2</v>
      </c>
      <c r="B240" s="4">
        <f>Thiet_ke!$B$21</f>
        <v>4.30351707065885</v>
      </c>
      <c r="C240" s="4">
        <f>Dau_vao!$B$21+(Dau_vao!$B$19-Dau_vao!$B$21)*37/200</f>
        <v>1133.0</v>
      </c>
      <c r="D240" s="4">
        <f>2*PI()*C240*Thiet_ke!$B$7/(60*Thiet_ke!$B$15*B240)</f>
        <v>2.969009771712474</v>
      </c>
      <c r="E240" s="4">
        <f>D240*3.6</f>
        <v>10.688435178164907</v>
      </c>
      <c r="F240" s="4">
        <f>Thiet_ke!$B$12*(Dau_vao!$B$22*(C240/Dau_vao!$B$19)+Dau_vao!$B$23*(C240/Dau_vao!$B$19)^2-Dau_vao!$B$24*(C240/Dau_vao!$B$19)^3)</f>
        <v>49.1422566627596</v>
      </c>
      <c r="G240" s="4">
        <f>60000*F240/(2*PI()*C240)</f>
        <v>414.18709951820756</v>
      </c>
      <c r="H240" s="4">
        <f>G240*Thiet_ke!$B$15*B240*Dau_vao!$B$10/Thiet_ke!$B$7</f>
        <v>14731.04226417871</v>
      </c>
      <c r="I240" s="4">
        <f>IF(D240&lt;=Dau_vao!$B$14,Dau_vao!$B$13,Dau_vao!$B$13*(1+D240^2/1500))</f>
        <v>0.015</v>
      </c>
      <c r="J240" s="4">
        <f>Thiet_ke!$B$8*D240^2</f>
        <v>25.783930646733165</v>
      </c>
      <c r="K240" s="4">
        <f>Thiet_ke!$B$3*I240+J240</f>
        <v>1157.3674306467333</v>
      </c>
      <c r="L240" s="4">
        <f>(H240-J240)/Thiet_ke!$B$3</f>
        <v>0.1949293843565054</v>
      </c>
      <c r="M240" s="4">
        <f>1.05+0.05*B240^2</f>
        <v>1.9760129588726065</v>
      </c>
      <c r="N240" s="4">
        <f>(MIN(H240,Thiet_ke!$B$16)-K240)/(Thiet_ke!$B$2*M240)</f>
        <v>0.8932670469653102</v>
      </c>
      <c r="O240" s="4">
        <f>IF(N240&gt;0,1/N240,"")</f>
        <v>1.1194860522363306</v>
      </c>
    </row>
    <row r="241" spans="1:15">
      <c r="A241">
        <v>2</v>
      </c>
      <c r="B241" s="4">
        <f>Thiet_ke!$B$21</f>
        <v>4.30351707065885</v>
      </c>
      <c r="C241" s="4">
        <f>Dau_vao!$B$21+(Dau_vao!$B$19-Dau_vao!$B$21)*38/200</f>
        <v>1142.0</v>
      </c>
      <c r="D241" s="4">
        <f>2*PI()*C241*Thiet_ke!$B$7/(60*Thiet_ke!$B$15*B241)</f>
        <v>2.992594138831108</v>
      </c>
      <c r="E241" s="4">
        <f>D241*3.6</f>
        <v>10.77333889979199</v>
      </c>
      <c r="F241" s="4">
        <f>Thiet_ke!$B$12*(Dau_vao!$B$22*(C241/Dau_vao!$B$19)+Dau_vao!$B$23*(C241/Dau_vao!$B$19)^2-Dau_vao!$B$24*(C241/Dau_vao!$B$19)^3)</f>
        <v>49.643810415604676</v>
      </c>
      <c r="G241" s="4">
        <f>60000*F241/(2*PI()*C241)</f>
        <v>415.11687328688635</v>
      </c>
      <c r="H241" s="4">
        <f>G241*Thiet_ke!$B$15*B241*Dau_vao!$B$10/Thiet_ke!$B$7</f>
        <v>14764.110741440469</v>
      </c>
      <c r="I241" s="4">
        <f>IF(D241&lt;=Dau_vao!$B$14,Dau_vao!$B$13,Dau_vao!$B$13*(1+D241^2/1500))</f>
        <v>0.015</v>
      </c>
      <c r="J241" s="4">
        <f>Thiet_ke!$B$8*D241^2</f>
        <v>26.19518756331643</v>
      </c>
      <c r="K241" s="4">
        <f>Thiet_ke!$B$3*I241+J241</f>
        <v>1157.7786875633167</v>
      </c>
      <c r="L241" s="4">
        <f>(H241-J241)/Thiet_ke!$B$3</f>
        <v>0.19536228065198658</v>
      </c>
      <c r="M241" s="4">
        <f>1.05+0.05*B241^2</f>
        <v>1.9760129588726065</v>
      </c>
      <c r="N241" s="4">
        <f>(MIN(H241,Thiet_ke!$B$16)-K241)/(Thiet_ke!$B$2*M241)</f>
        <v>0.8954161789533378</v>
      </c>
      <c r="O241" s="4">
        <f>IF(N241&gt;0,1/N241,"")</f>
        <v>1.1167991192306927</v>
      </c>
    </row>
    <row r="242" spans="1:15">
      <c r="A242">
        <v>2</v>
      </c>
      <c r="B242" s="4">
        <f>Thiet_ke!$B$21</f>
        <v>4.30351707065885</v>
      </c>
      <c r="C242" s="4">
        <f>Dau_vao!$B$21+(Dau_vao!$B$19-Dau_vao!$B$21)*39/200</f>
        <v>1151.0</v>
      </c>
      <c r="D242" s="4">
        <f>2*PI()*C242*Thiet_ke!$B$7/(60*Thiet_ke!$B$15*B242)</f>
        <v>3.0161785059497426</v>
      </c>
      <c r="E242" s="4">
        <f>D242*3.6</f>
        <v>10.858242621419073</v>
      </c>
      <c r="F242" s="4">
        <f>Thiet_ke!$B$12*(Dau_vao!$B$22*(C242/Dau_vao!$B$19)+Dau_vao!$B$23*(C242/Dau_vao!$B$19)^2-Dau_vao!$B$24*(C242/Dau_vao!$B$19)^3)</f>
        <v>50.14587538321496</v>
      </c>
      <c r="G242" s="4">
        <f>60000*F242/(2*PI()*C242)</f>
        <v>416.03634802305055</v>
      </c>
      <c r="H242" s="4">
        <f>G242*Thiet_ke!$B$15*B242*Dau_vao!$B$10/Thiet_ke!$B$7</f>
        <v>14796.81292172333</v>
      </c>
      <c r="I242" s="4">
        <f>IF(D242&lt;=Dau_vao!$B$14,Dau_vao!$B$13,Dau_vao!$B$13*(1+D242^2/1500))</f>
        <v>0.015</v>
      </c>
      <c r="J242" s="4">
        <f>Thiet_ke!$B$8*D242^2</f>
        <v>26.609698380778177</v>
      </c>
      <c r="K242" s="4">
        <f>Thiet_ke!$B$3*I242+J242</f>
        <v>1158.1931983807783</v>
      </c>
      <c r="L242" s="4">
        <f>(H242-J242)/Thiet_ke!$B$3</f>
        <v>0.19579027826946777</v>
      </c>
      <c r="M242" s="4">
        <f>1.05+0.05*B242^2</f>
        <v>1.9760129588726065</v>
      </c>
      <c r="N242" s="4">
        <f>(MIN(H242,Thiet_ke!$B$16)-K242)/(Thiet_ke!$B$2*M242)</f>
        <v>0.8975409912470214</v>
      </c>
      <c r="O242" s="4">
        <f>IF(N242&gt;0,1/N242,"")</f>
        <v>1.1141552416571243</v>
      </c>
    </row>
    <row r="243" spans="1:15">
      <c r="A243">
        <v>2</v>
      </c>
      <c r="B243" s="4">
        <f>Thiet_ke!$B$21</f>
        <v>4.30351707065885</v>
      </c>
      <c r="C243" s="4">
        <f>Dau_vao!$B$21+(Dau_vao!$B$19-Dau_vao!$B$21)*40/200</f>
        <v>1160.0</v>
      </c>
      <c r="D243" s="4">
        <f>2*PI()*C243*Thiet_ke!$B$7/(60*Thiet_ke!$B$15*B243)</f>
        <v>3.0397628730683763</v>
      </c>
      <c r="E243" s="4">
        <f>D243*3.6</f>
        <v>10.943146343046156</v>
      </c>
      <c r="F243" s="4">
        <f>Thiet_ke!$B$12*(Dau_vao!$B$22*(C243/Dau_vao!$B$19)+Dau_vao!$B$23*(C243/Dau_vao!$B$19)^2-Dau_vao!$B$24*(C243/Dau_vao!$B$19)^3)</f>
        <v>50.648422445762066</v>
      </c>
      <c r="G243" s="4">
        <f>60000*F243/(2*PI()*C243)</f>
        <v>416.9455237267002</v>
      </c>
      <c r="H243" s="4">
        <f>G243*Thiet_ke!$B$15*B243*Dau_vao!$B$10/Thiet_ke!$B$7</f>
        <v>14829.148805027293</v>
      </c>
      <c r="I243" s="4">
        <f>IF(D243&lt;=Dau_vao!$B$14,Dau_vao!$B$13,Dau_vao!$B$13*(1+D243^2/1500))</f>
        <v>0.015</v>
      </c>
      <c r="J243" s="4">
        <f>Thiet_ke!$B$8*D243^2</f>
        <v>27.02746309911836</v>
      </c>
      <c r="K243" s="4">
        <f>Thiet_ke!$B$3*I243+J243</f>
        <v>1158.6109630991186</v>
      </c>
      <c r="L243" s="4">
        <f>(H243-J243)/Thiet_ke!$B$3</f>
        <v>0.19621337720894885</v>
      </c>
      <c r="M243" s="4">
        <f>1.05+0.05*B243^2</f>
        <v>1.9760129588726065</v>
      </c>
      <c r="N243" s="4">
        <f>(MIN(H243,Thiet_ke!$B$16)-K243)/(Thiet_ke!$B$2*M243)</f>
        <v>0.8996414838463602</v>
      </c>
      <c r="O243" s="4">
        <f>IF(N243&gt;0,1/N243,"")</f>
        <v>1.1115539000320032</v>
      </c>
    </row>
    <row r="244" spans="1:15">
      <c r="A244">
        <v>2</v>
      </c>
      <c r="B244" s="4">
        <f>Thiet_ke!$B$21</f>
        <v>4.30351707065885</v>
      </c>
      <c r="C244" s="4">
        <f>Dau_vao!$B$21+(Dau_vao!$B$19-Dau_vao!$B$21)*41/200</f>
        <v>1169.0</v>
      </c>
      <c r="D244" s="4">
        <f>2*PI()*C244*Thiet_ke!$B$7/(60*Thiet_ke!$B$15*B244)</f>
        <v>3.0633472401870105</v>
      </c>
      <c r="E244" s="4">
        <f>D244*3.6</f>
        <v>11.028050064673238</v>
      </c>
      <c r="F244" s="4">
        <f>Thiet_ke!$B$12*(Dau_vao!$B$22*(C244/Dau_vao!$B$19)+Dau_vao!$B$23*(C244/Dau_vao!$B$19)^2-Dau_vao!$B$24*(C244/Dau_vao!$B$19)^3)</f>
        <v>51.151422483417576</v>
      </c>
      <c r="G244" s="4">
        <f>60000*F244/(2*PI()*C244)</f>
        <v>417.8444003978351</v>
      </c>
      <c r="H244" s="4">
        <f>G244*Thiet_ke!$B$15*B244*Dau_vao!$B$10/Thiet_ke!$B$7</f>
        <v>14861.118391352347</v>
      </c>
      <c r="I244" s="4">
        <f>IF(D244&lt;=Dau_vao!$B$14,Dau_vao!$B$13,Dau_vao!$B$13*(1+D244^2/1500))</f>
        <v>0.015</v>
      </c>
      <c r="J244" s="4">
        <f>Thiet_ke!$B$8*D244^2</f>
        <v>27.44848171833702</v>
      </c>
      <c r="K244" s="4">
        <f>Thiet_ke!$B$3*I244+J244</f>
        <v>1159.0319817183372</v>
      </c>
      <c r="L244" s="4">
        <f>(H244-J244)/Thiet_ke!$B$3</f>
        <v>0.19663157747042984</v>
      </c>
      <c r="M244" s="4">
        <f>1.05+0.05*B244^2</f>
        <v>1.9760129588726065</v>
      </c>
      <c r="N244" s="4">
        <f>(MIN(H244,Thiet_ke!$B$16)-K244)/(Thiet_ke!$B$2*M244)</f>
        <v>0.9017176567513542</v>
      </c>
      <c r="O244" s="4">
        <f>IF(N244&gt;0,1/N244,"")</f>
        <v>1.1089945866234123</v>
      </c>
    </row>
    <row r="245" spans="1:15">
      <c r="A245">
        <v>2</v>
      </c>
      <c r="B245" s="4">
        <f>Thiet_ke!$B$21</f>
        <v>4.30351707065885</v>
      </c>
      <c r="C245" s="4">
        <f>Dau_vao!$B$21+(Dau_vao!$B$19-Dau_vao!$B$21)*42/200</f>
        <v>1178.0</v>
      </c>
      <c r="D245" s="4">
        <f>2*PI()*C245*Thiet_ke!$B$7/(60*Thiet_ke!$B$15*B245)</f>
        <v>3.086931607305644</v>
      </c>
      <c r="E245" s="4">
        <f>D245*3.6</f>
        <v>11.112953786300318</v>
      </c>
      <c r="F245" s="4">
        <f>Thiet_ke!$B$12*(Dau_vao!$B$22*(C245/Dau_vao!$B$19)+Dau_vao!$B$23*(C245/Dau_vao!$B$19)^2-Dau_vao!$B$24*(C245/Dau_vao!$B$19)^3)</f>
        <v>51.65484637635312</v>
      </c>
      <c r="G245" s="4">
        <f>60000*F245/(2*PI()*C245)</f>
        <v>418.73297803645556</v>
      </c>
      <c r="H245" s="4">
        <f>G245*Thiet_ke!$B$15*B245*Dau_vao!$B$10/Thiet_ke!$B$7</f>
        <v>14892.721680698509</v>
      </c>
      <c r="I245" s="4">
        <f>IF(D245&lt;=Dau_vao!$B$14,Dau_vao!$B$13,Dau_vao!$B$13*(1+D245^2/1500))</f>
        <v>0.015</v>
      </c>
      <c r="J245" s="4">
        <f>Thiet_ke!$B$8*D245^2</f>
        <v>27.872754238434126</v>
      </c>
      <c r="K245" s="4">
        <f>Thiet_ke!$B$3*I245+J245</f>
        <v>1159.4562542384342</v>
      </c>
      <c r="L245" s="4">
        <f>(H245-J245)/Thiet_ke!$B$3</f>
        <v>0.1970448790539108</v>
      </c>
      <c r="M245" s="4">
        <f>1.05+0.05*B245^2</f>
        <v>1.9760129588726065</v>
      </c>
      <c r="N245" s="4">
        <f>(MIN(H245,Thiet_ke!$B$16)-K245)/(Thiet_ke!$B$2*M245)</f>
        <v>0.9037695099620041</v>
      </c>
      <c r="O245" s="4">
        <f>IF(N245&gt;0,1/N245,"")</f>
        <v>1.1064768051779503</v>
      </c>
    </row>
    <row r="246" spans="1:15">
      <c r="A246">
        <v>2</v>
      </c>
      <c r="B246" s="4">
        <f>Thiet_ke!$B$21</f>
        <v>4.30351707065885</v>
      </c>
      <c r="C246" s="4">
        <f>Dau_vao!$B$21+(Dau_vao!$B$19-Dau_vao!$B$21)*43/200</f>
        <v>1187.0</v>
      </c>
      <c r="D246" s="4">
        <f>2*PI()*C246*Thiet_ke!$B$7/(60*Thiet_ke!$B$15*B246)</f>
        <v>3.110515974424278</v>
      </c>
      <c r="E246" s="4">
        <f>D246*3.6</f>
        <v>11.1978575079274</v>
      </c>
      <c r="F246" s="4">
        <f>Thiet_ke!$B$12*(Dau_vao!$B$22*(C246/Dau_vao!$B$19)+Dau_vao!$B$23*(C246/Dau_vao!$B$19)^2-Dau_vao!$B$24*(C246/Dau_vao!$B$19)^3)</f>
        <v>52.15866500474027</v>
      </c>
      <c r="G246" s="4">
        <f>60000*F246/(2*PI()*C246)</f>
        <v>419.61125664256133</v>
      </c>
      <c r="H246" s="4">
        <f>G246*Thiet_ke!$B$15*B246*Dau_vao!$B$10/Thiet_ke!$B$7</f>
        <v>14923.95867306577</v>
      </c>
      <c r="I246" s="4">
        <f>IF(D246&lt;=Dau_vao!$B$14,Dau_vao!$B$13,Dau_vao!$B$13*(1+D246^2/1500))</f>
        <v>0.015</v>
      </c>
      <c r="J246" s="4">
        <f>Thiet_ke!$B$8*D246^2</f>
        <v>28.300280659409704</v>
      </c>
      <c r="K246" s="4">
        <f>Thiet_ke!$B$3*I246+J246</f>
        <v>1159.88378065941</v>
      </c>
      <c r="L246" s="4">
        <f>(H246-J246)/Thiet_ke!$B$3</f>
        <v>0.19745328195939174</v>
      </c>
      <c r="M246" s="4">
        <f>1.05+0.05*B246^2</f>
        <v>1.9760129588726065</v>
      </c>
      <c r="N246" s="4">
        <f>(MIN(H246,Thiet_ke!$B$16)-K246)/(Thiet_ke!$B$2*M246)</f>
        <v>0.9057970434783095</v>
      </c>
      <c r="O246" s="4">
        <f>IF(N246&gt;0,1/N246,"")</f>
        <v>1.1040000706559452</v>
      </c>
    </row>
    <row r="247" spans="1:15">
      <c r="A247">
        <v>2</v>
      </c>
      <c r="B247" s="4">
        <f>Thiet_ke!$B$21</f>
        <v>4.30351707065885</v>
      </c>
      <c r="C247" s="4">
        <f>Dau_vao!$B$21+(Dau_vao!$B$19-Dau_vao!$B$21)*44/200</f>
        <v>1196.0</v>
      </c>
      <c r="D247" s="4">
        <f>2*PI()*C247*Thiet_ke!$B$7/(60*Thiet_ke!$B$15*B247)</f>
        <v>3.134100341542912</v>
      </c>
      <c r="E247" s="4">
        <f>D247*3.6</f>
        <v>11.282761229554483</v>
      </c>
      <c r="F247" s="4">
        <f>Thiet_ke!$B$12*(Dau_vao!$B$22*(C247/Dau_vao!$B$19)+Dau_vao!$B$23*(C247/Dau_vao!$B$19)^2-Dau_vao!$B$24*(C247/Dau_vao!$B$19)^3)</f>
        <v>52.66284924875066</v>
      </c>
      <c r="G247" s="4">
        <f>60000*F247/(2*PI()*C247)</f>
        <v>420.4792362161526</v>
      </c>
      <c r="H247" s="4">
        <f>G247*Thiet_ke!$B$15*B247*Dau_vao!$B$10/Thiet_ke!$B$7</f>
        <v>14954.829368454131</v>
      </c>
      <c r="I247" s="4">
        <f>IF(D247&lt;=Dau_vao!$B$14,Dau_vao!$B$13,Dau_vao!$B$13*(1+D247^2/1500))</f>
        <v>0.015</v>
      </c>
      <c r="J247" s="4">
        <f>Thiet_ke!$B$8*D247^2</f>
        <v>28.73106098126374</v>
      </c>
      <c r="K247" s="4">
        <f>Thiet_ke!$B$3*I247+J247</f>
        <v>1160.3145609812639</v>
      </c>
      <c r="L247" s="4">
        <f>(H247-J247)/Thiet_ke!$B$3</f>
        <v>0.19785678618687264</v>
      </c>
      <c r="M247" s="4">
        <f>1.05+0.05*B247^2</f>
        <v>1.9760129588726065</v>
      </c>
      <c r="N247" s="4">
        <f>(MIN(H247,Thiet_ke!$B$16)-K247)/(Thiet_ke!$B$2*M247)</f>
        <v>0.9078002573002704</v>
      </c>
      <c r="O247" s="4">
        <f>IF(N247&gt;0,1/N247,"")</f>
        <v>1.1015639089747835</v>
      </c>
    </row>
    <row r="248" spans="1:15">
      <c r="A248">
        <v>2</v>
      </c>
      <c r="B248" s="4">
        <f>Thiet_ke!$B$21</f>
        <v>4.30351707065885</v>
      </c>
      <c r="C248" s="4">
        <f>Dau_vao!$B$21+(Dau_vao!$B$19-Dau_vao!$B$21)*45/200</f>
        <v>1205.0</v>
      </c>
      <c r="D248" s="4">
        <f>2*PI()*C248*Thiet_ke!$B$7/(60*Thiet_ke!$B$15*B248)</f>
        <v>3.1576847086615456</v>
      </c>
      <c r="E248" s="4">
        <f>D248*3.6</f>
        <v>11.367664951181565</v>
      </c>
      <c r="F248" s="4">
        <f>Thiet_ke!$B$12*(Dau_vao!$B$22*(C248/Dau_vao!$B$19)+Dau_vao!$B$23*(C248/Dau_vao!$B$19)^2-Dau_vao!$B$24*(C248/Dau_vao!$B$19)^3)</f>
        <v>53.16736998855586</v>
      </c>
      <c r="G248" s="4">
        <f>60000*F248/(2*PI()*C248)</f>
        <v>421.3369167572292</v>
      </c>
      <c r="H248" s="4">
        <f>G248*Thiet_ke!$B$15*B248*Dau_vao!$B$10/Thiet_ke!$B$7</f>
        <v>14985.333766863596</v>
      </c>
      <c r="I248" s="4">
        <f>IF(D248&lt;=Dau_vao!$B$14,Dau_vao!$B$13,Dau_vao!$B$13*(1+D248^2/1500))</f>
        <v>0.015</v>
      </c>
      <c r="J248" s="4">
        <f>Thiet_ke!$B$8*D248^2</f>
        <v>29.165095203996234</v>
      </c>
      <c r="K248" s="4">
        <f>Thiet_ke!$B$3*I248+J248</f>
        <v>1160.7485952039965</v>
      </c>
      <c r="L248" s="4">
        <f>(H248-J248)/Thiet_ke!$B$3</f>
        <v>0.1982553917363535</v>
      </c>
      <c r="M248" s="4">
        <f>1.05+0.05*B248^2</f>
        <v>1.9760129588726065</v>
      </c>
      <c r="N248" s="4">
        <f>(MIN(H248,Thiet_ke!$B$16)-K248)/(Thiet_ke!$B$2*M248)</f>
        <v>0.9097791514278869</v>
      </c>
      <c r="O248" s="4">
        <f>IF(N248&gt;0,1/N248,"")</f>
        <v>1.0991678567600858</v>
      </c>
    </row>
    <row r="249" spans="1:15">
      <c r="A249">
        <v>2</v>
      </c>
      <c r="B249" s="4">
        <f>Thiet_ke!$B$21</f>
        <v>4.30351707065885</v>
      </c>
      <c r="C249" s="4">
        <f>Dau_vao!$B$21+(Dau_vao!$B$19-Dau_vao!$B$21)*46/200</f>
        <v>1214.0</v>
      </c>
      <c r="D249" s="4">
        <f>2*PI()*C249*Thiet_ke!$B$7/(60*Thiet_ke!$B$15*B249)</f>
        <v>3.18126907578018</v>
      </c>
      <c r="E249" s="4">
        <f>D249*3.6</f>
        <v>11.452568672808647</v>
      </c>
      <c r="F249" s="4">
        <f>Thiet_ke!$B$12*(Dau_vao!$B$22*(C249/Dau_vao!$B$19)+Dau_vao!$B$23*(C249/Dau_vao!$B$19)^2-Dau_vao!$B$24*(C249/Dau_vao!$B$19)^3)</f>
        <v>53.67219810432749</v>
      </c>
      <c r="G249" s="4">
        <f>60000*F249/(2*PI()*C249)</f>
        <v>422.1842982657912</v>
      </c>
      <c r="H249" s="4">
        <f>G249*Thiet_ke!$B$15*B249*Dau_vao!$B$10/Thiet_ke!$B$7</f>
        <v>15015.471868294164</v>
      </c>
      <c r="I249" s="4">
        <f>IF(D249&lt;=Dau_vao!$B$14,Dau_vao!$B$13,Dau_vao!$B$13*(1+D249^2/1500))</f>
        <v>0.015</v>
      </c>
      <c r="J249" s="4">
        <f>Thiet_ke!$B$8*D249^2</f>
        <v>29.602383327607193</v>
      </c>
      <c r="K249" s="4">
        <f>Thiet_ke!$B$3*I249+J249</f>
        <v>1161.1858833276074</v>
      </c>
      <c r="L249" s="4">
        <f>(H249-J249)/Thiet_ke!$B$3</f>
        <v>0.19864909860783436</v>
      </c>
      <c r="M249" s="4">
        <f>1.05+0.05*B249^2</f>
        <v>1.9760129588726065</v>
      </c>
      <c r="N249" s="4">
        <f>(MIN(H249,Thiet_ke!$B$16)-K249)/(Thiet_ke!$B$2*M249)</f>
        <v>0.9117337258611593</v>
      </c>
      <c r="O249" s="4">
        <f>IF(N249&gt;0,1/N249,"")</f>
        <v>1.0968114611044695</v>
      </c>
    </row>
    <row r="250" spans="1:15">
      <c r="A250">
        <v>2</v>
      </c>
      <c r="B250" s="4">
        <f>Thiet_ke!$B$21</f>
        <v>4.30351707065885</v>
      </c>
      <c r="C250" s="4">
        <f>Dau_vao!$B$21+(Dau_vao!$B$19-Dau_vao!$B$21)*47/200</f>
        <v>1223.0</v>
      </c>
      <c r="D250" s="4">
        <f>2*PI()*C250*Thiet_ke!$B$7/(60*Thiet_ke!$B$15*B250)</f>
        <v>3.204853442898814</v>
      </c>
      <c r="E250" s="4">
        <f>D250*3.6</f>
        <v>11.537472394435731</v>
      </c>
      <c r="F250" s="4">
        <f>Thiet_ke!$B$12*(Dau_vao!$B$22*(C250/Dau_vao!$B$19)+Dau_vao!$B$23*(C250/Dau_vao!$B$19)^2-Dau_vao!$B$24*(C250/Dau_vao!$B$19)^3)</f>
        <v>54.177304476237154</v>
      </c>
      <c r="G250" s="4">
        <f>60000*F250/(2*PI()*C250)</f>
        <v>423.02138074183864</v>
      </c>
      <c r="H250" s="4">
        <f>G250*Thiet_ke!$B$15*B250*Dau_vao!$B$10/Thiet_ke!$B$7</f>
        <v>15045.243672745828</v>
      </c>
      <c r="I250" s="4">
        <f>IF(D250&lt;=Dau_vao!$B$14,Dau_vao!$B$13,Dau_vao!$B$13*(1+D250^2/1500))</f>
        <v>0.015</v>
      </c>
      <c r="J250" s="4">
        <f>Thiet_ke!$B$8*D250^2</f>
        <v>30.04292535209662</v>
      </c>
      <c r="K250" s="4">
        <f>Thiet_ke!$B$3*I250+J250</f>
        <v>1161.6264253520967</v>
      </c>
      <c r="L250" s="4">
        <f>(H250-J250)/Thiet_ke!$B$3</f>
        <v>0.1990379068013151</v>
      </c>
      <c r="M250" s="4">
        <f>1.05+0.05*B250^2</f>
        <v>1.9760129588726065</v>
      </c>
      <c r="N250" s="4">
        <f>(MIN(H250,Thiet_ke!$B$16)-K250)/(Thiet_ke!$B$2*M250)</f>
        <v>0.9136639806000868</v>
      </c>
      <c r="O250" s="4">
        <f>IF(N250&gt;0,1/N250,"")</f>
        <v>1.0944942793336434</v>
      </c>
    </row>
    <row r="251" spans="1:15">
      <c r="A251">
        <v>2</v>
      </c>
      <c r="B251" s="4">
        <f>Thiet_ke!$B$21</f>
        <v>4.30351707065885</v>
      </c>
      <c r="C251" s="4">
        <f>Dau_vao!$B$21+(Dau_vao!$B$19-Dau_vao!$B$21)*48/200</f>
        <v>1232.0</v>
      </c>
      <c r="D251" s="4">
        <f>2*PI()*C251*Thiet_ke!$B$7/(60*Thiet_ke!$B$15*B251)</f>
        <v>3.228437810017448</v>
      </c>
      <c r="E251" s="4">
        <f>D251*3.6</f>
        <v>11.622376116062812</v>
      </c>
      <c r="F251" s="4">
        <f>Thiet_ke!$B$12*(Dau_vao!$B$22*(C251/Dau_vao!$B$19)+Dau_vao!$B$23*(C251/Dau_vao!$B$19)^2-Dau_vao!$B$24*(C251/Dau_vao!$B$19)^3)</f>
        <v>54.682659984456436</v>
      </c>
      <c r="G251" s="4">
        <f>60000*F251/(2*PI()*C251)</f>
        <v>423.84816418537145</v>
      </c>
      <c r="H251" s="4">
        <f>G251*Thiet_ke!$B$15*B251*Dau_vao!$B$10/Thiet_ke!$B$7</f>
        <v>15074.649180218594</v>
      </c>
      <c r="I251" s="4">
        <f>IF(D251&lt;=Dau_vao!$B$14,Dau_vao!$B$13,Dau_vao!$B$13*(1+D251^2/1500))</f>
        <v>0.015</v>
      </c>
      <c r="J251" s="4">
        <f>Thiet_ke!$B$8*D251^2</f>
        <v>30.486721277464493</v>
      </c>
      <c r="K251" s="4">
        <f>Thiet_ke!$B$3*I251+J251</f>
        <v>1162.0702212774647</v>
      </c>
      <c r="L251" s="4">
        <f>(H251-J251)/Thiet_ke!$B$3</f>
        <v>0.1994218163167958</v>
      </c>
      <c r="M251" s="4">
        <f>1.05+0.05*B251^2</f>
        <v>1.9760129588726065</v>
      </c>
      <c r="N251" s="4">
        <f>(MIN(H251,Thiet_ke!$B$16)-K251)/(Thiet_ke!$B$2*M251)</f>
        <v>0.9155699156446699</v>
      </c>
      <c r="O251" s="4">
        <f>IF(N251&gt;0,1/N251,"")</f>
        <v>1.092215878779592</v>
      </c>
    </row>
    <row r="252" spans="1:15">
      <c r="A252">
        <v>2</v>
      </c>
      <c r="B252" s="4">
        <f>Thiet_ke!$B$21</f>
        <v>4.30351707065885</v>
      </c>
      <c r="C252" s="4">
        <f>Dau_vao!$B$21+(Dau_vao!$B$19-Dau_vao!$B$21)*49/200</f>
        <v>1241.0</v>
      </c>
      <c r="D252" s="4">
        <f>2*PI()*C252*Thiet_ke!$B$7/(60*Thiet_ke!$B$15*B252)</f>
        <v>3.2520221771360815</v>
      </c>
      <c r="E252" s="4">
        <f>D252*3.6</f>
        <v>11.707279837689894</v>
      </c>
      <c r="F252" s="4">
        <f>Thiet_ke!$B$12*(Dau_vao!$B$22*(C252/Dau_vao!$B$19)+Dau_vao!$B$23*(C252/Dau_vao!$B$19)^2-Dau_vao!$B$24*(C252/Dau_vao!$B$19)^3)</f>
        <v>55.188235509156954</v>
      </c>
      <c r="G252" s="4">
        <f>60000*F252/(2*PI()*C252)</f>
        <v>424.66464859638967</v>
      </c>
      <c r="H252" s="4">
        <f>G252*Thiet_ke!$B$15*B252*Dau_vao!$B$10/Thiet_ke!$B$7</f>
        <v>15103.688390712457</v>
      </c>
      <c r="I252" s="4">
        <f>IF(D252&lt;=Dau_vao!$B$14,Dau_vao!$B$13,Dau_vao!$B$13*(1+D252^2/1500))</f>
        <v>0.015</v>
      </c>
      <c r="J252" s="4">
        <f>Thiet_ke!$B$8*D252^2</f>
        <v>30.933771103710836</v>
      </c>
      <c r="K252" s="4">
        <f>Thiet_ke!$B$3*I252+J252</f>
        <v>1162.517271103711</v>
      </c>
      <c r="L252" s="4">
        <f>(H252-J252)/Thiet_ke!$B$3</f>
        <v>0.19980082715427644</v>
      </c>
      <c r="M252" s="4">
        <f>1.05+0.05*B252^2</f>
        <v>1.9760129588726065</v>
      </c>
      <c r="N252" s="4">
        <f>(MIN(H252,Thiet_ke!$B$16)-K252)/(Thiet_ke!$B$2*M252)</f>
        <v>0.9174515309949086</v>
      </c>
      <c r="O252" s="4">
        <f>IF(N252&gt;0,1/N252,"")</f>
        <v>1.0899758365606231</v>
      </c>
    </row>
    <row r="253" spans="1:15">
      <c r="A253">
        <v>2</v>
      </c>
      <c r="B253" s="4">
        <f>Thiet_ke!$B$21</f>
        <v>4.30351707065885</v>
      </c>
      <c r="C253" s="4">
        <f>Dau_vao!$B$21+(Dau_vao!$B$19-Dau_vao!$B$21)*50/200</f>
        <v>1250.0</v>
      </c>
      <c r="D253" s="4">
        <f>2*PI()*C253*Thiet_ke!$B$7/(60*Thiet_ke!$B$15*B253)</f>
        <v>3.2756065442547158</v>
      </c>
      <c r="E253" s="4">
        <f>D253*3.6</f>
        <v>11.792183559316976</v>
      </c>
      <c r="F253" s="4">
        <f>Thiet_ke!$B$12*(Dau_vao!$B$22*(C253/Dau_vao!$B$19)+Dau_vao!$B$23*(C253/Dau_vao!$B$19)^2-Dau_vao!$B$24*(C253/Dau_vao!$B$19)^3)</f>
        <v>55.69400193051032</v>
      </c>
      <c r="G253" s="4">
        <f>60000*F253/(2*PI()*C253)</f>
        <v>425.47083397489337</v>
      </c>
      <c r="H253" s="4">
        <f>G253*Thiet_ke!$B$15*B253*Dau_vao!$B$10/Thiet_ke!$B$7</f>
        <v>15132.361304227423</v>
      </c>
      <c r="I253" s="4">
        <f>IF(D253&lt;=Dau_vao!$B$14,Dau_vao!$B$13,Dau_vao!$B$13*(1+D253^2/1500))</f>
        <v>0.015</v>
      </c>
      <c r="J253" s="4">
        <f>Thiet_ke!$B$8*D253^2</f>
        <v>31.38407483083564</v>
      </c>
      <c r="K253" s="4">
        <f>Thiet_ke!$B$3*I253+J253</f>
        <v>1162.967574830836</v>
      </c>
      <c r="L253" s="4">
        <f>(H253-J253)/Thiet_ke!$B$3</f>
        <v>0.20017493931375704</v>
      </c>
      <c r="M253" s="4">
        <f>1.05+0.05*B253^2</f>
        <v>1.9760129588726065</v>
      </c>
      <c r="N253" s="4">
        <f>(MIN(H253,Thiet_ke!$B$16)-K253)/(Thiet_ke!$B$2*M253)</f>
        <v>0.9193088266508026</v>
      </c>
      <c r="O253" s="4">
        <f>IF(N253&gt;0,1/N253,"")</f>
        <v>1.0877737393680522</v>
      </c>
    </row>
    <row r="254" spans="1:15">
      <c r="A254">
        <v>2</v>
      </c>
      <c r="B254" s="4">
        <f>Thiet_ke!$B$21</f>
        <v>4.30351707065885</v>
      </c>
      <c r="C254" s="4">
        <f>Dau_vao!$B$21+(Dau_vao!$B$19-Dau_vao!$B$21)*51/200</f>
        <v>1259.0</v>
      </c>
      <c r="D254" s="4">
        <f>2*PI()*C254*Thiet_ke!$B$7/(60*Thiet_ke!$B$15*B254)</f>
        <v>3.2991909113733495</v>
      </c>
      <c r="E254" s="4">
        <f>D254*3.6</f>
        <v>11.877087280944059</v>
      </c>
      <c r="F254" s="4">
        <f>Thiet_ke!$B$12*(Dau_vao!$B$22*(C254/Dau_vao!$B$19)+Dau_vao!$B$23*(C254/Dau_vao!$B$19)^2-Dau_vao!$B$24*(C254/Dau_vao!$B$19)^3)</f>
        <v>56.199930128688095</v>
      </c>
      <c r="G254" s="4">
        <f>60000*F254/(2*PI()*C254)</f>
        <v>426.2667203208824</v>
      </c>
      <c r="H254" s="4">
        <f>G254*Thiet_ke!$B$15*B254*Dau_vao!$B$10/Thiet_ke!$B$7</f>
        <v>15160.66792076349</v>
      </c>
      <c r="I254" s="4">
        <f>IF(D254&lt;=Dau_vao!$B$14,Dau_vao!$B$13,Dau_vao!$B$13*(1+D254^2/1500))</f>
        <v>0.015</v>
      </c>
      <c r="J254" s="4">
        <f>Thiet_ke!$B$8*D254^2</f>
        <v>31.837632458838904</v>
      </c>
      <c r="K254" s="4">
        <f>Thiet_ke!$B$3*I254+J254</f>
        <v>1163.421132458839</v>
      </c>
      <c r="L254" s="4">
        <f>(H254-J254)/Thiet_ke!$B$3</f>
        <v>0.2005441527952376</v>
      </c>
      <c r="M254" s="4">
        <f>1.05+0.05*B254^2</f>
        <v>1.9760129588726065</v>
      </c>
      <c r="N254" s="4">
        <f>(MIN(H254,Thiet_ke!$B$16)-K254)/(Thiet_ke!$B$2*M254)</f>
        <v>0.9211418026123523</v>
      </c>
      <c r="O254" s="4">
        <f>IF(N254&gt;0,1/N254,"")</f>
        <v>1.0856091832593053</v>
      </c>
    </row>
    <row r="255" spans="1:15">
      <c r="A255">
        <v>2</v>
      </c>
      <c r="B255" s="4">
        <f>Thiet_ke!$B$21</f>
        <v>4.30351707065885</v>
      </c>
      <c r="C255" s="4">
        <f>Dau_vao!$B$21+(Dau_vao!$B$19-Dau_vao!$B$21)*52/200</f>
        <v>1268.0</v>
      </c>
      <c r="D255" s="4">
        <f>2*PI()*C255*Thiet_ke!$B$7/(60*Thiet_ke!$B$15*B255)</f>
        <v>3.3227752784919837</v>
      </c>
      <c r="E255" s="4">
        <f>D255*3.6</f>
        <v>11.961991002571141</v>
      </c>
      <c r="F255" s="4">
        <f>Thiet_ke!$B$12*(Dau_vao!$B$22*(C255/Dau_vao!$B$19)+Dau_vao!$B$23*(C255/Dau_vao!$B$19)^2-Dau_vao!$B$24*(C255/Dau_vao!$B$19)^3)</f>
        <v>56.70599098386193</v>
      </c>
      <c r="G255" s="4">
        <f>60000*F255/(2*PI()*C255)</f>
        <v>427.0523076343569</v>
      </c>
      <c r="H255" s="4">
        <f>G255*Thiet_ke!$B$15*B255*Dau_vao!$B$10/Thiet_ke!$B$7</f>
        <v>15188.608240320656</v>
      </c>
      <c r="I255" s="4">
        <f>IF(D255&lt;=Dau_vao!$B$14,Dau_vao!$B$13,Dau_vao!$B$13*(1+D255^2/1500))</f>
        <v>0.015</v>
      </c>
      <c r="J255" s="4">
        <f>Thiet_ke!$B$8*D255^2</f>
        <v>32.29444398772063</v>
      </c>
      <c r="K255" s="4">
        <f>Thiet_ke!$B$3*I255+J255</f>
        <v>1163.8779439877208</v>
      </c>
      <c r="L255" s="4">
        <f>(H255-J255)/Thiet_ke!$B$3</f>
        <v>0.20090846759871808</v>
      </c>
      <c r="M255" s="4">
        <f>1.05+0.05*B255^2</f>
        <v>1.9760129588726065</v>
      </c>
      <c r="N255" s="4">
        <f>(MIN(H255,Thiet_ke!$B$16)-K255)/(Thiet_ke!$B$2*M255)</f>
        <v>0.9229504588795576</v>
      </c>
      <c r="O255" s="4">
        <f>IF(N255&gt;0,1/N255,"")</f>
        <v>1.0834817734572437</v>
      </c>
    </row>
    <row r="256" spans="1:15">
      <c r="A256">
        <v>2</v>
      </c>
      <c r="B256" s="4">
        <f>Thiet_ke!$B$21</f>
        <v>4.30351707065885</v>
      </c>
      <c r="C256" s="4">
        <f>Dau_vao!$B$21+(Dau_vao!$B$19-Dau_vao!$B$21)*53/200</f>
        <v>1277.0</v>
      </c>
      <c r="D256" s="4">
        <f>2*PI()*C256*Thiet_ke!$B$7/(60*Thiet_ke!$B$15*B256)</f>
        <v>3.3463596456106175</v>
      </c>
      <c r="E256" s="4">
        <f>D256*3.6</f>
        <v>12.046894724198223</v>
      </c>
      <c r="F256" s="4">
        <f>Thiet_ke!$B$12*(Dau_vao!$B$22*(C256/Dau_vao!$B$19)+Dau_vao!$B$23*(C256/Dau_vao!$B$19)^2-Dau_vao!$B$24*(C256/Dau_vao!$B$19)^3)</f>
        <v>57.212155376203384</v>
      </c>
      <c r="G256" s="4">
        <f>60000*F256/(2*PI()*C256)</f>
        <v>427.8275959153167</v>
      </c>
      <c r="H256" s="4">
        <f>G256*Thiet_ke!$B$15*B256*Dau_vao!$B$10/Thiet_ke!$B$7</f>
        <v>15216.182262898925</v>
      </c>
      <c r="I256" s="4">
        <f>IF(D256&lt;=Dau_vao!$B$14,Dau_vao!$B$13,Dau_vao!$B$13*(1+D256^2/1500))</f>
        <v>0.015</v>
      </c>
      <c r="J256" s="4">
        <f>Thiet_ke!$B$8*D256^2</f>
        <v>32.75450941748081</v>
      </c>
      <c r="K256" s="4">
        <f>Thiet_ke!$B$3*I256+J256</f>
        <v>1164.338009417481</v>
      </c>
      <c r="L256" s="4">
        <f>(H256-J256)/Thiet_ke!$B$3</f>
        <v>0.20126788372419857</v>
      </c>
      <c r="M256" s="4">
        <f>1.05+0.05*B256^2</f>
        <v>1.9760129588726065</v>
      </c>
      <c r="N256" s="4">
        <f>(MIN(H256,Thiet_ke!$B$16)-K256)/(Thiet_ke!$B$2*M256)</f>
        <v>0.9247347954524185</v>
      </c>
      <c r="O256" s="4">
        <f>IF(N256&gt;0,1/N256,"")</f>
        <v>1.081391124155503</v>
      </c>
    </row>
    <row r="257" spans="1:15">
      <c r="A257">
        <v>2</v>
      </c>
      <c r="B257" s="4">
        <f>Thiet_ke!$B$21</f>
        <v>4.30351707065885</v>
      </c>
      <c r="C257" s="4">
        <f>Dau_vao!$B$21+(Dau_vao!$B$19-Dau_vao!$B$21)*54/200</f>
        <v>1286.0</v>
      </c>
      <c r="D257" s="4">
        <f>2*PI()*C257*Thiet_ke!$B$7/(60*Thiet_ke!$B$15*B257)</f>
        <v>3.3699440127292517</v>
      </c>
      <c r="E257" s="4">
        <f>D257*3.6</f>
        <v>12.131798445825307</v>
      </c>
      <c r="F257" s="4">
        <f>Thiet_ke!$B$12*(Dau_vao!$B$22*(C257/Dau_vao!$B$19)+Dau_vao!$B$23*(C257/Dau_vao!$B$19)^2-Dau_vao!$B$24*(C257/Dau_vao!$B$19)^3)</f>
        <v>57.71839418588409</v>
      </c>
      <c r="G257" s="4">
        <f>60000*F257/(2*PI()*C257)</f>
        <v>428.592585163762</v>
      </c>
      <c r="H257" s="4">
        <f>G257*Thiet_ke!$B$15*B257*Dau_vao!$B$10/Thiet_ke!$B$7</f>
        <v>15243.389988498291</v>
      </c>
      <c r="I257" s="4">
        <f>IF(D257&lt;=Dau_vao!$B$14,Dau_vao!$B$13,Dau_vao!$B$13*(1+D257^2/1500))</f>
        <v>0.015</v>
      </c>
      <c r="J257" s="4">
        <f>Thiet_ke!$B$8*D257^2</f>
        <v>33.217828748119466</v>
      </c>
      <c r="K257" s="4">
        <f>Thiet_ke!$B$3*I257+J257</f>
        <v>1164.8013287481197</v>
      </c>
      <c r="L257" s="4">
        <f>(H257-J257)/Thiet_ke!$B$3</f>
        <v>0.20162240117167893</v>
      </c>
      <c r="M257" s="4">
        <f>1.05+0.05*B257^2</f>
        <v>1.9760129588726065</v>
      </c>
      <c r="N257" s="4">
        <f>(MIN(H257,Thiet_ke!$B$16)-K257)/(Thiet_ke!$B$2*M257)</f>
        <v>0.9264948123309348</v>
      </c>
      <c r="O257" s="4">
        <f>IF(N257&gt;0,1/N257,"")</f>
        <v>1.079336858329661</v>
      </c>
    </row>
    <row r="258" spans="1:15">
      <c r="A258">
        <v>2</v>
      </c>
      <c r="B258" s="4">
        <f>Thiet_ke!$B$21</f>
        <v>4.30351707065885</v>
      </c>
      <c r="C258" s="4">
        <f>Dau_vao!$B$21+(Dau_vao!$B$19-Dau_vao!$B$21)*55/200</f>
        <v>1295.0</v>
      </c>
      <c r="D258" s="4">
        <f>2*PI()*C258*Thiet_ke!$B$7/(60*Thiet_ke!$B$15*B258)</f>
        <v>3.3935283798478855</v>
      </c>
      <c r="E258" s="4">
        <f>D258*3.6</f>
        <v>12.216702167452388</v>
      </c>
      <c r="F258" s="4">
        <f>Thiet_ke!$B$12*(Dau_vao!$B$22*(C258/Dau_vao!$B$19)+Dau_vao!$B$23*(C258/Dau_vao!$B$19)^2-Dau_vao!$B$24*(C258/Dau_vao!$B$19)^3)</f>
        <v>58.22467829307563</v>
      </c>
      <c r="G258" s="4">
        <f>60000*F258/(2*PI()*C258)</f>
        <v>429.3472753796926</v>
      </c>
      <c r="H258" s="4">
        <f>G258*Thiet_ke!$B$15*B258*Dau_vao!$B$10/Thiet_ke!$B$7</f>
        <v>15270.231417118757</v>
      </c>
      <c r="I258" s="4">
        <f>IF(D258&lt;=Dau_vao!$B$14,Dau_vao!$B$13,Dau_vao!$B$13*(1+D258^2/1500))</f>
        <v>0.015</v>
      </c>
      <c r="J258" s="4">
        <f>Thiet_ke!$B$8*D258^2</f>
        <v>33.684401979636576</v>
      </c>
      <c r="K258" s="4">
        <f>Thiet_ke!$B$3*I258+J258</f>
        <v>1165.2679019796367</v>
      </c>
      <c r="L258" s="4">
        <f>(H258-J258)/Thiet_ke!$B$3</f>
        <v>0.20197201994115924</v>
      </c>
      <c r="M258" s="4">
        <f>1.05+0.05*B258^2</f>
        <v>1.9760129588726065</v>
      </c>
      <c r="N258" s="4">
        <f>(MIN(H258,Thiet_ke!$B$16)-K258)/(Thiet_ke!$B$2*M258)</f>
        <v>0.9282305095151064</v>
      </c>
      <c r="O258" s="4">
        <f>IF(N258&gt;0,1/N258,"")</f>
        <v>1.077318607554049</v>
      </c>
    </row>
    <row r="259" spans="1:15">
      <c r="A259">
        <v>2</v>
      </c>
      <c r="B259" s="4">
        <f>Thiet_ke!$B$21</f>
        <v>4.30351707065885</v>
      </c>
      <c r="C259" s="4">
        <f>Dau_vao!$B$21+(Dau_vao!$B$19-Dau_vao!$B$21)*56/200</f>
        <v>1304.0</v>
      </c>
      <c r="D259" s="4">
        <f>2*PI()*C259*Thiet_ke!$B$7/(60*Thiet_ke!$B$15*B259)</f>
        <v>3.4171127469665192</v>
      </c>
      <c r="E259" s="4">
        <f>D259*3.6</f>
        <v>12.30160588907947</v>
      </c>
      <c r="F259" s="4">
        <f>Thiet_ke!$B$12*(Dau_vao!$B$22*(C259/Dau_vao!$B$19)+Dau_vao!$B$23*(C259/Dau_vao!$B$19)^2-Dau_vao!$B$24*(C259/Dau_vao!$B$19)^3)</f>
        <v>58.73097857794961</v>
      </c>
      <c r="G259" s="4">
        <f>60000*F259/(2*PI()*C259)</f>
        <v>430.0916665631086</v>
      </c>
      <c r="H259" s="4">
        <f>G259*Thiet_ke!$B$15*B259*Dau_vao!$B$10/Thiet_ke!$B$7</f>
        <v>15296.706548760327</v>
      </c>
      <c r="I259" s="4">
        <f>IF(D259&lt;=Dau_vao!$B$14,Dau_vao!$B$13,Dau_vao!$B$13*(1+D259^2/1500))</f>
        <v>0.015</v>
      </c>
      <c r="J259" s="4">
        <f>Thiet_ke!$B$8*D259^2</f>
        <v>34.154229112032134</v>
      </c>
      <c r="K259" s="4">
        <f>Thiet_ke!$B$3*I259+J259</f>
        <v>1165.7377291120324</v>
      </c>
      <c r="L259" s="4">
        <f>(H259-J259)/Thiet_ke!$B$3</f>
        <v>0.20231674003263958</v>
      </c>
      <c r="M259" s="4">
        <f>1.05+0.05*B259^2</f>
        <v>1.9760129588726065</v>
      </c>
      <c r="N259" s="4">
        <f>(MIN(H259,Thiet_ke!$B$16)-K259)/(Thiet_ke!$B$2*M259)</f>
        <v>0.9299418870049339</v>
      </c>
      <c r="O259" s="4">
        <f>IF(N259&gt;0,1/N259,"")</f>
        <v>1.0753360118240318</v>
      </c>
    </row>
    <row r="260" spans="1:15">
      <c r="A260">
        <v>2</v>
      </c>
      <c r="B260" s="4">
        <f>Thiet_ke!$B$21</f>
        <v>4.30351707065885</v>
      </c>
      <c r="C260" s="4">
        <f>Dau_vao!$B$21+(Dau_vao!$B$19-Dau_vao!$B$21)*57/200</f>
        <v>1313.0</v>
      </c>
      <c r="D260" s="4">
        <f>2*PI()*C260*Thiet_ke!$B$7/(60*Thiet_ke!$B$15*B260)</f>
        <v>3.4406971140851534</v>
      </c>
      <c r="E260" s="4">
        <f>D260*3.6</f>
        <v>12.386509610706552</v>
      </c>
      <c r="F260" s="4">
        <f>Thiet_ke!$B$12*(Dau_vao!$B$22*(C260/Dau_vao!$B$19)+Dau_vao!$B$23*(C260/Dau_vao!$B$19)^2-Dau_vao!$B$24*(C260/Dau_vao!$B$19)^3)</f>
        <v>59.23726592067765</v>
      </c>
      <c r="G260" s="4">
        <f>60000*F260/(2*PI()*C260)</f>
        <v>430.82575871401025</v>
      </c>
      <c r="H260" s="4">
        <f>G260*Thiet_ke!$B$15*B260*Dau_vao!$B$10/Thiet_ke!$B$7</f>
        <v>15322.815383423003</v>
      </c>
      <c r="I260" s="4">
        <f>IF(D260&lt;=Dau_vao!$B$14,Dau_vao!$B$13,Dau_vao!$B$13*(1+D260^2/1500))</f>
        <v>0.015</v>
      </c>
      <c r="J260" s="4">
        <f>Thiet_ke!$B$8*D260^2</f>
        <v>34.62731014530617</v>
      </c>
      <c r="K260" s="4">
        <f>Thiet_ke!$B$3*I260+J260</f>
        <v>1166.2108101453064</v>
      </c>
      <c r="L260" s="4">
        <f>(H260-J260)/Thiet_ke!$B$3</f>
        <v>0.2026565614461199</v>
      </c>
      <c r="M260" s="4">
        <f>1.05+0.05*B260^2</f>
        <v>1.9760129588726065</v>
      </c>
      <c r="N260" s="4">
        <f>(MIN(H260,Thiet_ke!$B$16)-K260)/(Thiet_ke!$B$2*M260)</f>
        <v>0.9316289448004171</v>
      </c>
      <c r="O260" s="4">
        <f>IF(N260&gt;0,1/N260,"")</f>
        <v>1.0733887193835847</v>
      </c>
    </row>
    <row r="261" spans="1:15">
      <c r="A261">
        <v>2</v>
      </c>
      <c r="B261" s="4">
        <f>Thiet_ke!$B$21</f>
        <v>4.30351707065885</v>
      </c>
      <c r="C261" s="4">
        <f>Dau_vao!$B$21+(Dau_vao!$B$19-Dau_vao!$B$21)*58/200</f>
        <v>1322.0</v>
      </c>
      <c r="D261" s="4">
        <f>2*PI()*C261*Thiet_ke!$B$7/(60*Thiet_ke!$B$15*B261)</f>
        <v>3.4642814812037876</v>
      </c>
      <c r="E261" s="4">
        <f>D261*3.6</f>
        <v>12.471413332333636</v>
      </c>
      <c r="F261" s="4">
        <f>Thiet_ke!$B$12*(Dau_vao!$B$22*(C261/Dau_vao!$B$19)+Dau_vao!$B$23*(C261/Dau_vao!$B$19)^2-Dau_vao!$B$24*(C261/Dau_vao!$B$19)^3)</f>
        <v>59.74351120143131</v>
      </c>
      <c r="G261" s="4">
        <f>60000*F261/(2*PI()*C261)</f>
        <v>431.54955183239696</v>
      </c>
      <c r="H261" s="4">
        <f>G261*Thiet_ke!$B$15*B261*Dau_vao!$B$10/Thiet_ke!$B$7</f>
        <v>15348.557921106769</v>
      </c>
      <c r="I261" s="4">
        <f>IF(D261&lt;=Dau_vao!$B$14,Dau_vao!$B$13,Dau_vao!$B$13*(1+D261^2/1500))</f>
        <v>0.015</v>
      </c>
      <c r="J261" s="4">
        <f>Thiet_ke!$B$8*D261^2</f>
        <v>35.103645079458666</v>
      </c>
      <c r="K261" s="4">
        <f>Thiet_ke!$B$3*I261+J261</f>
        <v>1166.6871450794588</v>
      </c>
      <c r="L261" s="4">
        <f>(H261-J261)/Thiet_ke!$B$3</f>
        <v>0.20299148418160007</v>
      </c>
      <c r="M261" s="4">
        <f>1.05+0.05*B261^2</f>
        <v>1.9760129588726065</v>
      </c>
      <c r="N261" s="4">
        <f>(MIN(H261,Thiet_ke!$B$16)-K261)/(Thiet_ke!$B$2*M261)</f>
        <v>0.9332916829015553</v>
      </c>
      <c r="O261" s="4">
        <f>IF(N261&gt;0,1/N261,"")</f>
        <v>1.0714763865580073</v>
      </c>
    </row>
    <row r="262" spans="1:15">
      <c r="A262">
        <v>2</v>
      </c>
      <c r="B262" s="4">
        <f>Thiet_ke!$B$21</f>
        <v>4.30351707065885</v>
      </c>
      <c r="C262" s="4">
        <f>Dau_vao!$B$21+(Dau_vao!$B$19-Dau_vao!$B$21)*59/200</f>
        <v>1331.0</v>
      </c>
      <c r="D262" s="4">
        <f>2*PI()*C262*Thiet_ke!$B$7/(60*Thiet_ke!$B$15*B262)</f>
        <v>3.487865848322421</v>
      </c>
      <c r="E262" s="4">
        <f>D262*3.6</f>
        <v>12.556317053960715</v>
      </c>
      <c r="F262" s="4">
        <f>Thiet_ke!$B$12*(Dau_vao!$B$22*(C262/Dau_vao!$B$19)+Dau_vao!$B$23*(C262/Dau_vao!$B$19)^2-Dau_vao!$B$24*(C262/Dau_vao!$B$19)^3)</f>
        <v>60.24968530038224</v>
      </c>
      <c r="G262" s="4">
        <f>60000*F262/(2*PI()*C262)</f>
        <v>432.2630459182692</v>
      </c>
      <c r="H262" s="4">
        <f>G262*Thiet_ke!$B$15*B262*Dau_vao!$B$10/Thiet_ke!$B$7</f>
        <v>15373.934161811636</v>
      </c>
      <c r="I262" s="4">
        <f>IF(D262&lt;=Dau_vao!$B$14,Dau_vao!$B$13,Dau_vao!$B$13*(1+D262^2/1500))</f>
        <v>0.015</v>
      </c>
      <c r="J262" s="4">
        <f>Thiet_ke!$B$8*D262^2</f>
        <v>35.583233914489604</v>
      </c>
      <c r="K262" s="4">
        <f>Thiet_ke!$B$3*I262+J262</f>
        <v>1167.16673391449</v>
      </c>
      <c r="L262" s="4">
        <f>(H262-J262)/Thiet_ke!$B$3</f>
        <v>0.20332150823908018</v>
      </c>
      <c r="M262" s="4">
        <f>1.05+0.05*B262^2</f>
        <v>1.9760129588726065</v>
      </c>
      <c r="N262" s="4">
        <f>(MIN(H262,Thiet_ke!$B$16)-K262)/(Thiet_ke!$B$2*M262)</f>
        <v>0.9349301013083491</v>
      </c>
      <c r="O262" s="4">
        <f>IF(N262&gt;0,1/N262,"")</f>
        <v>1.0695986775916098</v>
      </c>
    </row>
    <row r="263" spans="1:15">
      <c r="A263">
        <v>2</v>
      </c>
      <c r="B263" s="4">
        <f>Thiet_ke!$B$21</f>
        <v>4.30351707065885</v>
      </c>
      <c r="C263" s="4">
        <f>Dau_vao!$B$21+(Dau_vao!$B$19-Dau_vao!$B$21)*60/200</f>
        <v>1340.0</v>
      </c>
      <c r="D263" s="4">
        <f>2*PI()*C263*Thiet_ke!$B$7/(60*Thiet_ke!$B$15*B263)</f>
        <v>3.511450215441055</v>
      </c>
      <c r="E263" s="4">
        <f>D263*3.6</f>
        <v>12.641220775587799</v>
      </c>
      <c r="F263" s="4">
        <f>Thiet_ke!$B$12*(Dau_vao!$B$22*(C263/Dau_vao!$B$19)+Dau_vao!$B$23*(C263/Dau_vao!$B$19)^2-Dau_vao!$B$24*(C263/Dau_vao!$B$19)^3)</f>
        <v>60.75575909770202</v>
      </c>
      <c r="G263" s="4">
        <f>60000*F263/(2*PI()*C263)</f>
        <v>432.9662409716269</v>
      </c>
      <c r="H263" s="4">
        <f>G263*Thiet_ke!$B$15*B263*Dau_vao!$B$10/Thiet_ke!$B$7</f>
        <v>15398.944105537606</v>
      </c>
      <c r="I263" s="4">
        <f>IF(D263&lt;=Dau_vao!$B$14,Dau_vao!$B$13,Dau_vao!$B$13*(1+D263^2/1500))</f>
        <v>0.015</v>
      </c>
      <c r="J263" s="4">
        <f>Thiet_ke!$B$8*D263^2</f>
        <v>36.066076650399026</v>
      </c>
      <c r="K263" s="4">
        <f>Thiet_ke!$B$3*I263+J263</f>
        <v>1167.6495766503992</v>
      </c>
      <c r="L263" s="4">
        <f>(H263-J263)/Thiet_ke!$B$3</f>
        <v>0.20364663361856025</v>
      </c>
      <c r="M263" s="4">
        <f>1.05+0.05*B263^2</f>
        <v>1.9760129588726065</v>
      </c>
      <c r="N263" s="4">
        <f>(MIN(H263,Thiet_ke!$B$16)-K263)/(Thiet_ke!$B$2*M263)</f>
        <v>0.9365442000207985</v>
      </c>
      <c r="O263" s="4">
        <f>IF(N263&gt;0,1/N263,"")</f>
        <v>1.0677552644902315</v>
      </c>
    </row>
    <row r="264" spans="1:15">
      <c r="A264">
        <v>2</v>
      </c>
      <c r="B264" s="4">
        <f>Thiet_ke!$B$21</f>
        <v>4.30351707065885</v>
      </c>
      <c r="C264" s="4">
        <f>Dau_vao!$B$21+(Dau_vao!$B$19-Dau_vao!$B$21)*61/200</f>
        <v>1349.0</v>
      </c>
      <c r="D264" s="4">
        <f>2*PI()*C264*Thiet_ke!$B$7/(60*Thiet_ke!$B$15*B264)</f>
        <v>3.535034582559689</v>
      </c>
      <c r="E264" s="4">
        <f>D264*3.6</f>
        <v>12.726124497214881</v>
      </c>
      <c r="F264" s="4">
        <f>Thiet_ke!$B$12*(Dau_vao!$B$22*(C264/Dau_vao!$B$19)+Dau_vao!$B$23*(C264/Dau_vao!$B$19)^2-Dau_vao!$B$24*(C264/Dau_vao!$B$19)^3)</f>
        <v>61.26170347356226</v>
      </c>
      <c r="G264" s="4">
        <f>60000*F264/(2*PI()*C264)</f>
        <v>433.65913699247005</v>
      </c>
      <c r="H264" s="4">
        <f>G264*Thiet_ke!$B$15*B264*Dau_vao!$B$10/Thiet_ke!$B$7</f>
        <v>15423.587752284679</v>
      </c>
      <c r="I264" s="4">
        <f>IF(D264&lt;=Dau_vao!$B$14,Dau_vao!$B$13,Dau_vao!$B$13*(1+D264^2/1500))</f>
        <v>0.015</v>
      </c>
      <c r="J264" s="4">
        <f>Thiet_ke!$B$8*D264^2</f>
        <v>36.552173287186896</v>
      </c>
      <c r="K264" s="4">
        <f>Thiet_ke!$B$3*I264+J264</f>
        <v>1168.135673287187</v>
      </c>
      <c r="L264" s="4">
        <f>(H264-J264)/Thiet_ke!$B$3</f>
        <v>0.20396686032004033</v>
      </c>
      <c r="M264" s="4">
        <f>1.05+0.05*B264^2</f>
        <v>1.9760129588726065</v>
      </c>
      <c r="N264" s="4">
        <f>(MIN(H264,Thiet_ke!$B$16)-K264)/(Thiet_ke!$B$2*M264)</f>
        <v>0.9381339790389037</v>
      </c>
      <c r="O264" s="4">
        <f>IF(N264&gt;0,1/N264,"")</f>
        <v>1.0659458268684356</v>
      </c>
    </row>
    <row r="265" spans="1:15">
      <c r="A265">
        <v>2</v>
      </c>
      <c r="B265" s="4">
        <f>Thiet_ke!$B$21</f>
        <v>4.30351707065885</v>
      </c>
      <c r="C265" s="4">
        <f>Dau_vao!$B$21+(Dau_vao!$B$19-Dau_vao!$B$21)*62/200</f>
        <v>1358.0</v>
      </c>
      <c r="D265" s="4">
        <f>2*PI()*C265*Thiet_ke!$B$7/(60*Thiet_ke!$B$15*B265)</f>
        <v>3.5586189496783236</v>
      </c>
      <c r="E265" s="4">
        <f>D265*3.6</f>
        <v>12.811028218841965</v>
      </c>
      <c r="F265" s="4">
        <f>Thiet_ke!$B$12*(Dau_vao!$B$22*(C265/Dau_vao!$B$19)+Dau_vao!$B$23*(C265/Dau_vao!$B$19)^2-Dau_vao!$B$24*(C265/Dau_vao!$B$19)^3)</f>
        <v>61.76748930813455</v>
      </c>
      <c r="G265" s="4">
        <f>60000*F265/(2*PI()*C265)</f>
        <v>434.34173398079867</v>
      </c>
      <c r="H265" s="4">
        <f>G265*Thiet_ke!$B$15*B265*Dau_vao!$B$10/Thiet_ke!$B$7</f>
        <v>15447.865102052856</v>
      </c>
      <c r="I265" s="4">
        <f>IF(D265&lt;=Dau_vao!$B$14,Dau_vao!$B$13,Dau_vao!$B$13*(1+D265^2/1500))</f>
        <v>0.015</v>
      </c>
      <c r="J265" s="4">
        <f>Thiet_ke!$B$8*D265^2</f>
        <v>37.04152382485324</v>
      </c>
      <c r="K265" s="4">
        <f>Thiet_ke!$B$3*I265+J265</f>
        <v>1168.6250238248535</v>
      </c>
      <c r="L265" s="4">
        <f>(H265-J265)/Thiet_ke!$B$3</f>
        <v>0.20428218834352038</v>
      </c>
      <c r="M265" s="4">
        <f>1.05+0.05*B265^2</f>
        <v>1.9760129588726065</v>
      </c>
      <c r="N265" s="4">
        <f>(MIN(H265,Thiet_ke!$B$16)-K265)/(Thiet_ke!$B$2*M265)</f>
        <v>0.9396994383626646</v>
      </c>
      <c r="O265" s="4">
        <f>IF(N265&gt;0,1/N265,"")</f>
        <v>1.0641700518012476</v>
      </c>
    </row>
    <row r="266" spans="1:15">
      <c r="A266">
        <v>2</v>
      </c>
      <c r="B266" s="4">
        <f>Thiet_ke!$B$21</f>
        <v>4.30351707065885</v>
      </c>
      <c r="C266" s="4">
        <f>Dau_vao!$B$21+(Dau_vao!$B$19-Dau_vao!$B$21)*63/200</f>
        <v>1367.0</v>
      </c>
      <c r="D266" s="4">
        <f>2*PI()*C266*Thiet_ke!$B$7/(60*Thiet_ke!$B$15*B266)</f>
        <v>3.582203316796957</v>
      </c>
      <c r="E266" s="4">
        <f>D266*3.6</f>
        <v>12.895931940469046</v>
      </c>
      <c r="F266" s="4">
        <f>Thiet_ke!$B$12*(Dau_vao!$B$22*(C266/Dau_vao!$B$19)+Dau_vao!$B$23*(C266/Dau_vao!$B$19)^2-Dau_vao!$B$24*(C266/Dau_vao!$B$19)^3)</f>
        <v>62.27308748159049</v>
      </c>
      <c r="G266" s="4">
        <f>60000*F266/(2*PI()*C266)</f>
        <v>435.01403193661247</v>
      </c>
      <c r="H266" s="4">
        <f>G266*Thiet_ke!$B$15*B266*Dau_vao!$B$10/Thiet_ke!$B$7</f>
        <v>15471.776154842124</v>
      </c>
      <c r="I266" s="4">
        <f>IF(D266&lt;=Dau_vao!$B$14,Dau_vao!$B$13,Dau_vao!$B$13*(1+D266^2/1500))</f>
        <v>0.015</v>
      </c>
      <c r="J266" s="4">
        <f>Thiet_ke!$B$8*D266^2</f>
        <v>37.534128263398024</v>
      </c>
      <c r="K266" s="4">
        <f>Thiet_ke!$B$3*I266+J266</f>
        <v>1169.1176282633983</v>
      </c>
      <c r="L266" s="4">
        <f>(H266-J266)/Thiet_ke!$B$3</f>
        <v>0.2045926176890003</v>
      </c>
      <c r="M266" s="4">
        <f>1.05+0.05*B266^2</f>
        <v>1.9760129588726065</v>
      </c>
      <c r="N266" s="4">
        <f>(MIN(H266,Thiet_ke!$B$16)-K266)/(Thiet_ke!$B$2*M266)</f>
        <v>0.9412405779920804</v>
      </c>
      <c r="O266" s="4">
        <f>IF(N266&gt;0,1/N266,"")</f>
        <v>1.062427633680296</v>
      </c>
    </row>
    <row r="267" spans="1:15">
      <c r="A267">
        <v>2</v>
      </c>
      <c r="B267" s="4">
        <f>Thiet_ke!$B$21</f>
        <v>4.30351707065885</v>
      </c>
      <c r="C267" s="4">
        <f>Dau_vao!$B$21+(Dau_vao!$B$19-Dau_vao!$B$21)*64/200</f>
        <v>1376.0</v>
      </c>
      <c r="D267" s="4">
        <f>2*PI()*C267*Thiet_ke!$B$7/(60*Thiet_ke!$B$15*B267)</f>
        <v>3.605787683915591</v>
      </c>
      <c r="E267" s="4">
        <f>D267*3.6</f>
        <v>12.980835662096128</v>
      </c>
      <c r="F267" s="4">
        <f>Thiet_ke!$B$12*(Dau_vao!$B$22*(C267/Dau_vao!$B$19)+Dau_vao!$B$23*(C267/Dau_vao!$B$19)^2-Dau_vao!$B$24*(C267/Dau_vao!$B$19)^3)</f>
        <v>62.778468874101684</v>
      </c>
      <c r="G267" s="4">
        <f>60000*F267/(2*PI()*C267)</f>
        <v>435.67603085991175</v>
      </c>
      <c r="H267" s="4">
        <f>G267*Thiet_ke!$B$15*B267*Dau_vao!$B$10/Thiet_ke!$B$7</f>
        <v>15495.320910652497</v>
      </c>
      <c r="I267" s="4">
        <f>IF(D267&lt;=Dau_vao!$B$14,Dau_vao!$B$13,Dau_vao!$B$13*(1+D267^2/1500))</f>
        <v>0.015</v>
      </c>
      <c r="J267" s="4">
        <f>Thiet_ke!$B$8*D267^2</f>
        <v>38.02998660282129</v>
      </c>
      <c r="K267" s="4">
        <f>Thiet_ke!$B$3*I267+J267</f>
        <v>1169.6134866028215</v>
      </c>
      <c r="L267" s="4">
        <f>(H267-J267)/Thiet_ke!$B$3</f>
        <v>0.2048981483564802</v>
      </c>
      <c r="M267" s="4">
        <f>1.05+0.05*B267^2</f>
        <v>1.9760129588726065</v>
      </c>
      <c r="N267" s="4">
        <f>(MIN(H267,Thiet_ke!$B$16)-K267)/(Thiet_ke!$B$2*M267)</f>
        <v>0.9427573979271521</v>
      </c>
      <c r="O267" s="4">
        <f>IF(N267&gt;0,1/N267,"")</f>
        <v>1.0607182740742291</v>
      </c>
    </row>
    <row r="268" spans="1:15">
      <c r="A268">
        <v>2</v>
      </c>
      <c r="B268" s="4">
        <f>Thiet_ke!$B$21</f>
        <v>4.30351707065885</v>
      </c>
      <c r="C268" s="4">
        <f>Dau_vao!$B$21+(Dau_vao!$B$19-Dau_vao!$B$21)*65/200</f>
        <v>1385.0</v>
      </c>
      <c r="D268" s="4">
        <f>2*PI()*C268*Thiet_ke!$B$7/(60*Thiet_ke!$B$15*B268)</f>
        <v>3.629372051034225</v>
      </c>
      <c r="E268" s="4">
        <f>D268*3.6</f>
        <v>13.06573938372321</v>
      </c>
      <c r="F268" s="4">
        <f>Thiet_ke!$B$12*(Dau_vao!$B$22*(C268/Dau_vao!$B$19)+Dau_vao!$B$23*(C268/Dau_vao!$B$19)^2-Dau_vao!$B$24*(C268/Dau_vao!$B$19)^3)</f>
        <v>63.28360436583975</v>
      </c>
      <c r="G268" s="4">
        <f>60000*F268/(2*PI()*C268)</f>
        <v>436.3277307506966</v>
      </c>
      <c r="H268" s="4">
        <f>G268*Thiet_ke!$B$15*B268*Dau_vao!$B$10/Thiet_ke!$B$7</f>
        <v>15518.499369483969</v>
      </c>
      <c r="I268" s="4">
        <f>IF(D268&lt;=Dau_vao!$B$14,Dau_vao!$B$13,Dau_vao!$B$13*(1+D268^2/1500))</f>
        <v>0.015</v>
      </c>
      <c r="J268" s="4">
        <f>Thiet_ke!$B$8*D268^2</f>
        <v>38.529098843123</v>
      </c>
      <c r="K268" s="4">
        <f>Thiet_ke!$B$3*I268+J268</f>
        <v>1170.1125988431231</v>
      </c>
      <c r="L268" s="4">
        <f>(H268-J268)/Thiet_ke!$B$3</f>
        <v>0.20519878034596004</v>
      </c>
      <c r="M268" s="4">
        <f>1.05+0.05*B268^2</f>
        <v>1.9760129588726065</v>
      </c>
      <c r="N268" s="4">
        <f>(MIN(H268,Thiet_ke!$B$16)-K268)/(Thiet_ke!$B$2*M268)</f>
        <v>0.9442498981678791</v>
      </c>
      <c r="O268" s="4">
        <f>IF(N268&gt;0,1/N268,"")</f>
        <v>1.0590416815932864</v>
      </c>
    </row>
    <row r="269" spans="1:15">
      <c r="A269">
        <v>2</v>
      </c>
      <c r="B269" s="4">
        <f>Thiet_ke!$B$21</f>
        <v>4.30351707065885</v>
      </c>
      <c r="C269" s="4">
        <f>Dau_vao!$B$21+(Dau_vao!$B$19-Dau_vao!$B$21)*66/200</f>
        <v>1394.0</v>
      </c>
      <c r="D269" s="4">
        <f>2*PI()*C269*Thiet_ke!$B$7/(60*Thiet_ke!$B$15*B269)</f>
        <v>3.652956418152859</v>
      </c>
      <c r="E269" s="4">
        <f>D269*3.6</f>
        <v>13.150643105350293</v>
      </c>
      <c r="F269" s="4">
        <f>Thiet_ke!$B$12*(Dau_vao!$B$22*(C269/Dau_vao!$B$19)+Dau_vao!$B$23*(C269/Dau_vao!$B$19)^2-Dau_vao!$B$24*(C269/Dau_vao!$B$19)^3)</f>
        <v>63.78846483697627</v>
      </c>
      <c r="G269" s="4">
        <f>60000*F269/(2*PI()*C269)</f>
        <v>436.9691316089666</v>
      </c>
      <c r="H269" s="4">
        <f>G269*Thiet_ke!$B$15*B269*Dau_vao!$B$10/Thiet_ke!$B$7</f>
        <v>15541.311531336542</v>
      </c>
      <c r="I269" s="4">
        <f>IF(D269&lt;=Dau_vao!$B$14,Dau_vao!$B$13,Dau_vao!$B$13*(1+D269^2/1500))</f>
        <v>0.015</v>
      </c>
      <c r="J269" s="4">
        <f>Thiet_ke!$B$8*D269^2</f>
        <v>39.03146498430319</v>
      </c>
      <c r="K269" s="4">
        <f>Thiet_ke!$B$3*I269+J269</f>
        <v>1170.6149649843035</v>
      </c>
      <c r="L269" s="4">
        <f>(H269-J269)/Thiet_ke!$B$3</f>
        <v>0.20549451365743981</v>
      </c>
      <c r="M269" s="4">
        <f>1.05+0.05*B269^2</f>
        <v>1.9760129588726065</v>
      </c>
      <c r="N269" s="4">
        <f>(MIN(H269,Thiet_ke!$B$16)-K269)/(Thiet_ke!$B$2*M269)</f>
        <v>0.9457180787142617</v>
      </c>
      <c r="O269" s="4">
        <f>IF(N269&gt;0,1/N269,"")</f>
        <v>1.0573975717578927</v>
      </c>
    </row>
    <row r="270" spans="1:15">
      <c r="A270">
        <v>2</v>
      </c>
      <c r="B270" s="4">
        <f>Thiet_ke!$B$21</f>
        <v>4.30351707065885</v>
      </c>
      <c r="C270" s="4">
        <f>Dau_vao!$B$21+(Dau_vao!$B$19-Dau_vao!$B$21)*67/200</f>
        <v>1403.0</v>
      </c>
      <c r="D270" s="4">
        <f>2*PI()*C270*Thiet_ke!$B$7/(60*Thiet_ke!$B$15*B270)</f>
        <v>3.6765407852714924</v>
      </c>
      <c r="E270" s="4">
        <f>D270*3.6</f>
        <v>13.235546826977373</v>
      </c>
      <c r="F270" s="4">
        <f>Thiet_ke!$B$12*(Dau_vao!$B$22*(C270/Dau_vao!$B$19)+Dau_vao!$B$23*(C270/Dau_vao!$B$19)^2-Dau_vao!$B$24*(C270/Dau_vao!$B$19)^3)</f>
        <v>64.29302116768284</v>
      </c>
      <c r="G270" s="4">
        <f>60000*F270/(2*PI()*C270)</f>
        <v>437.60023343472216</v>
      </c>
      <c r="H270" s="4">
        <f>G270*Thiet_ke!$B$15*B270*Dau_vao!$B$10/Thiet_ke!$B$7</f>
        <v>15563.757396210218</v>
      </c>
      <c r="I270" s="4">
        <f>IF(D270&lt;=Dau_vao!$B$14,Dau_vao!$B$13,Dau_vao!$B$13*(1+D270^2/1500))</f>
        <v>0.015</v>
      </c>
      <c r="J270" s="4">
        <f>Thiet_ke!$B$8*D270^2</f>
        <v>39.537085026361815</v>
      </c>
      <c r="K270" s="4">
        <f>Thiet_ke!$B$3*I270+J270</f>
        <v>1171.120585026362</v>
      </c>
      <c r="L270" s="4">
        <f>(H270-J270)/Thiet_ke!$B$3</f>
        <v>0.20578534829091957</v>
      </c>
      <c r="M270" s="4">
        <f>1.05+0.05*B270^2</f>
        <v>1.9760129588726065</v>
      </c>
      <c r="N270" s="4">
        <f>(MIN(H270,Thiet_ke!$B$16)-K270)/(Thiet_ke!$B$2*M270)</f>
        <v>0.9471619395663001</v>
      </c>
      <c r="O270" s="4">
        <f>IF(N270&gt;0,1/N270,"")</f>
        <v>1.0557856668711731</v>
      </c>
    </row>
    <row r="271" spans="1:15">
      <c r="A271">
        <v>2</v>
      </c>
      <c r="B271" s="4">
        <f>Thiet_ke!$B$21</f>
        <v>4.30351707065885</v>
      </c>
      <c r="C271" s="4">
        <f>Dau_vao!$B$21+(Dau_vao!$B$19-Dau_vao!$B$21)*68/200</f>
        <v>1412.0</v>
      </c>
      <c r="D271" s="4">
        <f>2*PI()*C271*Thiet_ke!$B$7/(60*Thiet_ke!$B$15*B271)</f>
        <v>3.7001251523901266</v>
      </c>
      <c r="E271" s="4">
        <f>D271*3.6</f>
        <v>13.320450548604455</v>
      </c>
      <c r="F271" s="4">
        <f>Thiet_ke!$B$12*(Dau_vao!$B$22*(C271/Dau_vao!$B$19)+Dau_vao!$B$23*(C271/Dau_vao!$B$19)^2-Dau_vao!$B$24*(C271/Dau_vao!$B$19)^3)</f>
        <v>64.79724423813109</v>
      </c>
      <c r="G271" s="4">
        <f>60000*F271/(2*PI()*C271)</f>
        <v>438.22103622796305</v>
      </c>
      <c r="H271" s="4">
        <f>G271*Thiet_ke!$B$15*B271*Dau_vao!$B$10/Thiet_ke!$B$7</f>
        <v>15585.836964104996</v>
      </c>
      <c r="I271" s="4">
        <f>IF(D271&lt;=Dau_vao!$B$14,Dau_vao!$B$13,Dau_vao!$B$13*(1+D271^2/1500))</f>
        <v>0.015</v>
      </c>
      <c r="J271" s="4">
        <f>Thiet_ke!$B$8*D271^2</f>
        <v>40.04595896929892</v>
      </c>
      <c r="K271" s="4">
        <f>Thiet_ke!$B$3*I271+J271</f>
        <v>1171.629458969299</v>
      </c>
      <c r="L271" s="4">
        <f>(H271-J271)/Thiet_ke!$B$3</f>
        <v>0.20607128424639934</v>
      </c>
      <c r="M271" s="4">
        <f>1.05+0.05*B271^2</f>
        <v>1.9760129588726065</v>
      </c>
      <c r="N271" s="4">
        <f>(MIN(H271,Thiet_ke!$B$16)-K271)/(Thiet_ke!$B$2*M271)</f>
        <v>0.948581480723994</v>
      </c>
      <c r="O271" s="4">
        <f>IF(N271&gt;0,1/N271,"")</f>
        <v>1.0542056958952661</v>
      </c>
    </row>
    <row r="272" spans="1:15">
      <c r="A272">
        <v>2</v>
      </c>
      <c r="B272" s="4">
        <f>Thiet_ke!$B$21</f>
        <v>4.30351707065885</v>
      </c>
      <c r="C272" s="4">
        <f>Dau_vao!$B$21+(Dau_vao!$B$19-Dau_vao!$B$21)*69/200</f>
        <v>1421.0</v>
      </c>
      <c r="D272" s="4">
        <f>2*PI()*C272*Thiet_ke!$B$7/(60*Thiet_ke!$B$15*B272)</f>
        <v>3.7237095195087613</v>
      </c>
      <c r="E272" s="4">
        <f>D272*3.6</f>
        <v>13.405354270231541</v>
      </c>
      <c r="F272" s="4">
        <f>Thiet_ke!$B$12*(Dau_vao!$B$22*(C272/Dau_vao!$B$19)+Dau_vao!$B$23*(C272/Dau_vao!$B$19)^2-Dau_vao!$B$24*(C272/Dau_vao!$B$19)^3)</f>
        <v>65.30110492849258</v>
      </c>
      <c r="G272" s="4">
        <f>60000*F272/(2*PI()*C272)</f>
        <v>438.83153998868926</v>
      </c>
      <c r="H272" s="4">
        <f>G272*Thiet_ke!$B$15*B272*Dau_vao!$B$10/Thiet_ke!$B$7</f>
        <v>15607.550235020866</v>
      </c>
      <c r="I272" s="4">
        <f>IF(D272&lt;=Dau_vao!$B$14,Dau_vao!$B$13,Dau_vao!$B$13*(1+D272^2/1500))</f>
        <v>0.015</v>
      </c>
      <c r="J272" s="4">
        <f>Thiet_ke!$B$8*D272^2</f>
        <v>40.5580868131145</v>
      </c>
      <c r="K272" s="4">
        <f>Thiet_ke!$B$3*I272+J272</f>
        <v>1172.1415868131146</v>
      </c>
      <c r="L272" s="4">
        <f>(H272-J272)/Thiet_ke!$B$3</f>
        <v>0.20635232152387892</v>
      </c>
      <c r="M272" s="4">
        <f>1.05+0.05*B272^2</f>
        <v>1.9760129588726065</v>
      </c>
      <c r="N272" s="4">
        <f>(MIN(H272,Thiet_ke!$B$16)-K272)/(Thiet_ke!$B$2*M272)</f>
        <v>0.9499767021873429</v>
      </c>
      <c r="O272" s="4">
        <f>IF(N272&gt;0,1/N272,"")</f>
        <v>1.0526573943313318</v>
      </c>
    </row>
    <row r="273" spans="1:15">
      <c r="A273">
        <v>2</v>
      </c>
      <c r="B273" s="4">
        <f>Thiet_ke!$B$21</f>
        <v>4.30351707065885</v>
      </c>
      <c r="C273" s="4">
        <f>Dau_vao!$B$21+(Dau_vao!$B$19-Dau_vao!$B$21)*70/200</f>
        <v>1430.0</v>
      </c>
      <c r="D273" s="4">
        <f>2*PI()*C273*Thiet_ke!$B$7/(60*Thiet_ke!$B$15*B273)</f>
        <v>3.747293886627395</v>
      </c>
      <c r="E273" s="4">
        <f>D273*3.6</f>
        <v>13.490257991858622</v>
      </c>
      <c r="F273" s="4">
        <f>Thiet_ke!$B$12*(Dau_vao!$B$22*(C273/Dau_vao!$B$19)+Dau_vao!$B$23*(C273/Dau_vao!$B$19)^2-Dau_vao!$B$24*(C273/Dau_vao!$B$19)^3)</f>
        <v>65.80457411893899</v>
      </c>
      <c r="G273" s="4">
        <f>60000*F273/(2*PI()*C273)</f>
        <v>439.43174471690116</v>
      </c>
      <c r="H273" s="4">
        <f>G273*Thiet_ke!$B$15*B273*Dau_vao!$B$10/Thiet_ke!$B$7</f>
        <v>15628.897208957846</v>
      </c>
      <c r="I273" s="4">
        <f>IF(D273&lt;=Dau_vao!$B$14,Dau_vao!$B$13,Dau_vao!$B$13*(1+D273^2/1500))</f>
        <v>0.015</v>
      </c>
      <c r="J273" s="4">
        <f>Thiet_ke!$B$8*D273^2</f>
        <v>41.07346855780852</v>
      </c>
      <c r="K273" s="4">
        <f>Thiet_ke!$B$3*I273+J273</f>
        <v>1172.6569685578088</v>
      </c>
      <c r="L273" s="4">
        <f>(H273-J273)/Thiet_ke!$B$3</f>
        <v>0.2066284601233586</v>
      </c>
      <c r="M273" s="4">
        <f>1.05+0.05*B273^2</f>
        <v>1.9760129588726065</v>
      </c>
      <c r="N273" s="4">
        <f>(MIN(H273,Thiet_ke!$B$16)-K273)/(Thiet_ke!$B$2*M273)</f>
        <v>0.951347603956348</v>
      </c>
      <c r="O273" s="4">
        <f>IF(N273&gt;0,1/N273,"")</f>
        <v>1.0511405041031505</v>
      </c>
    </row>
    <row r="274" spans="1:15">
      <c r="A274">
        <v>2</v>
      </c>
      <c r="B274" s="4">
        <f>Thiet_ke!$B$21</f>
        <v>4.30351707065885</v>
      </c>
      <c r="C274" s="4">
        <f>Dau_vao!$B$21+(Dau_vao!$B$19-Dau_vao!$B$21)*71/200</f>
        <v>1439.0</v>
      </c>
      <c r="D274" s="4">
        <f>2*PI()*C274*Thiet_ke!$B$7/(60*Thiet_ke!$B$15*B274)</f>
        <v>3.770878253746029</v>
      </c>
      <c r="E274" s="4">
        <f>D274*3.6</f>
        <v>13.575161713485704</v>
      </c>
      <c r="F274" s="4">
        <f>Thiet_ke!$B$12*(Dau_vao!$B$22*(C274/Dau_vao!$B$19)+Dau_vao!$B$23*(C274/Dau_vao!$B$19)^2-Dau_vao!$B$24*(C274/Dau_vao!$B$19)^3)</f>
        <v>66.30762268964183</v>
      </c>
      <c r="G274" s="4">
        <f>60000*F274/(2*PI()*C274)</f>
        <v>440.0216504125982</v>
      </c>
      <c r="H274" s="4">
        <f>G274*Thiet_ke!$B$15*B274*Dau_vao!$B$10/Thiet_ke!$B$7</f>
        <v>15649.877885915923</v>
      </c>
      <c r="I274" s="4">
        <f>IF(D274&lt;=Dau_vao!$B$14,Dau_vao!$B$13,Dau_vao!$B$13*(1+D274^2/1500))</f>
        <v>0.015</v>
      </c>
      <c r="J274" s="4">
        <f>Thiet_ke!$B$8*D274^2</f>
        <v>41.592104203381</v>
      </c>
      <c r="K274" s="4">
        <f>Thiet_ke!$B$3*I274+J274</f>
        <v>1173.1756042033812</v>
      </c>
      <c r="L274" s="4">
        <f>(H274-J274)/Thiet_ke!$B$3</f>
        <v>0.20689970004483815</v>
      </c>
      <c r="M274" s="4">
        <f>1.05+0.05*B274^2</f>
        <v>1.9760129588726065</v>
      </c>
      <c r="N274" s="4">
        <f>(MIN(H274,Thiet_ke!$B$16)-K274)/(Thiet_ke!$B$2*M274)</f>
        <v>0.9526941860310084</v>
      </c>
      <c r="O274" s="4">
        <f>IF(N274&gt;0,1/N274,"")</f>
        <v>1.049654773444216</v>
      </c>
    </row>
    <row r="275" spans="1:15">
      <c r="A275">
        <v>2</v>
      </c>
      <c r="B275" s="4">
        <f>Thiet_ke!$B$21</f>
        <v>4.30351707065885</v>
      </c>
      <c r="C275" s="4">
        <f>Dau_vao!$B$21+(Dau_vao!$B$19-Dau_vao!$B$21)*72/200</f>
        <v>1448.0</v>
      </c>
      <c r="D275" s="4">
        <f>2*PI()*C275*Thiet_ke!$B$7/(60*Thiet_ke!$B$15*B275)</f>
        <v>3.7944626208646626</v>
      </c>
      <c r="E275" s="4">
        <f>D275*3.6</f>
        <v>13.660065435112786</v>
      </c>
      <c r="F275" s="4">
        <f>Thiet_ke!$B$12*(Dau_vao!$B$22*(C275/Dau_vao!$B$19)+Dau_vao!$B$23*(C275/Dau_vao!$B$19)^2-Dau_vao!$B$24*(C275/Dau_vao!$B$19)^3)</f>
        <v>66.81022152077274</v>
      </c>
      <c r="G275" s="4">
        <f>60000*F275/(2*PI()*C275)</f>
        <v>440.6012570757807</v>
      </c>
      <c r="H275" s="4">
        <f>G275*Thiet_ke!$B$15*B275*Dau_vao!$B$10/Thiet_ke!$B$7</f>
        <v>15670.492265895098</v>
      </c>
      <c r="I275" s="4">
        <f>IF(D275&lt;=Dau_vao!$B$14,Dau_vao!$B$13,Dau_vao!$B$13*(1+D275^2/1500))</f>
        <v>0.015</v>
      </c>
      <c r="J275" s="4">
        <f>Thiet_ke!$B$8*D275^2</f>
        <v>42.11399374983194</v>
      </c>
      <c r="K275" s="4">
        <f>Thiet_ke!$B$3*I275+J275</f>
        <v>1173.6974937498321</v>
      </c>
      <c r="L275" s="4">
        <f>(H275-J275)/Thiet_ke!$B$3</f>
        <v>0.20716604128831761</v>
      </c>
      <c r="M275" s="4">
        <f>1.05+0.05*B275^2</f>
        <v>1.9760129588726065</v>
      </c>
      <c r="N275" s="4">
        <f>(MIN(H275,Thiet_ke!$B$16)-K275)/(Thiet_ke!$B$2*M275)</f>
        <v>0.9540164484113242</v>
      </c>
      <c r="O275" s="4">
        <f>IF(N275&gt;0,1/N275,"")</f>
        <v>1.0481999567882188</v>
      </c>
    </row>
    <row r="276" spans="1:15">
      <c r="A276">
        <v>2</v>
      </c>
      <c r="B276" s="4">
        <f>Thiet_ke!$B$21</f>
        <v>4.30351707065885</v>
      </c>
      <c r="C276" s="4">
        <f>Dau_vao!$B$21+(Dau_vao!$B$19-Dau_vao!$B$21)*73/200</f>
        <v>1457.0</v>
      </c>
      <c r="D276" s="4">
        <f>2*PI()*C276*Thiet_ke!$B$7/(60*Thiet_ke!$B$15*B276)</f>
        <v>3.818046987983297</v>
      </c>
      <c r="E276" s="4">
        <f>D276*3.6</f>
        <v>13.744969156739868</v>
      </c>
      <c r="F276" s="4">
        <f>Thiet_ke!$B$12*(Dau_vao!$B$22*(C276/Dau_vao!$B$19)+Dau_vao!$B$23*(C276/Dau_vao!$B$19)^2-Dau_vao!$B$24*(C276/Dau_vao!$B$19)^3)</f>
        <v>67.31234149250334</v>
      </c>
      <c r="G276" s="4">
        <f>60000*F276/(2*PI()*C276)</f>
        <v>441.17056470644866</v>
      </c>
      <c r="H276" s="4">
        <f>G276*Thiet_ke!$B$15*B276*Dau_vao!$B$10/Thiet_ke!$B$7</f>
        <v>15690.740348895377</v>
      </c>
      <c r="I276" s="4">
        <f>IF(D276&lt;=Dau_vao!$B$14,Dau_vao!$B$13,Dau_vao!$B$13*(1+D276^2/1500))</f>
        <v>0.015</v>
      </c>
      <c r="J276" s="4">
        <f>Thiet_ke!$B$8*D276^2</f>
        <v>42.639137197161354</v>
      </c>
      <c r="K276" s="4">
        <f>Thiet_ke!$B$3*I276+J276</f>
        <v>1174.2226371971615</v>
      </c>
      <c r="L276" s="4">
        <f>(H276-J276)/Thiet_ke!$B$3</f>
        <v>0.20742748385379708</v>
      </c>
      <c r="M276" s="4">
        <f>1.05+0.05*B276^2</f>
        <v>1.9760129588726065</v>
      </c>
      <c r="N276" s="4">
        <f>(MIN(H276,Thiet_ke!$B$16)-K276)/(Thiet_ke!$B$2*M276)</f>
        <v>0.9553143910972958</v>
      </c>
      <c r="O276" s="4">
        <f>IF(N276&gt;0,1/N276,"")</f>
        <v>1.046775814662833</v>
      </c>
    </row>
    <row r="277" spans="1:15">
      <c r="A277">
        <v>2</v>
      </c>
      <c r="B277" s="4">
        <f>Thiet_ke!$B$21</f>
        <v>4.30351707065885</v>
      </c>
      <c r="C277" s="4">
        <f>Dau_vao!$B$21+(Dau_vao!$B$19-Dau_vao!$B$21)*74/200</f>
        <v>1466.0</v>
      </c>
      <c r="D277" s="4">
        <f>2*PI()*C277*Thiet_ke!$B$7/(60*Thiet_ke!$B$15*B277)</f>
        <v>3.84163135510193</v>
      </c>
      <c r="E277" s="4">
        <f>D277*3.6</f>
        <v>13.829872878366949</v>
      </c>
      <c r="F277" s="4">
        <f>Thiet_ke!$B$12*(Dau_vao!$B$22*(C277/Dau_vao!$B$19)+Dau_vao!$B$23*(C277/Dau_vao!$B$19)^2-Dau_vao!$B$24*(C277/Dau_vao!$B$19)^3)</f>
        <v>67.81395348500523</v>
      </c>
      <c r="G277" s="4">
        <f>60000*F277/(2*PI()*C277)</f>
        <v>441.7295733046021</v>
      </c>
      <c r="H277" s="4">
        <f>G277*Thiet_ke!$B$15*B277*Dau_vao!$B$10/Thiet_ke!$B$7</f>
        <v>15710.622134916752</v>
      </c>
      <c r="I277" s="4">
        <f>IF(D277&lt;=Dau_vao!$B$14,Dau_vao!$B$13,Dau_vao!$B$13*(1+D277^2/1500))</f>
        <v>0.015</v>
      </c>
      <c r="J277" s="4">
        <f>Thiet_ke!$B$8*D277^2</f>
        <v>43.16753454536921</v>
      </c>
      <c r="K277" s="4">
        <f>Thiet_ke!$B$3*I277+J277</f>
        <v>1174.7510345453693</v>
      </c>
      <c r="L277" s="4">
        <f>(H277-J277)/Thiet_ke!$B$3</f>
        <v>0.20768402774127645</v>
      </c>
      <c r="M277" s="4">
        <f>1.05+0.05*B277^2</f>
        <v>1.9760129588726065</v>
      </c>
      <c r="N277" s="4">
        <f>(MIN(H277,Thiet_ke!$B$16)-K277)/(Thiet_ke!$B$2*M277)</f>
        <v>0.9565880140889226</v>
      </c>
      <c r="O277" s="4">
        <f>IF(N277&gt;0,1/N277,"")</f>
        <v>1.045382113586719</v>
      </c>
    </row>
    <row r="278" spans="1:15">
      <c r="A278">
        <v>2</v>
      </c>
      <c r="B278" s="4">
        <f>Thiet_ke!$B$21</f>
        <v>4.30351707065885</v>
      </c>
      <c r="C278" s="4">
        <f>Dau_vao!$B$21+(Dau_vao!$B$19-Dau_vao!$B$21)*75/200</f>
        <v>1475.0</v>
      </c>
      <c r="D278" s="4">
        <f>2*PI()*C278*Thiet_ke!$B$7/(60*Thiet_ke!$B$15*B278)</f>
        <v>3.8652157222205643</v>
      </c>
      <c r="E278" s="4">
        <f>D278*3.6</f>
        <v>13.914776599994031</v>
      </c>
      <c r="F278" s="4">
        <f>Thiet_ke!$B$12*(Dau_vao!$B$22*(C278/Dau_vao!$B$19)+Dau_vao!$B$23*(C278/Dau_vao!$B$19)^2-Dau_vao!$B$24*(C278/Dau_vao!$B$19)^3)</f>
        <v>68.31502837844995</v>
      </c>
      <c r="G278" s="4">
        <f>60000*F278/(2*PI()*C278)</f>
        <v>442.27828287024073</v>
      </c>
      <c r="H278" s="4">
        <f>G278*Thiet_ke!$B$15*B278*Dau_vao!$B$10/Thiet_ke!$B$7</f>
        <v>15730.137623959225</v>
      </c>
      <c r="I278" s="4">
        <f>IF(D278&lt;=Dau_vao!$B$14,Dau_vao!$B$13,Dau_vao!$B$13*(1+D278^2/1500))</f>
        <v>0.015</v>
      </c>
      <c r="J278" s="4">
        <f>Thiet_ke!$B$8*D278^2</f>
        <v>43.69918579445554</v>
      </c>
      <c r="K278" s="4">
        <f>Thiet_ke!$B$3*I278+J278</f>
        <v>1175.2826857944558</v>
      </c>
      <c r="L278" s="4">
        <f>(H278-J278)/Thiet_ke!$B$3</f>
        <v>0.20793567295075574</v>
      </c>
      <c r="M278" s="4">
        <f>1.05+0.05*B278^2</f>
        <v>1.9760129588726065</v>
      </c>
      <c r="N278" s="4">
        <f>(MIN(H278,Thiet_ke!$B$16)-K278)/(Thiet_ke!$B$2*M278)</f>
        <v>0.9578373173862045</v>
      </c>
      <c r="O278" s="4">
        <f>IF(N278&gt;0,1/N278,"")</f>
        <v>1.0440186259696491</v>
      </c>
    </row>
    <row r="279" spans="1:15">
      <c r="A279">
        <v>2</v>
      </c>
      <c r="B279" s="4">
        <f>Thiet_ke!$B$21</f>
        <v>4.30351707065885</v>
      </c>
      <c r="C279" s="4">
        <f>Dau_vao!$B$21+(Dau_vao!$B$19-Dau_vao!$B$21)*76/200</f>
        <v>1484.0</v>
      </c>
      <c r="D279" s="4">
        <f>2*PI()*C279*Thiet_ke!$B$7/(60*Thiet_ke!$B$15*B279)</f>
        <v>3.888800089339199</v>
      </c>
      <c r="E279" s="4">
        <f>D279*3.6</f>
        <v>13.999680321621117</v>
      </c>
      <c r="F279" s="4">
        <f>Thiet_ke!$B$12*(Dau_vao!$B$22*(C279/Dau_vao!$B$19)+Dau_vao!$B$23*(C279/Dau_vao!$B$19)^2-Dau_vao!$B$24*(C279/Dau_vao!$B$19)^3)</f>
        <v>68.8155370530092</v>
      </c>
      <c r="G279" s="4">
        <f>60000*F279/(2*PI()*C279)</f>
        <v>442.81669340336504</v>
      </c>
      <c r="H279" s="4">
        <f>G279*Thiet_ke!$B$15*B279*Dau_vao!$B$10/Thiet_ke!$B$7</f>
        <v>15749.286816022817</v>
      </c>
      <c r="I279" s="4">
        <f>IF(D279&lt;=Dau_vao!$B$14,Dau_vao!$B$13,Dau_vao!$B$13*(1+D279^2/1500))</f>
        <v>0.015</v>
      </c>
      <c r="J279" s="4">
        <f>Thiet_ke!$B$8*D279^2</f>
        <v>44.23409094442035</v>
      </c>
      <c r="K279" s="4">
        <f>Thiet_ke!$B$3*I279+J279</f>
        <v>1175.8175909444205</v>
      </c>
      <c r="L279" s="4">
        <f>(H279-J279)/Thiet_ke!$B$3</f>
        <v>0.20818241948223523</v>
      </c>
      <c r="M279" s="4">
        <f>1.05+0.05*B279^2</f>
        <v>1.9760129588726065</v>
      </c>
      <c r="N279" s="4">
        <f>(MIN(H279,Thiet_ke!$B$16)-K279)/(Thiet_ke!$B$2*M279)</f>
        <v>0.9590623009891436</v>
      </c>
      <c r="O279" s="4">
        <f>IF(N279&gt;0,1/N279,"")</f>
        <v>1.0426851300156774</v>
      </c>
    </row>
    <row r="280" spans="1:15">
      <c r="A280">
        <v>2</v>
      </c>
      <c r="B280" s="4">
        <f>Thiet_ke!$B$21</f>
        <v>4.30351707065885</v>
      </c>
      <c r="C280" s="4">
        <f>Dau_vao!$B$21+(Dau_vao!$B$19-Dau_vao!$B$21)*77/200</f>
        <v>1493.0</v>
      </c>
      <c r="D280" s="4">
        <f>2*PI()*C280*Thiet_ke!$B$7/(60*Thiet_ke!$B$15*B280)</f>
        <v>3.9123844564578327</v>
      </c>
      <c r="E280" s="4">
        <f>D280*3.6</f>
        <v>14.084584043248197</v>
      </c>
      <c r="F280" s="4">
        <f>Thiet_ke!$B$12*(Dau_vao!$B$22*(C280/Dau_vao!$B$19)+Dau_vao!$B$23*(C280/Dau_vao!$B$19)^2-Dau_vao!$B$24*(C280/Dau_vao!$B$19)^3)</f>
        <v>69.31545038885447</v>
      </c>
      <c r="G280" s="4">
        <f>60000*F280/(2*PI()*C280)</f>
        <v>443.34480490397436</v>
      </c>
      <c r="H280" s="4">
        <f>G280*Thiet_ke!$B$15*B280*Dau_vao!$B$10/Thiet_ke!$B$7</f>
        <v>15768.069711107488</v>
      </c>
      <c r="I280" s="4">
        <f>IF(D280&lt;=Dau_vao!$B$14,Dau_vao!$B$13,Dau_vao!$B$13*(1+D280^2/1500))</f>
        <v>0.015</v>
      </c>
      <c r="J280" s="4">
        <f>Thiet_ke!$B$8*D280^2</f>
        <v>44.77224999526359</v>
      </c>
      <c r="K280" s="4">
        <f>Thiet_ke!$B$3*I280+J280</f>
        <v>1176.3557499952637</v>
      </c>
      <c r="L280" s="4">
        <f>(H280-J280)/Thiet_ke!$B$3</f>
        <v>0.20842426733571437</v>
      </c>
      <c r="M280" s="4">
        <f>1.05+0.05*B280^2</f>
        <v>1.9760129588726065</v>
      </c>
      <c r="N280" s="4">
        <f>(MIN(H280,Thiet_ke!$B$16)-K280)/(Thiet_ke!$B$2*M280)</f>
        <v>0.9602629648977364</v>
      </c>
      <c r="O280" s="4">
        <f>IF(N280&gt;0,1/N280,"")</f>
        <v>1.0413814096292835</v>
      </c>
    </row>
    <row r="281" spans="1:15">
      <c r="A281">
        <v>2</v>
      </c>
      <c r="B281" s="4">
        <f>Thiet_ke!$B$21</f>
        <v>4.30351707065885</v>
      </c>
      <c r="C281" s="4">
        <f>Dau_vao!$B$21+(Dau_vao!$B$19-Dau_vao!$B$21)*78/200</f>
        <v>1502.0</v>
      </c>
      <c r="D281" s="4">
        <f>2*PI()*C281*Thiet_ke!$B$7/(60*Thiet_ke!$B$15*B281)</f>
        <v>3.9359688235764665</v>
      </c>
      <c r="E281" s="4">
        <f>D281*3.6</f>
        <v>14.16948776487528</v>
      </c>
      <c r="F281" s="4">
        <f>Thiet_ke!$B$12*(Dau_vao!$B$22*(C281/Dau_vao!$B$19)+Dau_vao!$B$23*(C281/Dau_vao!$B$19)^2-Dau_vao!$B$24*(C281/Dau_vao!$B$19)^3)</f>
        <v>69.81473926615747</v>
      </c>
      <c r="G281" s="4">
        <f>60000*F281/(2*PI()*C281)</f>
        <v>443.86261737206945</v>
      </c>
      <c r="H281" s="4">
        <f>G281*Thiet_ke!$B$15*B281*Dau_vao!$B$10/Thiet_ke!$B$7</f>
        <v>15786.486309213275</v>
      </c>
      <c r="I281" s="4">
        <f>IF(D281&lt;=Dau_vao!$B$14,Dau_vao!$B$13,Dau_vao!$B$13*(1+D281^2/1500))</f>
        <v>0.015</v>
      </c>
      <c r="J281" s="4">
        <f>Thiet_ke!$B$8*D281^2</f>
        <v>45.313662946985296</v>
      </c>
      <c r="K281" s="4">
        <f>Thiet_ke!$B$3*I281+J281</f>
        <v>1176.8971629469854</v>
      </c>
      <c r="L281" s="4">
        <f>(H281-J281)/Thiet_ke!$B$3</f>
        <v>0.20866121651119368</v>
      </c>
      <c r="M281" s="4">
        <f>1.05+0.05*B281^2</f>
        <v>1.9760129588726065</v>
      </c>
      <c r="N281" s="4">
        <f>(MIN(H281,Thiet_ke!$B$16)-K281)/(Thiet_ke!$B$2*M281)</f>
        <v>0.961439309111986</v>
      </c>
      <c r="O281" s="4">
        <f>IF(N281&gt;0,1/N281,"")</f>
        <v>1.0401072543243834</v>
      </c>
    </row>
    <row r="282" spans="1:15">
      <c r="A282">
        <v>2</v>
      </c>
      <c r="B282" s="4">
        <f>Thiet_ke!$B$21</f>
        <v>4.30351707065885</v>
      </c>
      <c r="C282" s="4">
        <f>Dau_vao!$B$21+(Dau_vao!$B$19-Dau_vao!$B$21)*79/200</f>
        <v>1511.0</v>
      </c>
      <c r="D282" s="4">
        <f>2*PI()*C282*Thiet_ke!$B$7/(60*Thiet_ke!$B$15*B282)</f>
        <v>3.9595531906951003</v>
      </c>
      <c r="E282" s="4">
        <f>D282*3.6</f>
        <v>14.254391486502362</v>
      </c>
      <c r="F282" s="4">
        <f>Thiet_ke!$B$12*(Dau_vao!$B$22*(C282/Dau_vao!$B$19)+Dau_vao!$B$23*(C282/Dau_vao!$B$19)^2-Dau_vao!$B$24*(C282/Dau_vao!$B$19)^3)</f>
        <v>70.31337456508975</v>
      </c>
      <c r="G282" s="4">
        <f>60000*F282/(2*PI()*C282)</f>
        <v>444.3701308076498</v>
      </c>
      <c r="H282" s="4">
        <f>G282*Thiet_ke!$B$15*B282*Dau_vao!$B$10/Thiet_ke!$B$7</f>
        <v>15804.536610340147</v>
      </c>
      <c r="I282" s="4">
        <f>IF(D282&lt;=Dau_vao!$B$14,Dau_vao!$B$13,Dau_vao!$B$13*(1+D282^2/1500))</f>
        <v>0.015</v>
      </c>
      <c r="J282" s="4">
        <f>Thiet_ke!$B$8*D282^2</f>
        <v>45.85832979958547</v>
      </c>
      <c r="K282" s="4">
        <f>Thiet_ke!$B$3*I282+J282</f>
        <v>1177.4418297995855</v>
      </c>
      <c r="L282" s="4">
        <f>(H282-J282)/Thiet_ke!$B$3</f>
        <v>0.20889326700867272</v>
      </c>
      <c r="M282" s="4">
        <f>1.05+0.05*B282^2</f>
        <v>1.9760129588726065</v>
      </c>
      <c r="N282" s="4">
        <f>(MIN(H282,Thiet_ke!$B$16)-K282)/(Thiet_ke!$B$2*M282)</f>
        <v>0.9625913336318901</v>
      </c>
      <c r="O282" s="4">
        <f>IF(N282&gt;0,1/N282,"")</f>
        <v>1.0388624591361795</v>
      </c>
    </row>
    <row r="283" spans="1:15">
      <c r="A283">
        <v>2</v>
      </c>
      <c r="B283" s="4">
        <f>Thiet_ke!$B$21</f>
        <v>4.30351707065885</v>
      </c>
      <c r="C283" s="4">
        <f>Dau_vao!$B$21+(Dau_vao!$B$19-Dau_vao!$B$21)*80/200</f>
        <v>1520.0</v>
      </c>
      <c r="D283" s="4">
        <f>2*PI()*C283*Thiet_ke!$B$7/(60*Thiet_ke!$B$15*B283)</f>
        <v>3.9831375578137345</v>
      </c>
      <c r="E283" s="4">
        <f>D283*3.6</f>
        <v>14.339295208129444</v>
      </c>
      <c r="F283" s="4">
        <f>Thiet_ke!$B$12*(Dau_vao!$B$22*(C283/Dau_vao!$B$19)+Dau_vao!$B$23*(C283/Dau_vao!$B$19)^2-Dau_vao!$B$24*(C283/Dau_vao!$B$19)^3)</f>
        <v>70.81132716582292</v>
      </c>
      <c r="G283" s="4">
        <f>60000*F283/(2*PI()*C283)</f>
        <v>444.8673452107156</v>
      </c>
      <c r="H283" s="4">
        <f>G283*Thiet_ke!$B$15*B283*Dau_vao!$B$10/Thiet_ke!$B$7</f>
        <v>15822.220614488131</v>
      </c>
      <c r="I283" s="4">
        <f>IF(D283&lt;=Dau_vao!$B$14,Dau_vao!$B$13,Dau_vao!$B$13*(1+D283^2/1500))</f>
        <v>0.015</v>
      </c>
      <c r="J283" s="4">
        <f>Thiet_ke!$B$8*D283^2</f>
        <v>46.40625055306411</v>
      </c>
      <c r="K283" s="4">
        <f>Thiet_ke!$B$3*I283+J283</f>
        <v>1177.9897505530644</v>
      </c>
      <c r="L283" s="4">
        <f>(H283-J283)/Thiet_ke!$B$3</f>
        <v>0.20912041882815186</v>
      </c>
      <c r="M283" s="4">
        <f>1.05+0.05*B283^2</f>
        <v>1.9760129588726065</v>
      </c>
      <c r="N283" s="4">
        <f>(MIN(H283,Thiet_ke!$B$16)-K283)/(Thiet_ke!$B$2*M283)</f>
        <v>0.9637190384574504</v>
      </c>
      <c r="O283" s="4">
        <f>IF(N283&gt;0,1/N283,"")</f>
        <v>1.0376468245357295</v>
      </c>
    </row>
    <row r="284" spans="1:15">
      <c r="A284">
        <v>2</v>
      </c>
      <c r="B284" s="4">
        <f>Thiet_ke!$B$21</f>
        <v>4.30351707065885</v>
      </c>
      <c r="C284" s="4">
        <f>Dau_vao!$B$21+(Dau_vao!$B$19-Dau_vao!$B$21)*81/200</f>
        <v>1529.0</v>
      </c>
      <c r="D284" s="4">
        <f>2*PI()*C284*Thiet_ke!$B$7/(60*Thiet_ke!$B$15*B284)</f>
        <v>4.006721924932369</v>
      </c>
      <c r="E284" s="4">
        <f>D284*3.6</f>
        <v>14.424198929756528</v>
      </c>
      <c r="F284" s="4">
        <f>Thiet_ke!$B$12*(Dau_vao!$B$22*(C284/Dau_vao!$B$19)+Dau_vao!$B$23*(C284/Dau_vao!$B$19)^2-Dau_vao!$B$24*(C284/Dau_vao!$B$19)^3)</f>
        <v>71.30856794852853</v>
      </c>
      <c r="G284" s="4">
        <f>60000*F284/(2*PI()*C284)</f>
        <v>445.35426058126666</v>
      </c>
      <c r="H284" s="4">
        <f>G284*Thiet_ke!$B$15*B284*Dau_vao!$B$10/Thiet_ke!$B$7</f>
        <v>15839.538321657212</v>
      </c>
      <c r="I284" s="4">
        <f>IF(D284&lt;=Dau_vao!$B$14,Dau_vao!$B$13,Dau_vao!$B$13*(1+D284^2/1500))</f>
        <v>0.015</v>
      </c>
      <c r="J284" s="4">
        <f>Thiet_ke!$B$8*D284^2</f>
        <v>46.95742520742121</v>
      </c>
      <c r="K284" s="4">
        <f>Thiet_ke!$B$3*I284+J284</f>
        <v>1178.5409252074214</v>
      </c>
      <c r="L284" s="4">
        <f>(H284-J284)/Thiet_ke!$B$3</f>
        <v>0.20934267196963088</v>
      </c>
      <c r="M284" s="4">
        <f>1.05+0.05*B284^2</f>
        <v>1.9760129588726065</v>
      </c>
      <c r="N284" s="4">
        <f>(MIN(H284,Thiet_ke!$B$16)-K284)/(Thiet_ke!$B$2*M284)</f>
        <v>0.9648224235886661</v>
      </c>
      <c r="O284" s="4">
        <f>IF(N284&gt;0,1/N284,"")</f>
        <v>1.036460156347207</v>
      </c>
    </row>
    <row r="285" spans="1:15">
      <c r="A285">
        <v>2</v>
      </c>
      <c r="B285" s="4">
        <f>Thiet_ke!$B$21</f>
        <v>4.30351707065885</v>
      </c>
      <c r="C285" s="4">
        <f>Dau_vao!$B$21+(Dau_vao!$B$19-Dau_vao!$B$21)*82/200</f>
        <v>1538.0</v>
      </c>
      <c r="D285" s="4">
        <f>2*PI()*C285*Thiet_ke!$B$7/(60*Thiet_ke!$B$15*B285)</f>
        <v>4.030306292051002</v>
      </c>
      <c r="E285" s="4">
        <f>D285*3.6</f>
        <v>14.509102651383609</v>
      </c>
      <c r="F285" s="4">
        <f>Thiet_ke!$B$12*(Dau_vao!$B$22*(C285/Dau_vao!$B$19)+Dau_vao!$B$23*(C285/Dau_vao!$B$19)^2-Dau_vao!$B$24*(C285/Dau_vao!$B$19)^3)</f>
        <v>71.80506779337827</v>
      </c>
      <c r="G285" s="4">
        <f>60000*F285/(2*PI()*C285)</f>
        <v>445.83087691930325</v>
      </c>
      <c r="H285" s="4">
        <f>G285*Thiet_ke!$B$15*B285*Dau_vao!$B$10/Thiet_ke!$B$7</f>
        <v>15856.489731847394</v>
      </c>
      <c r="I285" s="4">
        <f>IF(D285&lt;=Dau_vao!$B$14,Dau_vao!$B$13,Dau_vao!$B$13*(1+D285^2/1500))</f>
        <v>0.015</v>
      </c>
      <c r="J285" s="4">
        <f>Thiet_ke!$B$8*D285^2</f>
        <v>47.511853762656756</v>
      </c>
      <c r="K285" s="4">
        <f>Thiet_ke!$B$3*I285+J285</f>
        <v>1179.095353762657</v>
      </c>
      <c r="L285" s="4">
        <f>(H285-J285)/Thiet_ke!$B$3</f>
        <v>0.20956002643310992</v>
      </c>
      <c r="M285" s="4">
        <f>1.05+0.05*B285^2</f>
        <v>1.9760129588726065</v>
      </c>
      <c r="N285" s="4">
        <f>(MIN(H285,Thiet_ke!$B$16)-K285)/(Thiet_ke!$B$2*M285)</f>
        <v>0.9659014890255373</v>
      </c>
      <c r="O285" s="4">
        <f>IF(N285&gt;0,1/N285,"")</f>
        <v>1.0353022656677582</v>
      </c>
    </row>
    <row r="286" spans="1:15">
      <c r="A286">
        <v>2</v>
      </c>
      <c r="B286" s="4">
        <f>Thiet_ke!$B$21</f>
        <v>4.30351707065885</v>
      </c>
      <c r="C286" s="4">
        <f>Dau_vao!$B$21+(Dau_vao!$B$19-Dau_vao!$B$21)*83/200</f>
        <v>1547.0</v>
      </c>
      <c r="D286" s="4">
        <f>2*PI()*C286*Thiet_ke!$B$7/(60*Thiet_ke!$B$15*B286)</f>
        <v>4.053890659169636</v>
      </c>
      <c r="E286" s="4">
        <f>D286*3.6</f>
        <v>14.594006373010691</v>
      </c>
      <c r="F286" s="4">
        <f>Thiet_ke!$B$12*(Dau_vao!$B$22*(C286/Dau_vao!$B$19)+Dau_vao!$B$23*(C286/Dau_vao!$B$19)^2-Dau_vao!$B$24*(C286/Dau_vao!$B$19)^3)</f>
        <v>72.3007975805437</v>
      </c>
      <c r="G286" s="4">
        <f>60000*F286/(2*PI()*C286)</f>
        <v>446.29719422482526</v>
      </c>
      <c r="H286" s="4">
        <f>G286*Thiet_ke!$B$15*B286*Dau_vao!$B$10/Thiet_ke!$B$7</f>
        <v>15873.074845058678</v>
      </c>
      <c r="I286" s="4">
        <f>IF(D286&lt;=Dau_vao!$B$14,Dau_vao!$B$13,Dau_vao!$B$13*(1+D286^2/1500))</f>
        <v>0.015</v>
      </c>
      <c r="J286" s="4">
        <f>Thiet_ke!$B$8*D286^2</f>
        <v>48.06953621877078</v>
      </c>
      <c r="K286" s="4">
        <f>Thiet_ke!$B$3*I286+J286</f>
        <v>1179.653036218771</v>
      </c>
      <c r="L286" s="4">
        <f>(H286-J286)/Thiet_ke!$B$3</f>
        <v>0.20977248221858888</v>
      </c>
      <c r="M286" s="4">
        <f>1.05+0.05*B286^2</f>
        <v>1.9760129588726065</v>
      </c>
      <c r="N286" s="4">
        <f>(MIN(H286,Thiet_ke!$B$16)-K286)/(Thiet_ke!$B$2*M286)</f>
        <v>0.9669562347680641</v>
      </c>
      <c r="O286" s="4">
        <f>IF(N286&gt;0,1/N286,"")</f>
        <v>1.034172968789908</v>
      </c>
    </row>
    <row r="287" spans="1:15">
      <c r="A287">
        <v>2</v>
      </c>
      <c r="B287" s="4">
        <f>Thiet_ke!$B$21</f>
        <v>4.30351707065885</v>
      </c>
      <c r="C287" s="4">
        <f>Dau_vao!$B$21+(Dau_vao!$B$19-Dau_vao!$B$21)*84/200</f>
        <v>1556.0</v>
      </c>
      <c r="D287" s="4">
        <f>2*PI()*C287*Thiet_ke!$B$7/(60*Thiet_ke!$B$15*B287)</f>
        <v>4.07747502628827</v>
      </c>
      <c r="E287" s="4">
        <f>D287*3.6</f>
        <v>14.678910094637772</v>
      </c>
      <c r="F287" s="4">
        <f>Thiet_ke!$B$12*(Dau_vao!$B$22*(C287/Dau_vao!$B$19)+Dau_vao!$B$23*(C287/Dau_vao!$B$19)^2-Dau_vao!$B$24*(C287/Dau_vao!$B$19)^3)</f>
        <v>72.79572819019643</v>
      </c>
      <c r="G287" s="4">
        <f>60000*F287/(2*PI()*C287)</f>
        <v>446.7532124978327</v>
      </c>
      <c r="H287" s="4">
        <f>G287*Thiet_ke!$B$15*B287*Dau_vao!$B$10/Thiet_ke!$B$7</f>
        <v>15889.293661291058</v>
      </c>
      <c r="I287" s="4">
        <f>IF(D287&lt;=Dau_vao!$B$14,Dau_vao!$B$13,Dau_vao!$B$13*(1+D287^2/1500))</f>
        <v>0.015</v>
      </c>
      <c r="J287" s="4">
        <f>Thiet_ke!$B$8*D287^2</f>
        <v>48.63047257576325</v>
      </c>
      <c r="K287" s="4">
        <f>Thiet_ke!$B$3*I287+J287</f>
        <v>1180.2139725757634</v>
      </c>
      <c r="L287" s="4">
        <f>(H287-J287)/Thiet_ke!$B$3</f>
        <v>0.20998003932606776</v>
      </c>
      <c r="M287" s="4">
        <f>1.05+0.05*B287^2</f>
        <v>1.9760129588726065</v>
      </c>
      <c r="N287" s="4">
        <f>(MIN(H287,Thiet_ke!$B$16)-K287)/(Thiet_ke!$B$2*M287)</f>
        <v>0.9679866608162462</v>
      </c>
      <c r="O287" s="4">
        <f>IF(N287&gt;0,1/N287,"")</f>
        <v>1.0330720871264474</v>
      </c>
    </row>
    <row r="288" spans="1:15">
      <c r="A288">
        <v>2</v>
      </c>
      <c r="B288" s="4">
        <f>Thiet_ke!$B$21</f>
        <v>4.30351707065885</v>
      </c>
      <c r="C288" s="4">
        <f>Dau_vao!$B$21+(Dau_vao!$B$19-Dau_vao!$B$21)*85/200</f>
        <v>1565.0</v>
      </c>
      <c r="D288" s="4">
        <f>2*PI()*C288*Thiet_ke!$B$7/(60*Thiet_ke!$B$15*B288)</f>
        <v>4.101059393406904</v>
      </c>
      <c r="E288" s="4">
        <f>D288*3.6</f>
        <v>14.763813816264854</v>
      </c>
      <c r="F288" s="4">
        <f>Thiet_ke!$B$12*(Dau_vao!$B$22*(C288/Dau_vao!$B$19)+Dau_vao!$B$23*(C288/Dau_vao!$B$19)^2-Dau_vao!$B$24*(C288/Dau_vao!$B$19)^3)</f>
        <v>73.28983050250802</v>
      </c>
      <c r="G288" s="4">
        <f>60000*F288/(2*PI()*C288)</f>
        <v>447.1989317383254</v>
      </c>
      <c r="H288" s="4">
        <f>G288*Thiet_ke!$B$15*B288*Dau_vao!$B$10/Thiet_ke!$B$7</f>
        <v>15905.146180544541</v>
      </c>
      <c r="I288" s="4">
        <f>IF(D288&lt;=Dau_vao!$B$14,Dau_vao!$B$13,Dau_vao!$B$13*(1+D288^2/1500))</f>
        <v>0.015</v>
      </c>
      <c r="J288" s="4">
        <f>Thiet_ke!$B$8*D288^2</f>
        <v>49.19466283363418</v>
      </c>
      <c r="K288" s="4">
        <f>Thiet_ke!$B$3*I288+J288</f>
        <v>1180.7781628336343</v>
      </c>
      <c r="L288" s="4">
        <f>(H288-J288)/Thiet_ke!$B$3</f>
        <v>0.21018269775554663</v>
      </c>
      <c r="M288" s="4">
        <f>1.05+0.05*B288^2</f>
        <v>1.9760129588726065</v>
      </c>
      <c r="N288" s="4">
        <f>(MIN(H288,Thiet_ke!$B$16)-K288)/(Thiet_ke!$B$2*M288)</f>
        <v>0.9689927671700841</v>
      </c>
      <c r="O288" s="4">
        <f>IF(N288&gt;0,1/N288,"")</f>
        <v>1.0319994471377445</v>
      </c>
    </row>
    <row r="289" spans="1:15">
      <c r="A289">
        <v>2</v>
      </c>
      <c r="B289" s="4">
        <f>Thiet_ke!$B$21</f>
        <v>4.30351707065885</v>
      </c>
      <c r="C289" s="4">
        <f>Dau_vao!$B$21+(Dau_vao!$B$19-Dau_vao!$B$21)*86/200</f>
        <v>1574.0</v>
      </c>
      <c r="D289" s="4">
        <f>2*PI()*C289*Thiet_ke!$B$7/(60*Thiet_ke!$B$15*B289)</f>
        <v>4.1246437605255375</v>
      </c>
      <c r="E289" s="4">
        <f>D289*3.6</f>
        <v>14.848717537891936</v>
      </c>
      <c r="F289" s="4">
        <f>Thiet_ke!$B$12*(Dau_vao!$B$22*(C289/Dau_vao!$B$19)+Dau_vao!$B$23*(C289/Dau_vao!$B$19)^2-Dau_vao!$B$24*(C289/Dau_vao!$B$19)^3)</f>
        <v>73.78307539765014</v>
      </c>
      <c r="G289" s="4">
        <f>60000*F289/(2*PI()*C289)</f>
        <v>447.63435194630364</v>
      </c>
      <c r="H289" s="4">
        <f>G289*Thiet_ke!$B$15*B289*Dau_vao!$B$10/Thiet_ke!$B$7</f>
        <v>15920.632402819132</v>
      </c>
      <c r="I289" s="4">
        <f>IF(D289&lt;=Dau_vao!$B$14,Dau_vao!$B$13,Dau_vao!$B$13*(1+D289^2/1500))</f>
        <v>0.015</v>
      </c>
      <c r="J289" s="4">
        <f>Thiet_ke!$B$8*D289^2</f>
        <v>49.76210699238357</v>
      </c>
      <c r="K289" s="4">
        <f>Thiet_ke!$B$3*I289+J289</f>
        <v>1181.3456069923839</v>
      </c>
      <c r="L289" s="4">
        <f>(H289-J289)/Thiet_ke!$B$3</f>
        <v>0.2103804575070255</v>
      </c>
      <c r="M289" s="4">
        <f>1.05+0.05*B289^2</f>
        <v>1.9760129588726065</v>
      </c>
      <c r="N289" s="4">
        <f>(MIN(H289,Thiet_ke!$B$16)-K289)/(Thiet_ke!$B$2*M289)</f>
        <v>0.9699745538295779</v>
      </c>
      <c r="O289" s="4">
        <f>IF(N289&gt;0,1/N289,"")</f>
        <v>1.0309548802614235</v>
      </c>
    </row>
    <row r="290" spans="1:15">
      <c r="A290">
        <v>2</v>
      </c>
      <c r="B290" s="4">
        <f>Thiet_ke!$B$21</f>
        <v>4.30351707065885</v>
      </c>
      <c r="C290" s="4">
        <f>Dau_vao!$B$21+(Dau_vao!$B$19-Dau_vao!$B$21)*87/200</f>
        <v>1583.0</v>
      </c>
      <c r="D290" s="4">
        <f>2*PI()*C290*Thiet_ke!$B$7/(60*Thiet_ke!$B$15*B290)</f>
        <v>4.148228127644172</v>
      </c>
      <c r="E290" s="4">
        <f>D290*3.6</f>
        <v>14.93362125951902</v>
      </c>
      <c r="F290" s="4">
        <f>Thiet_ke!$B$12*(Dau_vao!$B$22*(C290/Dau_vao!$B$19)+Dau_vao!$B$23*(C290/Dau_vao!$B$19)^2-Dau_vao!$B$24*(C290/Dau_vao!$B$19)^3)</f>
        <v>74.27543375579434</v>
      </c>
      <c r="G290" s="4">
        <f>60000*F290/(2*PI()*C290)</f>
        <v>448.05947312176716</v>
      </c>
      <c r="H290" s="4">
        <f>G290*Thiet_ke!$B$15*B290*Dau_vao!$B$10/Thiet_ke!$B$7</f>
        <v>15935.752328114808</v>
      </c>
      <c r="I290" s="4">
        <f>IF(D290&lt;=Dau_vao!$B$14,Dau_vao!$B$13,Dau_vao!$B$13*(1+D290^2/1500))</f>
        <v>0.015</v>
      </c>
      <c r="J290" s="4">
        <f>Thiet_ke!$B$8*D290^2</f>
        <v>50.33280505201145</v>
      </c>
      <c r="K290" s="4">
        <f>Thiet_ke!$B$3*I290+J290</f>
        <v>1181.9163050520117</v>
      </c>
      <c r="L290" s="4">
        <f>(H290-J290)/Thiet_ke!$B$3</f>
        <v>0.21057331858050415</v>
      </c>
      <c r="M290" s="4">
        <f>1.05+0.05*B290^2</f>
        <v>1.9760129588726065</v>
      </c>
      <c r="N290" s="4">
        <f>(MIN(H290,Thiet_ke!$B$16)-K290)/(Thiet_ke!$B$2*M290)</f>
        <v>0.9709320207947262</v>
      </c>
      <c r="O290" s="4">
        <f>IF(N290&gt;0,1/N290,"")</f>
        <v>1.0299382228443563</v>
      </c>
    </row>
    <row r="291" spans="1:15">
      <c r="A291">
        <v>2</v>
      </c>
      <c r="B291" s="4">
        <f>Thiet_ke!$B$21</f>
        <v>4.30351707065885</v>
      </c>
      <c r="C291" s="4">
        <f>Dau_vao!$B$21+(Dau_vao!$B$19-Dau_vao!$B$21)*88/200</f>
        <v>1592.0</v>
      </c>
      <c r="D291" s="4">
        <f>2*PI()*C291*Thiet_ke!$B$7/(60*Thiet_ke!$B$15*B291)</f>
        <v>4.171812494762807</v>
      </c>
      <c r="E291" s="4">
        <f>D291*3.6</f>
        <v>15.018524981146104</v>
      </c>
      <c r="F291" s="4">
        <f>Thiet_ke!$B$12*(Dau_vao!$B$22*(C291/Dau_vao!$B$19)+Dau_vao!$B$23*(C291/Dau_vao!$B$19)^2-Dau_vao!$B$24*(C291/Dau_vao!$B$19)^3)</f>
        <v>74.76687645711225</v>
      </c>
      <c r="G291" s="4">
        <f>60000*F291/(2*PI()*C291)</f>
        <v>448.4742952647162</v>
      </c>
      <c r="H291" s="4">
        <f>G291*Thiet_ke!$B$15*B291*Dau_vao!$B$10/Thiet_ke!$B$7</f>
        <v>15950.505956431598</v>
      </c>
      <c r="I291" s="4">
        <f>IF(D291&lt;=Dau_vao!$B$14,Dau_vao!$B$13,Dau_vao!$B$13*(1+D291^2/1500))</f>
        <v>0.015</v>
      </c>
      <c r="J291" s="4">
        <f>Thiet_ke!$B$8*D291^2</f>
        <v>50.906757012517794</v>
      </c>
      <c r="K291" s="4">
        <f>Thiet_ke!$B$3*I291+J291</f>
        <v>1182.490257012518</v>
      </c>
      <c r="L291" s="4">
        <f>(H291-J291)/Thiet_ke!$B$3</f>
        <v>0.21076128097598293</v>
      </c>
      <c r="M291" s="4">
        <f>1.05+0.05*B291^2</f>
        <v>1.9760129588726065</v>
      </c>
      <c r="N291" s="4">
        <f>(MIN(H291,Thiet_ke!$B$16)-K291)/(Thiet_ke!$B$2*M291)</f>
        <v>0.9718651680655309</v>
      </c>
      <c r="O291" s="4">
        <f>IF(N291&gt;0,1/N291,"")</f>
        <v>1.0289493160769108</v>
      </c>
    </row>
    <row r="292" spans="1:15">
      <c r="A292">
        <v>2</v>
      </c>
      <c r="B292" s="4">
        <f>Thiet_ke!$B$21</f>
        <v>4.30351707065885</v>
      </c>
      <c r="C292" s="4">
        <f>Dau_vao!$B$21+(Dau_vao!$B$19-Dau_vao!$B$21)*89/200</f>
        <v>1601.0</v>
      </c>
      <c r="D292" s="4">
        <f>2*PI()*C292*Thiet_ke!$B$7/(60*Thiet_ke!$B$15*B292)</f>
        <v>4.19539686188144</v>
      </c>
      <c r="E292" s="4">
        <f>D292*3.6</f>
        <v>15.103428702773183</v>
      </c>
      <c r="F292" s="4">
        <f>Thiet_ke!$B$12*(Dau_vao!$B$22*(C292/Dau_vao!$B$19)+Dau_vao!$B$23*(C292/Dau_vao!$B$19)^2-Dau_vao!$B$24*(C292/Dau_vao!$B$19)^3)</f>
        <v>75.25737438177545</v>
      </c>
      <c r="G292" s="4">
        <f>60000*F292/(2*PI()*C292)</f>
        <v>448.8788183751506</v>
      </c>
      <c r="H292" s="4">
        <f>G292*Thiet_ke!$B$15*B292*Dau_vao!$B$10/Thiet_ke!$B$7</f>
        <v>15964.893287769486</v>
      </c>
      <c r="I292" s="4">
        <f>IF(D292&lt;=Dau_vao!$B$14,Dau_vao!$B$13,Dau_vao!$B$13*(1+D292^2/1500))</f>
        <v>0.015</v>
      </c>
      <c r="J292" s="4">
        <f>Thiet_ke!$B$8*D292^2</f>
        <v>51.48396287390255</v>
      </c>
      <c r="K292" s="4">
        <f>Thiet_ke!$B$3*I292+J292</f>
        <v>1183.0674628739027</v>
      </c>
      <c r="L292" s="4">
        <f>(H292-J292)/Thiet_ke!$B$3</f>
        <v>0.21094434469346163</v>
      </c>
      <c r="M292" s="4">
        <f>1.05+0.05*B292^2</f>
        <v>1.9760129588726065</v>
      </c>
      <c r="N292" s="4">
        <f>(MIN(H292,Thiet_ke!$B$16)-K292)/(Thiet_ke!$B$2*M292)</f>
        <v>0.972773995641991</v>
      </c>
      <c r="O292" s="4">
        <f>IF(N292&gt;0,1/N292,"")</f>
        <v>1.0279880059294153</v>
      </c>
    </row>
    <row r="293" spans="1:15">
      <c r="A293">
        <v>2</v>
      </c>
      <c r="B293" s="4">
        <f>Thiet_ke!$B$21</f>
        <v>4.30351707065885</v>
      </c>
      <c r="C293" s="4">
        <f>Dau_vao!$B$21+(Dau_vao!$B$19-Dau_vao!$B$21)*90/200</f>
        <v>1610.0</v>
      </c>
      <c r="D293" s="4">
        <f>2*PI()*C293*Thiet_ke!$B$7/(60*Thiet_ke!$B$15*B293)</f>
        <v>4.218981229000073</v>
      </c>
      <c r="E293" s="4">
        <f>D293*3.6</f>
        <v>15.188332424400265</v>
      </c>
      <c r="F293" s="4">
        <f>Thiet_ke!$B$12*(Dau_vao!$B$22*(C293/Dau_vao!$B$19)+Dau_vao!$B$23*(C293/Dau_vao!$B$19)^2-Dau_vao!$B$24*(C293/Dau_vao!$B$19)^3)</f>
        <v>75.74689840995556</v>
      </c>
      <c r="G293" s="4">
        <f>60000*F293/(2*PI()*C293)</f>
        <v>449.27304245307045</v>
      </c>
      <c r="H293" s="4">
        <f>G293*Thiet_ke!$B$15*B293*Dau_vao!$B$10/Thiet_ke!$B$7</f>
        <v>15978.914322128465</v>
      </c>
      <c r="I293" s="4">
        <f>IF(D293&lt;=Dau_vao!$B$14,Dau_vao!$B$13,Dau_vao!$B$13*(1+D293^2/1500))</f>
        <v>0.015</v>
      </c>
      <c r="J293" s="4">
        <f>Thiet_ke!$B$8*D293^2</f>
        <v>52.064422636165794</v>
      </c>
      <c r="K293" s="4">
        <f>Thiet_ke!$B$3*I293+J293</f>
        <v>1183.647922636166</v>
      </c>
      <c r="L293" s="4">
        <f>(H293-J293)/Thiet_ke!$B$3</f>
        <v>0.21112250973294014</v>
      </c>
      <c r="M293" s="4">
        <f>1.05+0.05*B293^2</f>
        <v>1.9760129588726065</v>
      </c>
      <c r="N293" s="4">
        <f>(MIN(H293,Thiet_ke!$B$16)-K293)/(Thiet_ke!$B$2*M293)</f>
        <v>0.973658503524106</v>
      </c>
      <c r="O293" s="4">
        <f>IF(N293&gt;0,1/N293,"")</f>
        <v>1.027054143090778</v>
      </c>
    </row>
    <row r="294" spans="1:15">
      <c r="A294">
        <v>2</v>
      </c>
      <c r="B294" s="4">
        <f>Thiet_ke!$B$21</f>
        <v>4.30351707065885</v>
      </c>
      <c r="C294" s="4">
        <f>Dau_vao!$B$21+(Dau_vao!$B$19-Dau_vao!$B$21)*91/200</f>
        <v>1619.0</v>
      </c>
      <c r="D294" s="4">
        <f>2*PI()*C294*Thiet_ke!$B$7/(60*Thiet_ke!$B$15*B294)</f>
        <v>4.242565596118708</v>
      </c>
      <c r="E294" s="4">
        <f>D294*3.6</f>
        <v>15.27323614602735</v>
      </c>
      <c r="F294" s="4">
        <f>Thiet_ke!$B$12*(Dau_vao!$B$22*(C294/Dau_vao!$B$19)+Dau_vao!$B$23*(C294/Dau_vao!$B$19)^2-Dau_vao!$B$24*(C294/Dau_vao!$B$19)^3)</f>
        <v>76.23541942182418</v>
      </c>
      <c r="G294" s="4">
        <f>60000*F294/(2*PI()*C294)</f>
        <v>449.6569674984756</v>
      </c>
      <c r="H294" s="4">
        <f>G294*Thiet_ke!$B$15*B294*Dau_vao!$B$10/Thiet_ke!$B$7</f>
        <v>15992.569059508556</v>
      </c>
      <c r="I294" s="4">
        <f>IF(D294&lt;=Dau_vao!$B$14,Dau_vao!$B$13,Dau_vao!$B$13*(1+D294^2/1500))</f>
        <v>0.015</v>
      </c>
      <c r="J294" s="4">
        <f>Thiet_ke!$B$8*D294^2</f>
        <v>52.64813629930752</v>
      </c>
      <c r="K294" s="4">
        <f>Thiet_ke!$B$3*I294+J294</f>
        <v>1184.2316362993076</v>
      </c>
      <c r="L294" s="4">
        <f>(H294-J294)/Thiet_ke!$B$3</f>
        <v>0.21129577609441877</v>
      </c>
      <c r="M294" s="4">
        <f>1.05+0.05*B294^2</f>
        <v>1.9760129588726065</v>
      </c>
      <c r="N294" s="4">
        <f>(MIN(H294,Thiet_ke!$B$16)-K294)/(Thiet_ke!$B$2*M294)</f>
        <v>0.9745186917118773</v>
      </c>
      <c r="O294" s="4">
        <f>IF(N294&gt;0,1/N294,"")</f>
        <v>1.0261475829092217</v>
      </c>
    </row>
    <row r="295" spans="1:15">
      <c r="A295">
        <v>2</v>
      </c>
      <c r="B295" s="4">
        <f>Thiet_ke!$B$21</f>
        <v>4.30351707065885</v>
      </c>
      <c r="C295" s="4">
        <f>Dau_vao!$B$21+(Dau_vao!$B$19-Dau_vao!$B$21)*92/200</f>
        <v>1628.0</v>
      </c>
      <c r="D295" s="4">
        <f>2*PI()*C295*Thiet_ke!$B$7/(60*Thiet_ke!$B$15*B295)</f>
        <v>4.266149963237342</v>
      </c>
      <c r="E295" s="4">
        <f>D295*3.6</f>
        <v>15.358139867654431</v>
      </c>
      <c r="F295" s="4">
        <f>Thiet_ke!$B$12*(Dau_vao!$B$22*(C295/Dau_vao!$B$19)+Dau_vao!$B$23*(C295/Dau_vao!$B$19)^2-Dau_vao!$B$24*(C295/Dau_vao!$B$19)^3)</f>
        <v>76.7229082975529</v>
      </c>
      <c r="G295" s="4">
        <f>60000*F295/(2*PI()*C295)</f>
        <v>450.03059351136625</v>
      </c>
      <c r="H295" s="4">
        <f>G295*Thiet_ke!$B$15*B295*Dau_vao!$B$10/Thiet_ke!$B$7</f>
        <v>16005.857499909742</v>
      </c>
      <c r="I295" s="4">
        <f>IF(D295&lt;=Dau_vao!$B$14,Dau_vao!$B$13,Dau_vao!$B$13*(1+D295^2/1500))</f>
        <v>0.015</v>
      </c>
      <c r="J295" s="4">
        <f>Thiet_ke!$B$8*D295^2</f>
        <v>53.23510386332768</v>
      </c>
      <c r="K295" s="4">
        <f>Thiet_ke!$B$3*I295+J295</f>
        <v>1184.8186038633278</v>
      </c>
      <c r="L295" s="4">
        <f>(H295-J295)/Thiet_ke!$B$3</f>
        <v>0.21146414377789724</v>
      </c>
      <c r="M295" s="4">
        <f>1.05+0.05*B295^2</f>
        <v>1.9760129588726065</v>
      </c>
      <c r="N295" s="4">
        <f>(MIN(H295,Thiet_ke!$B$16)-K295)/(Thiet_ke!$B$2*M295)</f>
        <v>0.9753545602053038</v>
      </c>
      <c r="O295" s="4">
        <f>IF(N295&gt;0,1/N295,"")</f>
        <v>1.0252681853350936</v>
      </c>
    </row>
    <row r="296" spans="1:15">
      <c r="A296">
        <v>2</v>
      </c>
      <c r="B296" s="4">
        <f>Thiet_ke!$B$21</f>
        <v>4.30351707065885</v>
      </c>
      <c r="C296" s="4">
        <f>Dau_vao!$B$21+(Dau_vao!$B$19-Dau_vao!$B$21)*93/200</f>
        <v>1637.0</v>
      </c>
      <c r="D296" s="4">
        <f>2*PI()*C296*Thiet_ke!$B$7/(60*Thiet_ke!$B$15*B296)</f>
        <v>4.289734330355976</v>
      </c>
      <c r="E296" s="4">
        <f>D296*3.6</f>
        <v>15.443043589281512</v>
      </c>
      <c r="F296" s="4">
        <f>Thiet_ke!$B$12*(Dau_vao!$B$22*(C296/Dau_vao!$B$19)+Dau_vao!$B$23*(C296/Dau_vao!$B$19)^2-Dau_vao!$B$24*(C296/Dau_vao!$B$19)^3)</f>
        <v>77.20933591731331</v>
      </c>
      <c r="G296" s="4">
        <f>60000*F296/(2*PI()*C296)</f>
        <v>450.39392049174216</v>
      </c>
      <c r="H296" s="4">
        <f>G296*Thiet_ke!$B$15*B296*Dau_vao!$B$10/Thiet_ke!$B$7</f>
        <v>16018.779643332029</v>
      </c>
      <c r="I296" s="4">
        <f>IF(D296&lt;=Dau_vao!$B$14,Dau_vao!$B$13,Dau_vao!$B$13*(1+D296^2/1500))</f>
        <v>0.015</v>
      </c>
      <c r="J296" s="4">
        <f>Thiet_ke!$B$8*D296^2</f>
        <v>53.8253253282263</v>
      </c>
      <c r="K296" s="4">
        <f>Thiet_ke!$B$3*I296+J296</f>
        <v>1185.4088253282264</v>
      </c>
      <c r="L296" s="4">
        <f>(H296-J296)/Thiet_ke!$B$3</f>
        <v>0.21162761278337572</v>
      </c>
      <c r="M296" s="4">
        <f>1.05+0.05*B296^2</f>
        <v>1.9760129588726065</v>
      </c>
      <c r="N296" s="4">
        <f>(MIN(H296,Thiet_ke!$B$16)-K296)/(Thiet_ke!$B$2*M296)</f>
        <v>0.9761661090043858</v>
      </c>
      <c r="O296" s="4">
        <f>IF(N296&gt;0,1/N296,"")</f>
        <v>1.024415814865692</v>
      </c>
    </row>
    <row r="297" spans="1:15">
      <c r="A297">
        <v>2</v>
      </c>
      <c r="B297" s="4">
        <f>Thiet_ke!$B$21</f>
        <v>4.30351707065885</v>
      </c>
      <c r="C297" s="4">
        <f>Dau_vao!$B$21+(Dau_vao!$B$19-Dau_vao!$B$21)*94/200</f>
        <v>1646.0</v>
      </c>
      <c r="D297" s="4">
        <f>2*PI()*C297*Thiet_ke!$B$7/(60*Thiet_ke!$B$15*B297)</f>
        <v>4.313318697474609</v>
      </c>
      <c r="E297" s="4">
        <f>D297*3.6</f>
        <v>15.527947310908594</v>
      </c>
      <c r="F297" s="4">
        <f>Thiet_ke!$B$12*(Dau_vao!$B$22*(C297/Dau_vao!$B$19)+Dau_vao!$B$23*(C297/Dau_vao!$B$19)^2-Dau_vao!$B$24*(C297/Dau_vao!$B$19)^3)</f>
        <v>77.69467316127707</v>
      </c>
      <c r="G297" s="4">
        <f>60000*F297/(2*PI()*C297)</f>
        <v>450.7469484396036</v>
      </c>
      <c r="H297" s="4">
        <f>G297*Thiet_ke!$B$15*B297*Dau_vao!$B$10/Thiet_ke!$B$7</f>
        <v>16031.335489775416</v>
      </c>
      <c r="I297" s="4">
        <f>IF(D297&lt;=Dau_vao!$B$14,Dau_vao!$B$13,Dau_vao!$B$13*(1+D297^2/1500))</f>
        <v>0.015</v>
      </c>
      <c r="J297" s="4">
        <f>Thiet_ke!$B$8*D297^2</f>
        <v>54.41880069400339</v>
      </c>
      <c r="K297" s="4">
        <f>Thiet_ke!$B$3*I297+J297</f>
        <v>1186.0023006940037</v>
      </c>
      <c r="L297" s="4">
        <f>(H297-J297)/Thiet_ke!$B$3</f>
        <v>0.2117861831108541</v>
      </c>
      <c r="M297" s="4">
        <f>1.05+0.05*B297^2</f>
        <v>1.9760129588726065</v>
      </c>
      <c r="N297" s="4">
        <f>(MIN(H297,Thiet_ke!$B$16)-K297)/(Thiet_ke!$B$2*M297)</f>
        <v>0.9769533381091233</v>
      </c>
      <c r="O297" s="4">
        <f>IF(N297&gt;0,1/N297,"")</f>
        <v>1.0235903404920885</v>
      </c>
    </row>
    <row r="298" spans="1:15">
      <c r="A298">
        <v>2</v>
      </c>
      <c r="B298" s="4">
        <f>Thiet_ke!$B$21</f>
        <v>4.30351707065885</v>
      </c>
      <c r="C298" s="4">
        <f>Dau_vao!$B$21+(Dau_vao!$B$19-Dau_vao!$B$21)*95/200</f>
        <v>1655.0</v>
      </c>
      <c r="D298" s="4">
        <f>2*PI()*C298*Thiet_ke!$B$7/(60*Thiet_ke!$B$15*B298)</f>
        <v>4.336903064593243</v>
      </c>
      <c r="E298" s="4">
        <f>D298*3.6</f>
        <v>15.612851032535676</v>
      </c>
      <c r="F298" s="4">
        <f>Thiet_ke!$B$12*(Dau_vao!$B$22*(C298/Dau_vao!$B$19)+Dau_vao!$B$23*(C298/Dau_vao!$B$19)^2-Dau_vao!$B$24*(C298/Dau_vao!$B$19)^3)</f>
        <v>78.17889090961572</v>
      </c>
      <c r="G298" s="4">
        <f>60000*F298/(2*PI()*C298)</f>
        <v>451.0896773549504</v>
      </c>
      <c r="H298" s="4">
        <f>G298*Thiet_ke!$B$15*B298*Dau_vao!$B$10/Thiet_ke!$B$7</f>
        <v>16043.525039239907</v>
      </c>
      <c r="I298" s="4">
        <f>IF(D298&lt;=Dau_vao!$B$14,Dau_vao!$B$13,Dau_vao!$B$13*(1+D298^2/1500))</f>
        <v>0.015</v>
      </c>
      <c r="J298" s="4">
        <f>Thiet_ke!$B$8*D298^2</f>
        <v>55.015529960658924</v>
      </c>
      <c r="K298" s="4">
        <f>Thiet_ke!$B$3*I298+J298</f>
        <v>1186.5990299606592</v>
      </c>
      <c r="L298" s="4">
        <f>(H298-J298)/Thiet_ke!$B$3</f>
        <v>0.21193985476033247</v>
      </c>
      <c r="M298" s="4">
        <f>1.05+0.05*B298^2</f>
        <v>1.9760129588726065</v>
      </c>
      <c r="N298" s="4">
        <f>(MIN(H298,Thiet_ke!$B$16)-K298)/(Thiet_ke!$B$2*M298)</f>
        <v>0.9777162475195166</v>
      </c>
      <c r="O298" s="4">
        <f>IF(N298&gt;0,1/N298,"")</f>
        <v>1.0227916356478863</v>
      </c>
    </row>
    <row r="299" spans="1:15">
      <c r="A299">
        <v>2</v>
      </c>
      <c r="B299" s="4">
        <f>Thiet_ke!$B$21</f>
        <v>4.30351707065885</v>
      </c>
      <c r="C299" s="4">
        <f>Dau_vao!$B$21+(Dau_vao!$B$19-Dau_vao!$B$21)*96/200</f>
        <v>1664.0</v>
      </c>
      <c r="D299" s="4">
        <f>2*PI()*C299*Thiet_ke!$B$7/(60*Thiet_ke!$B$15*B299)</f>
        <v>4.360487431711878</v>
      </c>
      <c r="E299" s="4">
        <f>D299*3.6</f>
        <v>15.69775475416276</v>
      </c>
      <c r="F299" s="4">
        <f>Thiet_ke!$B$12*(Dau_vao!$B$22*(C299/Dau_vao!$B$19)+Dau_vao!$B$23*(C299/Dau_vao!$B$19)^2-Dau_vao!$B$24*(C299/Dau_vao!$B$19)^3)</f>
        <v>78.66196004250087</v>
      </c>
      <c r="G299" s="4">
        <f>60000*F299/(2*PI()*C299)</f>
        <v>451.4221072377826</v>
      </c>
      <c r="H299" s="4">
        <f>G299*Thiet_ke!$B$15*B299*Dau_vao!$B$10/Thiet_ke!$B$7</f>
        <v>16055.348291725491</v>
      </c>
      <c r="I299" s="4">
        <f>IF(D299&lt;=Dau_vao!$B$14,Dau_vao!$B$13,Dau_vao!$B$13*(1+D299^2/1500))</f>
        <v>0.015</v>
      </c>
      <c r="J299" s="4">
        <f>Thiet_ke!$B$8*D299^2</f>
        <v>55.61551312819296</v>
      </c>
      <c r="K299" s="4">
        <f>Thiet_ke!$B$3*I299+J299</f>
        <v>1187.1990131281932</v>
      </c>
      <c r="L299" s="4">
        <f>(H299-J299)/Thiet_ke!$B$3</f>
        <v>0.21208862773181075</v>
      </c>
      <c r="M299" s="4">
        <f>1.05+0.05*B299^2</f>
        <v>1.9760129588726065</v>
      </c>
      <c r="N299" s="4">
        <f>(MIN(H299,Thiet_ke!$B$16)-K299)/(Thiet_ke!$B$2*M299)</f>
        <v>0.978454837235565</v>
      </c>
      <c r="O299" s="4">
        <f>IF(N299&gt;0,1/N299,"")</f>
        <v>1.022019578159894</v>
      </c>
    </row>
    <row r="300" spans="1:15">
      <c r="A300">
        <v>2</v>
      </c>
      <c r="B300" s="4">
        <f>Thiet_ke!$B$21</f>
        <v>4.30351707065885</v>
      </c>
      <c r="C300" s="4">
        <f>Dau_vao!$B$21+(Dau_vao!$B$19-Dau_vao!$B$21)*97/200</f>
        <v>1673.0</v>
      </c>
      <c r="D300" s="4">
        <f>2*PI()*C300*Thiet_ke!$B$7/(60*Thiet_ke!$B$15*B300)</f>
        <v>4.384071798830512</v>
      </c>
      <c r="E300" s="4">
        <f>D300*3.6</f>
        <v>15.782658475789843</v>
      </c>
      <c r="F300" s="4">
        <f>Thiet_ke!$B$12*(Dau_vao!$B$22*(C300/Dau_vao!$B$19)+Dau_vao!$B$23*(C300/Dau_vao!$B$19)^2-Dau_vao!$B$24*(C300/Dau_vao!$B$19)^3)</f>
        <v>79.14385144010419</v>
      </c>
      <c r="G300" s="4">
        <f>60000*F300/(2*PI()*C300)</f>
        <v>451.7442380881005</v>
      </c>
      <c r="H300" s="4">
        <f>G300*Thiet_ke!$B$15*B300*Dau_vao!$B$10/Thiet_ke!$B$7</f>
        <v>16066.80524723219</v>
      </c>
      <c r="I300" s="4">
        <f>IF(D300&lt;=Dau_vao!$B$14,Dau_vao!$B$13,Dau_vao!$B$13*(1+D300^2/1500))</f>
        <v>0.015</v>
      </c>
      <c r="J300" s="4">
        <f>Thiet_ke!$B$8*D300^2</f>
        <v>56.21875019660542</v>
      </c>
      <c r="K300" s="4">
        <f>Thiet_ke!$B$3*I300+J300</f>
        <v>1187.8022501966057</v>
      </c>
      <c r="L300" s="4">
        <f>(H300-J300)/Thiet_ke!$B$3</f>
        <v>0.21223250202528912</v>
      </c>
      <c r="M300" s="4">
        <f>1.05+0.05*B300^2</f>
        <v>1.9760129588726065</v>
      </c>
      <c r="N300" s="4">
        <f>(MIN(H300,Thiet_ke!$B$16)-K300)/(Thiet_ke!$B$2*M300)</f>
        <v>0.9791691072572698</v>
      </c>
      <c r="O300" s="4">
        <f>IF(N300&gt;0,1/N300,"")</f>
        <v>1.0212740502006636</v>
      </c>
    </row>
    <row r="301" spans="1:15">
      <c r="A301">
        <v>2</v>
      </c>
      <c r="B301" s="4">
        <f>Thiet_ke!$B$21</f>
        <v>4.30351707065885</v>
      </c>
      <c r="C301" s="4">
        <f>Dau_vao!$B$21+(Dau_vao!$B$19-Dau_vao!$B$21)*98/200</f>
        <v>1682.0</v>
      </c>
      <c r="D301" s="4">
        <f>2*PI()*C301*Thiet_ke!$B$7/(60*Thiet_ke!$B$15*B301)</f>
        <v>4.407656165949145</v>
      </c>
      <c r="E301" s="4">
        <f>D301*3.6</f>
        <v>15.867562197416923</v>
      </c>
      <c r="F301" s="4">
        <f>Thiet_ke!$B$12*(Dau_vao!$B$22*(C301/Dau_vao!$B$19)+Dau_vao!$B$23*(C301/Dau_vao!$B$19)^2-Dau_vao!$B$24*(C301/Dau_vao!$B$19)^3)</f>
        <v>79.62453598259717</v>
      </c>
      <c r="G301" s="4">
        <f>60000*F301/(2*PI()*C301)</f>
        <v>452.05606990590337</v>
      </c>
      <c r="H301" s="4">
        <f>G301*Thiet_ke!$B$15*B301*Dau_vao!$B$10/Thiet_ke!$B$7</f>
        <v>16077.895905759973</v>
      </c>
      <c r="I301" s="4">
        <f>IF(D301&lt;=Dau_vao!$B$14,Dau_vao!$B$13,Dau_vao!$B$13*(1+D301^2/1500))</f>
        <v>0.015</v>
      </c>
      <c r="J301" s="4">
        <f>Thiet_ke!$B$8*D301^2</f>
        <v>56.82524116589635</v>
      </c>
      <c r="K301" s="4">
        <f>Thiet_ke!$B$3*I301+J301</f>
        <v>1188.4087411658966</v>
      </c>
      <c r="L301" s="4">
        <f>(H301-J301)/Thiet_ke!$B$3</f>
        <v>0.21237147764076725</v>
      </c>
      <c r="M301" s="4">
        <f>1.05+0.05*B301^2</f>
        <v>1.9760129588726065</v>
      </c>
      <c r="N301" s="4">
        <f>(MIN(H301,Thiet_ke!$B$16)-K301)/(Thiet_ke!$B$2*M301)</f>
        <v>0.9798590575846291</v>
      </c>
      <c r="O301" s="4">
        <f>IF(N301&gt;0,1/N301,"")</f>
        <v>1.020554938242872</v>
      </c>
    </row>
    <row r="302" spans="1:15">
      <c r="A302">
        <v>2</v>
      </c>
      <c r="B302" s="4">
        <f>Thiet_ke!$B$21</f>
        <v>4.30351707065885</v>
      </c>
      <c r="C302" s="4">
        <f>Dau_vao!$B$21+(Dau_vao!$B$19-Dau_vao!$B$21)*99/200</f>
        <v>1691.0</v>
      </c>
      <c r="D302" s="4">
        <f>2*PI()*C302*Thiet_ke!$B$7/(60*Thiet_ke!$B$15*B302)</f>
        <v>4.43124053306778</v>
      </c>
      <c r="E302" s="4">
        <f>D302*3.6</f>
        <v>15.952465919044009</v>
      </c>
      <c r="F302" s="4">
        <f>Thiet_ke!$B$12*(Dau_vao!$B$22*(C302/Dau_vao!$B$19)+Dau_vao!$B$23*(C302/Dau_vao!$B$19)^2-Dau_vao!$B$24*(C302/Dau_vao!$B$19)^3)</f>
        <v>80.1039845501515</v>
      </c>
      <c r="G302" s="4">
        <f>60000*F302/(2*PI()*C302)</f>
        <v>452.35760269119186</v>
      </c>
      <c r="H302" s="4">
        <f>G302*Thiet_ke!$B$15*B302*Dau_vao!$B$10/Thiet_ke!$B$7</f>
        <v>16088.620267308865</v>
      </c>
      <c r="I302" s="4">
        <f>IF(D302&lt;=Dau_vao!$B$14,Dau_vao!$B$13,Dau_vao!$B$13*(1+D302^2/1500))</f>
        <v>0.015</v>
      </c>
      <c r="J302" s="4">
        <f>Thiet_ke!$B$8*D302^2</f>
        <v>57.43498603606576</v>
      </c>
      <c r="K302" s="4">
        <f>Thiet_ke!$B$3*I302+J302</f>
        <v>1189.018486036066</v>
      </c>
      <c r="L302" s="4">
        <f>(H302-J302)/Thiet_ke!$B$3</f>
        <v>0.2125055545782454</v>
      </c>
      <c r="M302" s="4">
        <f>1.05+0.05*B302^2</f>
        <v>1.9760129588726065</v>
      </c>
      <c r="N302" s="4">
        <f>(MIN(H302,Thiet_ke!$B$16)-K302)/(Thiet_ke!$B$2*M302)</f>
        <v>0.9805246882176445</v>
      </c>
      <c r="O302" s="4">
        <f>IF(N302&gt;0,1/N302,"")</f>
        <v>1.0198621330154949</v>
      </c>
    </row>
    <row r="303" spans="1:15">
      <c r="A303">
        <v>2</v>
      </c>
      <c r="B303" s="4">
        <f>Thiet_ke!$B$21</f>
        <v>4.30351707065885</v>
      </c>
      <c r="C303" s="4">
        <f>Dau_vao!$B$21+(Dau_vao!$B$19-Dau_vao!$B$21)*100/200</f>
        <v>1700.0</v>
      </c>
      <c r="D303" s="4">
        <f>2*PI()*C303*Thiet_ke!$B$7/(60*Thiet_ke!$B$15*B303)</f>
        <v>4.454824900186413</v>
      </c>
      <c r="E303" s="4">
        <f>D303*3.6</f>
        <v>16.037369640671088</v>
      </c>
      <c r="F303" s="4">
        <f>Thiet_ke!$B$12*(Dau_vao!$B$22*(C303/Dau_vao!$B$19)+Dau_vao!$B$23*(C303/Dau_vao!$B$19)^2-Dau_vao!$B$24*(C303/Dau_vao!$B$19)^3)</f>
        <v>80.58216802293873</v>
      </c>
      <c r="G303" s="4">
        <f>60000*F303/(2*PI()*C303)</f>
        <v>452.64883644396576</v>
      </c>
      <c r="H303" s="4">
        <f>G303*Thiet_ke!$B$15*B303*Dau_vao!$B$10/Thiet_ke!$B$7</f>
        <v>16098.978331878861</v>
      </c>
      <c r="I303" s="4">
        <f>IF(D303&lt;=Dau_vao!$B$14,Dau_vao!$B$13,Dau_vao!$B$13*(1+D303^2/1500))</f>
        <v>0.015</v>
      </c>
      <c r="J303" s="4">
        <f>Thiet_ke!$B$8*D303^2</f>
        <v>58.047984807113586</v>
      </c>
      <c r="K303" s="4">
        <f>Thiet_ke!$B$3*I303+J303</f>
        <v>1189.6314848071138</v>
      </c>
      <c r="L303" s="4">
        <f>(H303-J303)/Thiet_ke!$B$3</f>
        <v>0.21263473283772358</v>
      </c>
      <c r="M303" s="4">
        <f>1.05+0.05*B303^2</f>
        <v>1.9760129588726065</v>
      </c>
      <c r="N303" s="4">
        <f>(MIN(H303,Thiet_ke!$B$16)-K303)/(Thiet_ke!$B$2*M303)</f>
        <v>0.9811659991563156</v>
      </c>
      <c r="O303" s="4">
        <f>IF(N303&gt;0,1/N303,"")</f>
        <v>1.019195529461762</v>
      </c>
    </row>
    <row r="304" spans="1:15">
      <c r="A304">
        <v>2</v>
      </c>
      <c r="B304" s="4">
        <f>Thiet_ke!$B$21</f>
        <v>4.30351707065885</v>
      </c>
      <c r="C304" s="4">
        <f>Dau_vao!$B$21+(Dau_vao!$B$19-Dau_vao!$B$21)*101/200</f>
        <v>1709.0</v>
      </c>
      <c r="D304" s="4">
        <f>2*PI()*C304*Thiet_ke!$B$7/(60*Thiet_ke!$B$15*B304)</f>
        <v>4.4784092673050475</v>
      </c>
      <c r="E304" s="4">
        <f>D304*3.6</f>
        <v>16.12227336229817</v>
      </c>
      <c r="F304" s="4">
        <f>Thiet_ke!$B$12*(Dau_vao!$B$22*(C304/Dau_vao!$B$19)+Dau_vao!$B$23*(C304/Dau_vao!$B$19)^2-Dau_vao!$B$24*(C304/Dau_vao!$B$19)^3)</f>
        <v>81.05905728113048</v>
      </c>
      <c r="G304" s="4">
        <f>60000*F304/(2*PI()*C304)</f>
        <v>452.929771164225</v>
      </c>
      <c r="H304" s="4">
        <f>G304*Thiet_ke!$B$15*B304*Dau_vao!$B$10/Thiet_ke!$B$7</f>
        <v>16108.970099469947</v>
      </c>
      <c r="I304" s="4">
        <f>IF(D304&lt;=Dau_vao!$B$14,Dau_vao!$B$13,Dau_vao!$B$13*(1+D304^2/1500))</f>
        <v>0.015</v>
      </c>
      <c r="J304" s="4">
        <f>Thiet_ke!$B$8*D304^2</f>
        <v>58.66423747903992</v>
      </c>
      <c r="K304" s="4">
        <f>Thiet_ke!$B$3*I304+J304</f>
        <v>1190.24773747904</v>
      </c>
      <c r="L304" s="4">
        <f>(H304-J304)/Thiet_ke!$B$3</f>
        <v>0.21275901241920156</v>
      </c>
      <c r="M304" s="4">
        <f>1.05+0.05*B304^2</f>
        <v>1.9760129588726065</v>
      </c>
      <c r="N304" s="4">
        <f>(MIN(H304,Thiet_ke!$B$16)-K304)/(Thiet_ke!$B$2*M304)</f>
        <v>0.9817829904006417</v>
      </c>
      <c r="O304" s="4">
        <f>IF(N304&gt;0,1/N304,"")</f>
        <v>1.0185550266988477</v>
      </c>
    </row>
    <row r="305" spans="1:15">
      <c r="A305">
        <v>2</v>
      </c>
      <c r="B305" s="4">
        <f>Thiet_ke!$B$21</f>
        <v>4.30351707065885</v>
      </c>
      <c r="C305" s="4">
        <f>Dau_vao!$B$21+(Dau_vao!$B$19-Dau_vao!$B$21)*102/200</f>
        <v>1718.0</v>
      </c>
      <c r="D305" s="4">
        <f>2*PI()*C305*Thiet_ke!$B$7/(60*Thiet_ke!$B$15*B305)</f>
        <v>4.501993634423681</v>
      </c>
      <c r="E305" s="4">
        <f>D305*3.6</f>
        <v>16.207177083925252</v>
      </c>
      <c r="F305" s="4">
        <f>Thiet_ke!$B$12*(Dau_vao!$B$22*(C305/Dau_vao!$B$19)+Dau_vao!$B$23*(C305/Dau_vao!$B$19)^2-Dau_vao!$B$24*(C305/Dau_vao!$B$19)^3)</f>
        <v>81.53462320489838</v>
      </c>
      <c r="G305" s="4">
        <f>60000*F305/(2*PI()*C305)</f>
        <v>453.2004068519697</v>
      </c>
      <c r="H305" s="4">
        <f>G305*Thiet_ke!$B$15*B305*Dau_vao!$B$10/Thiet_ke!$B$7</f>
        <v>16118.59557008214</v>
      </c>
      <c r="I305" s="4">
        <f>IF(D305&lt;=Dau_vao!$B$14,Dau_vao!$B$13,Dau_vao!$B$13*(1+D305^2/1500))</f>
        <v>0.015</v>
      </c>
      <c r="J305" s="4">
        <f>Thiet_ke!$B$8*D305^2</f>
        <v>59.2837440518447</v>
      </c>
      <c r="K305" s="4">
        <f>Thiet_ke!$B$3*I305+J305</f>
        <v>1190.8672440518449</v>
      </c>
      <c r="L305" s="4">
        <f>(H305-J305)/Thiet_ke!$B$3</f>
        <v>0.21287839332267958</v>
      </c>
      <c r="M305" s="4">
        <f>1.05+0.05*B305^2</f>
        <v>1.9760129588726065</v>
      </c>
      <c r="N305" s="4">
        <f>(MIN(H305,Thiet_ke!$B$16)-K305)/(Thiet_ke!$B$2*M305)</f>
        <v>0.9823756619506234</v>
      </c>
      <c r="O305" s="4">
        <f>IF(N305&gt;0,1/N305,"")</f>
        <v>1.0179405279792675</v>
      </c>
    </row>
    <row r="306" spans="1:15">
      <c r="A306">
        <v>2</v>
      </c>
      <c r="B306" s="4">
        <f>Thiet_ke!$B$21</f>
        <v>4.30351707065885</v>
      </c>
      <c r="C306" s="4">
        <f>Dau_vao!$B$21+(Dau_vao!$B$19-Dau_vao!$B$21)*103/200</f>
        <v>1727.0</v>
      </c>
      <c r="D306" s="4">
        <f>2*PI()*C306*Thiet_ke!$B$7/(60*Thiet_ke!$B$15*B306)</f>
        <v>4.525578001542315</v>
      </c>
      <c r="E306" s="4">
        <f>D306*3.6</f>
        <v>16.292080805552335</v>
      </c>
      <c r="F306" s="4">
        <f>Thiet_ke!$B$12*(Dau_vao!$B$22*(C306/Dau_vao!$B$19)+Dau_vao!$B$23*(C306/Dau_vao!$B$19)^2-Dau_vao!$B$24*(C306/Dau_vao!$B$19)^3)</f>
        <v>82.00883667441398</v>
      </c>
      <c r="G306" s="4">
        <f>60000*F306/(2*PI()*C306)</f>
        <v>453.46074350719965</v>
      </c>
      <c r="H306" s="4">
        <f>G306*Thiet_ke!$B$15*B306*Dau_vao!$B$10/Thiet_ke!$B$7</f>
        <v>16127.85474371543</v>
      </c>
      <c r="I306" s="4">
        <f>IF(D306&lt;=Dau_vao!$B$14,Dau_vao!$B$13,Dau_vao!$B$13*(1+D306^2/1500))</f>
        <v>0.015</v>
      </c>
      <c r="J306" s="4">
        <f>Thiet_ke!$B$8*D306^2</f>
        <v>59.90650452552792</v>
      </c>
      <c r="K306" s="4">
        <f>Thiet_ke!$B$3*I306+J306</f>
        <v>1191.490004525528</v>
      </c>
      <c r="L306" s="4">
        <f>(H306-J306)/Thiet_ke!$B$3</f>
        <v>0.21299287554815752</v>
      </c>
      <c r="M306" s="4">
        <f>1.05+0.05*B306^2</f>
        <v>1.9760129588726065</v>
      </c>
      <c r="N306" s="4">
        <f>(MIN(H306,Thiet_ke!$B$16)-K306)/(Thiet_ke!$B$2*M306)</f>
        <v>0.9829440138062608</v>
      </c>
      <c r="O306" s="4">
        <f>IF(N306&gt;0,1/N306,"")</f>
        <v>1.0173519406539677</v>
      </c>
    </row>
    <row r="307" spans="1:15">
      <c r="A307">
        <v>2</v>
      </c>
      <c r="B307" s="4">
        <f>Thiet_ke!$B$21</f>
        <v>4.30351707065885</v>
      </c>
      <c r="C307" s="4">
        <f>Dau_vao!$B$21+(Dau_vao!$B$19-Dau_vao!$B$21)*104/200</f>
        <v>1736.0</v>
      </c>
      <c r="D307" s="4">
        <f>2*PI()*C307*Thiet_ke!$B$7/(60*Thiet_ke!$B$15*B307)</f>
        <v>4.54916236866095</v>
      </c>
      <c r="E307" s="4">
        <f>D307*3.6</f>
        <v>16.37698452717942</v>
      </c>
      <c r="F307" s="4">
        <f>Thiet_ke!$B$12*(Dau_vao!$B$22*(C307/Dau_vao!$B$19)+Dau_vao!$B$23*(C307/Dau_vao!$B$19)^2-Dau_vao!$B$24*(C307/Dau_vao!$B$19)^3)</f>
        <v>82.4816685698489</v>
      </c>
      <c r="G307" s="4">
        <f>60000*F307/(2*PI()*C307)</f>
        <v>453.71078112991506</v>
      </c>
      <c r="H307" s="4">
        <f>G307*Thiet_ke!$B$15*B307*Dau_vao!$B$10/Thiet_ke!$B$7</f>
        <v>16136.747620369822</v>
      </c>
      <c r="I307" s="4">
        <f>IF(D307&lt;=Dau_vao!$B$14,Dau_vao!$B$13,Dau_vao!$B$13*(1+D307^2/1500))</f>
        <v>0.015</v>
      </c>
      <c r="J307" s="4">
        <f>Thiet_ke!$B$8*D307^2</f>
        <v>60.53251890008964</v>
      </c>
      <c r="K307" s="4">
        <f>Thiet_ke!$B$3*I307+J307</f>
        <v>1192.1160189000898</v>
      </c>
      <c r="L307" s="4">
        <f>(H307-J307)/Thiet_ke!$B$3</f>
        <v>0.2131024590956354</v>
      </c>
      <c r="M307" s="4">
        <f>1.05+0.05*B307^2</f>
        <v>1.9760129588726065</v>
      </c>
      <c r="N307" s="4">
        <f>(MIN(H307,Thiet_ke!$B$16)-K307)/(Thiet_ke!$B$2*M307)</f>
        <v>0.9834880459675537</v>
      </c>
      <c r="O307" s="4">
        <f>IF(N307&gt;0,1/N307,"")</f>
        <v>1.0167891761370642</v>
      </c>
    </row>
    <row r="308" spans="1:15">
      <c r="A308">
        <v>2</v>
      </c>
      <c r="B308" s="4">
        <f>Thiet_ke!$B$21</f>
        <v>4.30351707065885</v>
      </c>
      <c r="C308" s="4">
        <f>Dau_vao!$B$21+(Dau_vao!$B$19-Dau_vao!$B$21)*105/200</f>
        <v>1745.0</v>
      </c>
      <c r="D308" s="4">
        <f>2*PI()*C308*Thiet_ke!$B$7/(60*Thiet_ke!$B$15*B308)</f>
        <v>4.572746735779583</v>
      </c>
      <c r="E308" s="4">
        <f>D308*3.6</f>
        <v>16.4618882488065</v>
      </c>
      <c r="F308" s="4">
        <f>Thiet_ke!$B$12*(Dau_vao!$B$22*(C308/Dau_vao!$B$19)+Dau_vao!$B$23*(C308/Dau_vao!$B$19)^2-Dau_vao!$B$24*(C308/Dau_vao!$B$19)^3)</f>
        <v>82.95308977137479</v>
      </c>
      <c r="G308" s="4">
        <f>60000*F308/(2*PI()*C308)</f>
        <v>453.950519720116</v>
      </c>
      <c r="H308" s="4">
        <f>G308*Thiet_ke!$B$15*B308*Dau_vao!$B$10/Thiet_ke!$B$7</f>
        <v>16145.27420004532</v>
      </c>
      <c r="I308" s="4">
        <f>IF(D308&lt;=Dau_vao!$B$14,Dau_vao!$B$13,Dau_vao!$B$13*(1+D308^2/1500))</f>
        <v>0.015</v>
      </c>
      <c r="J308" s="4">
        <f>Thiet_ke!$B$8*D308^2</f>
        <v>61.161787175529774</v>
      </c>
      <c r="K308" s="4">
        <f>Thiet_ke!$B$3*I308+J308</f>
        <v>1192.74528717553</v>
      </c>
      <c r="L308" s="4">
        <f>(H308-J308)/Thiet_ke!$B$3</f>
        <v>0.21320714396511334</v>
      </c>
      <c r="M308" s="4">
        <f>1.05+0.05*B308^2</f>
        <v>1.9760129588726065</v>
      </c>
      <c r="N308" s="4">
        <f>(MIN(H308,Thiet_ke!$B$16)-K308)/(Thiet_ke!$B$2*M308)</f>
        <v>0.9840077584345023</v>
      </c>
      <c r="O308" s="4">
        <f>IF(N308&gt;0,1/N308,"")</f>
        <v>1.0162521498722128</v>
      </c>
    </row>
    <row r="309" spans="1:15">
      <c r="A309">
        <v>2</v>
      </c>
      <c r="B309" s="4">
        <f>Thiet_ke!$B$21</f>
        <v>4.30351707065885</v>
      </c>
      <c r="C309" s="4">
        <f>Dau_vao!$B$21+(Dau_vao!$B$19-Dau_vao!$B$21)*106/200</f>
        <v>1754.0</v>
      </c>
      <c r="D309" s="4">
        <f>2*PI()*C309*Thiet_ke!$B$7/(60*Thiet_ke!$B$15*B309)</f>
        <v>4.596331102898217</v>
      </c>
      <c r="E309" s="4">
        <f>D309*3.6</f>
        <v>16.54679197043358</v>
      </c>
      <c r="F309" s="4">
        <f>Thiet_ke!$B$12*(Dau_vao!$B$22*(C309/Dau_vao!$B$19)+Dau_vao!$B$23*(C309/Dau_vao!$B$19)^2-Dau_vao!$B$24*(C309/Dau_vao!$B$19)^3)</f>
        <v>83.42307115916319</v>
      </c>
      <c r="G309" s="4">
        <f>60000*F309/(2*PI()*C309)</f>
        <v>454.17995927780225</v>
      </c>
      <c r="H309" s="4">
        <f>G309*Thiet_ke!$B$15*B309*Dau_vao!$B$10/Thiet_ke!$B$7</f>
        <v>16153.434482741914</v>
      </c>
      <c r="I309" s="4">
        <f>IF(D309&lt;=Dau_vao!$B$14,Dau_vao!$B$13,Dau_vao!$B$13*(1+D309^2/1500))</f>
        <v>0.015</v>
      </c>
      <c r="J309" s="4">
        <f>Thiet_ke!$B$8*D309^2</f>
        <v>61.79430935184842</v>
      </c>
      <c r="K309" s="4">
        <f>Thiet_ke!$B$3*I309+J309</f>
        <v>1193.3778093518486</v>
      </c>
      <c r="L309" s="4">
        <f>(H309-J309)/Thiet_ke!$B$3</f>
        <v>0.21330693015659113</v>
      </c>
      <c r="M309" s="4">
        <f>1.05+0.05*B309^2</f>
        <v>1.9760129588726065</v>
      </c>
      <c r="N309" s="4">
        <f>(MIN(H309,Thiet_ke!$B$16)-K309)/(Thiet_ke!$B$2*M309)</f>
        <v>0.9845031512071063</v>
      </c>
      <c r="O309" s="4">
        <f>IF(N309&gt;0,1/N309,"")</f>
        <v>1.015740781300591</v>
      </c>
    </row>
    <row r="310" spans="1:15">
      <c r="A310">
        <v>2</v>
      </c>
      <c r="B310" s="4">
        <f>Thiet_ke!$B$21</f>
        <v>4.30351707065885</v>
      </c>
      <c r="C310" s="4">
        <f>Dau_vao!$B$21+(Dau_vao!$B$19-Dau_vao!$B$21)*107/200</f>
        <v>1763.0</v>
      </c>
      <c r="D310" s="4">
        <f>2*PI()*C310*Thiet_ke!$B$7/(60*Thiet_ke!$B$15*B310)</f>
        <v>4.619915470016851</v>
      </c>
      <c r="E310" s="4">
        <f>D310*3.6</f>
        <v>16.631695692060664</v>
      </c>
      <c r="F310" s="4">
        <f>Thiet_ke!$B$12*(Dau_vao!$B$22*(C310/Dau_vao!$B$19)+Dau_vao!$B$23*(C310/Dau_vao!$B$19)^2-Dau_vao!$B$24*(C310/Dau_vao!$B$19)^3)</f>
        <v>83.8915836133857</v>
      </c>
      <c r="G310" s="4">
        <f>60000*F310/(2*PI()*C310)</f>
        <v>454.39909980297386</v>
      </c>
      <c r="H310" s="4">
        <f>G310*Thiet_ke!$B$15*B310*Dau_vao!$B$10/Thiet_ke!$B$7</f>
        <v>16161.228468459609</v>
      </c>
      <c r="I310" s="4">
        <f>IF(D310&lt;=Dau_vao!$B$14,Dau_vao!$B$13,Dau_vao!$B$13*(1+D310^2/1500))</f>
        <v>0.015</v>
      </c>
      <c r="J310" s="4">
        <f>Thiet_ke!$B$8*D310^2</f>
        <v>62.43008542904549</v>
      </c>
      <c r="K310" s="4">
        <f>Thiet_ke!$B$3*I310+J310</f>
        <v>1194.0135854290456</v>
      </c>
      <c r="L310" s="4">
        <f>(H310-J310)/Thiet_ke!$B$3</f>
        <v>0.2134018176700689</v>
      </c>
      <c r="M310" s="4">
        <f>1.05+0.05*B310^2</f>
        <v>1.9760129588726065</v>
      </c>
      <c r="N310" s="4">
        <f>(MIN(H310,Thiet_ke!$B$16)-K310)/(Thiet_ke!$B$2*M310)</f>
        <v>0.9849742242853659</v>
      </c>
      <c r="O310" s="4">
        <f>IF(N310&gt;0,1/N310,"")</f>
        <v>1.0152549938304587</v>
      </c>
    </row>
    <row r="311" spans="1:15">
      <c r="A311">
        <v>2</v>
      </c>
      <c r="B311" s="4">
        <f>Thiet_ke!$B$21</f>
        <v>4.30351707065885</v>
      </c>
      <c r="C311" s="4">
        <f>Dau_vao!$B$21+(Dau_vao!$B$19-Dau_vao!$B$21)*108/200</f>
        <v>1772.0</v>
      </c>
      <c r="D311" s="4">
        <f>2*PI()*C311*Thiet_ke!$B$7/(60*Thiet_ke!$B$15*B311)</f>
        <v>4.643499837135485</v>
      </c>
      <c r="E311" s="4">
        <f>D311*3.6</f>
        <v>16.716599413687746</v>
      </c>
      <c r="F311" s="4">
        <f>Thiet_ke!$B$12*(Dau_vao!$B$22*(C311/Dau_vao!$B$19)+Dau_vao!$B$23*(C311/Dau_vao!$B$19)^2-Dau_vao!$B$24*(C311/Dau_vao!$B$19)^3)</f>
        <v>84.35859801421401</v>
      </c>
      <c r="G311" s="4">
        <f>60000*F311/(2*PI()*C311)</f>
        <v>454.6079412956311</v>
      </c>
      <c r="H311" s="4">
        <f>G311*Thiet_ke!$B$15*B311*Dau_vao!$B$10/Thiet_ke!$B$7</f>
        <v>16168.656157198406</v>
      </c>
      <c r="I311" s="4">
        <f>IF(D311&lt;=Dau_vao!$B$14,Dau_vao!$B$13,Dau_vao!$B$13*(1+D311^2/1500))</f>
        <v>0.015</v>
      </c>
      <c r="J311" s="4">
        <f>Thiet_ke!$B$8*D311^2</f>
        <v>63.06911540712103</v>
      </c>
      <c r="K311" s="4">
        <f>Thiet_ke!$B$3*I311+J311</f>
        <v>1194.6526154071212</v>
      </c>
      <c r="L311" s="4">
        <f>(H311-J311)/Thiet_ke!$B$3</f>
        <v>0.21349180650554664</v>
      </c>
      <c r="M311" s="4">
        <f>1.05+0.05*B311^2</f>
        <v>1.9760129588726065</v>
      </c>
      <c r="N311" s="4">
        <f>(MIN(H311,Thiet_ke!$B$16)-K311)/(Thiet_ke!$B$2*M311)</f>
        <v>0.985420977669281</v>
      </c>
      <c r="O311" s="4">
        <f>IF(N311&gt;0,1/N311,"")</f>
        <v>1.0147947148082856</v>
      </c>
    </row>
    <row r="312" spans="1:15">
      <c r="A312">
        <v>2</v>
      </c>
      <c r="B312" s="4">
        <f>Thiet_ke!$B$21</f>
        <v>4.30351707065885</v>
      </c>
      <c r="C312" s="4">
        <f>Dau_vao!$B$21+(Dau_vao!$B$19-Dau_vao!$B$21)*109/200</f>
        <v>1781.0</v>
      </c>
      <c r="D312" s="4">
        <f>2*PI()*C312*Thiet_ke!$B$7/(60*Thiet_ke!$B$15*B312)</f>
        <v>4.6670842042541185</v>
      </c>
      <c r="E312" s="4">
        <f>D312*3.6</f>
        <v>16.801503135314828</v>
      </c>
      <c r="F312" s="4">
        <f>Thiet_ke!$B$12*(Dau_vao!$B$22*(C312/Dau_vao!$B$19)+Dau_vao!$B$23*(C312/Dau_vao!$B$19)^2-Dau_vao!$B$24*(C312/Dau_vao!$B$19)^3)</f>
        <v>84.82408524181962</v>
      </c>
      <c r="G312" s="4">
        <f>60000*F312/(2*PI()*C312)</f>
        <v>454.8064837557737</v>
      </c>
      <c r="H312" s="4">
        <f>G312*Thiet_ke!$B$15*B312*Dau_vao!$B$10/Thiet_ke!$B$7</f>
        <v>16175.717548958304</v>
      </c>
      <c r="I312" s="4">
        <f>IF(D312&lt;=Dau_vao!$B$14,Dau_vao!$B$13,Dau_vao!$B$13*(1+D312^2/1500))</f>
        <v>0.015</v>
      </c>
      <c r="J312" s="4">
        <f>Thiet_ke!$B$8*D312^2</f>
        <v>63.71139928607503</v>
      </c>
      <c r="K312" s="4">
        <f>Thiet_ke!$B$3*I312+J312</f>
        <v>1195.2948992860752</v>
      </c>
      <c r="L312" s="4">
        <f>(H312-J312)/Thiet_ke!$B$3</f>
        <v>0.21357689666302435</v>
      </c>
      <c r="M312" s="4">
        <f>1.05+0.05*B312^2</f>
        <v>1.9760129588726065</v>
      </c>
      <c r="N312" s="4">
        <f>(MIN(H312,Thiet_ke!$B$16)-K312)/(Thiet_ke!$B$2*M312)</f>
        <v>0.9858434113588519</v>
      </c>
      <c r="O312" s="4">
        <f>IF(N312&gt;0,1/N312,"")</f>
        <v>1.0143598754914183</v>
      </c>
    </row>
    <row r="313" spans="1:15">
      <c r="A313">
        <v>2</v>
      </c>
      <c r="B313" s="4">
        <f>Thiet_ke!$B$21</f>
        <v>4.30351707065885</v>
      </c>
      <c r="C313" s="4">
        <f>Dau_vao!$B$21+(Dau_vao!$B$19-Dau_vao!$B$21)*110/200</f>
        <v>1790.0</v>
      </c>
      <c r="D313" s="4">
        <f>2*PI()*C313*Thiet_ke!$B$7/(60*Thiet_ke!$B$15*B313)</f>
        <v>4.690668571372753</v>
      </c>
      <c r="E313" s="4">
        <f>D313*3.6</f>
        <v>16.88640685694191</v>
      </c>
      <c r="F313" s="4">
        <f>Thiet_ke!$B$12*(Dau_vao!$B$22*(C313/Dau_vao!$B$19)+Dau_vao!$B$23*(C313/Dau_vao!$B$19)^2-Dau_vao!$B$24*(C313/Dau_vao!$B$19)^3)</f>
        <v>85.28801617637414</v>
      </c>
      <c r="G313" s="4">
        <f>60000*F313/(2*PI()*C313)</f>
        <v>454.99472718340144</v>
      </c>
      <c r="H313" s="4">
        <f>G313*Thiet_ke!$B$15*B313*Dau_vao!$B$10/Thiet_ke!$B$7</f>
        <v>16182.412643739299</v>
      </c>
      <c r="I313" s="4">
        <f>IF(D313&lt;=Dau_vao!$B$14,Dau_vao!$B$13,Dau_vao!$B$13*(1+D313^2/1500))</f>
        <v>0.015</v>
      </c>
      <c r="J313" s="4">
        <f>Thiet_ke!$B$8*D313^2</f>
        <v>64.35693706590752</v>
      </c>
      <c r="K313" s="4">
        <f>Thiet_ke!$B$3*I313+J313</f>
        <v>1195.9404370659076</v>
      </c>
      <c r="L313" s="4">
        <f>(H313-J313)/Thiet_ke!$B$3</f>
        <v>0.21365708814250192</v>
      </c>
      <c r="M313" s="4">
        <f>1.05+0.05*B313^2</f>
        <v>1.9760129588726065</v>
      </c>
      <c r="N313" s="4">
        <f>(MIN(H313,Thiet_ke!$B$16)-K313)/(Thiet_ke!$B$2*M313)</f>
        <v>0.9862415253540779</v>
      </c>
      <c r="O313" s="4">
        <f>IF(N313&gt;0,1/N313,"")</f>
        <v>1.0139504110222721</v>
      </c>
    </row>
    <row r="314" spans="1:15">
      <c r="A314">
        <v>2</v>
      </c>
      <c r="B314" s="4">
        <f>Thiet_ke!$B$21</f>
        <v>4.30351707065885</v>
      </c>
      <c r="C314" s="4">
        <f>Dau_vao!$B$21+(Dau_vao!$B$19-Dau_vao!$B$21)*111/200</f>
        <v>1799.0</v>
      </c>
      <c r="D314" s="4">
        <f>2*PI()*C314*Thiet_ke!$B$7/(60*Thiet_ke!$B$15*B314)</f>
        <v>4.714252938491387</v>
      </c>
      <c r="E314" s="4">
        <f>D314*3.6</f>
        <v>16.971310578568993</v>
      </c>
      <c r="F314" s="4">
        <f>Thiet_ke!$B$12*(Dau_vao!$B$22*(C314/Dau_vao!$B$19)+Dau_vao!$B$23*(C314/Dau_vao!$B$19)^2-Dau_vao!$B$24*(C314/Dau_vao!$B$19)^3)</f>
        <v>85.75036169804922</v>
      </c>
      <c r="G314" s="4">
        <f>60000*F314/(2*PI()*C314)</f>
        <v>455.17267157851467</v>
      </c>
      <c r="H314" s="4">
        <f>G314*Thiet_ke!$B$15*B314*Dau_vao!$B$10/Thiet_ke!$B$7</f>
        <v>16188.741441541395</v>
      </c>
      <c r="I314" s="4">
        <f>IF(D314&lt;=Dau_vao!$B$14,Dau_vao!$B$13,Dau_vao!$B$13*(1+D314^2/1500))</f>
        <v>0.015</v>
      </c>
      <c r="J314" s="4">
        <f>Thiet_ke!$B$8*D314^2</f>
        <v>65.00572874661844</v>
      </c>
      <c r="K314" s="4">
        <f>Thiet_ke!$B$3*I314+J314</f>
        <v>1196.5892287466186</v>
      </c>
      <c r="L314" s="4">
        <f>(H314-J314)/Thiet_ke!$B$3</f>
        <v>0.21373238094397948</v>
      </c>
      <c r="M314" s="4">
        <f>1.05+0.05*B314^2</f>
        <v>1.9760129588726065</v>
      </c>
      <c r="N314" s="4">
        <f>(MIN(H314,Thiet_ke!$B$16)-K314)/(Thiet_ke!$B$2*M314)</f>
        <v>0.9866153196549595</v>
      </c>
      <c r="O314" s="4">
        <f>IF(N314&gt;0,1/N314,"")</f>
        <v>1.0135662604040259</v>
      </c>
    </row>
    <row r="315" spans="1:15">
      <c r="A315">
        <v>2</v>
      </c>
      <c r="B315" s="4">
        <f>Thiet_ke!$B$21</f>
        <v>4.30351707065885</v>
      </c>
      <c r="C315" s="4">
        <f>Dau_vao!$B$21+(Dau_vao!$B$19-Dau_vao!$B$21)*112/200</f>
        <v>1808.0</v>
      </c>
      <c r="D315" s="4">
        <f>2*PI()*C315*Thiet_ke!$B$7/(60*Thiet_ke!$B$15*B315)</f>
        <v>4.737837305610021</v>
      </c>
      <c r="E315" s="4">
        <f>D315*3.6</f>
        <v>17.056214300196075</v>
      </c>
      <c r="F315" s="4">
        <f>Thiet_ke!$B$12*(Dau_vao!$B$22*(C315/Dau_vao!$B$19)+Dau_vao!$B$23*(C315/Dau_vao!$B$19)^2-Dau_vao!$B$24*(C315/Dau_vao!$B$19)^3)</f>
        <v>86.21109268701645</v>
      </c>
      <c r="G315" s="4">
        <f>60000*F315/(2*PI()*C315)</f>
        <v>455.34031694111343</v>
      </c>
      <c r="H315" s="4">
        <f>G315*Thiet_ke!$B$15*B315*Dau_vao!$B$10/Thiet_ke!$B$7</f>
        <v>16194.703942364591</v>
      </c>
      <c r="I315" s="4">
        <f>IF(D315&lt;=Dau_vao!$B$14,Dau_vao!$B$13,Dau_vao!$B$13*(1+D315^2/1500))</f>
        <v>0.015</v>
      </c>
      <c r="J315" s="4">
        <f>Thiet_ke!$B$8*D315^2</f>
        <v>65.65777432820782</v>
      </c>
      <c r="K315" s="4">
        <f>Thiet_ke!$B$3*I315+J315</f>
        <v>1197.241274328208</v>
      </c>
      <c r="L315" s="4">
        <f>(H315-J315)/Thiet_ke!$B$3</f>
        <v>0.21380277506745698</v>
      </c>
      <c r="M315" s="4">
        <f>1.05+0.05*B315^2</f>
        <v>1.9760129588726065</v>
      </c>
      <c r="N315" s="4">
        <f>(MIN(H315,Thiet_ke!$B$16)-K315)/(Thiet_ke!$B$2*M315)</f>
        <v>0.9869647942614966</v>
      </c>
      <c r="O315" s="4">
        <f>IF(N315&gt;0,1/N315,"")</f>
        <v>1.0132073664778054</v>
      </c>
    </row>
    <row r="316" spans="1:15">
      <c r="A316">
        <v>2</v>
      </c>
      <c r="B316" s="4">
        <f>Thiet_ke!$B$21</f>
        <v>4.30351707065885</v>
      </c>
      <c r="C316" s="4">
        <f>Dau_vao!$B$21+(Dau_vao!$B$19-Dau_vao!$B$21)*113/200</f>
        <v>1817.0</v>
      </c>
      <c r="D316" s="4">
        <f>2*PI()*C316*Thiet_ke!$B$7/(60*Thiet_ke!$B$15*B316)</f>
        <v>4.761421672728655</v>
      </c>
      <c r="E316" s="4">
        <f>D316*3.6</f>
        <v>17.14111802182316</v>
      </c>
      <c r="F316" s="4">
        <f>Thiet_ke!$B$12*(Dau_vao!$B$22*(C316/Dau_vao!$B$19)+Dau_vao!$B$23*(C316/Dau_vao!$B$19)^2-Dau_vao!$B$24*(C316/Dau_vao!$B$19)^3)</f>
        <v>86.67018002344741</v>
      </c>
      <c r="G316" s="4">
        <f>60000*F316/(2*PI()*C316)</f>
        <v>455.49766327119755</v>
      </c>
      <c r="H316" s="4">
        <f>G316*Thiet_ke!$B$15*B316*Dau_vao!$B$10/Thiet_ke!$B$7</f>
        <v>16200.300146208892</v>
      </c>
      <c r="I316" s="4">
        <f>IF(D316&lt;=Dau_vao!$B$14,Dau_vao!$B$13,Dau_vao!$B$13*(1+D316^2/1500))</f>
        <v>0.015</v>
      </c>
      <c r="J316" s="4">
        <f>Thiet_ke!$B$8*D316^2</f>
        <v>66.31307381067569</v>
      </c>
      <c r="K316" s="4">
        <f>Thiet_ke!$B$3*I316+J316</f>
        <v>1197.8965738106758</v>
      </c>
      <c r="L316" s="4">
        <f>(H316-J316)/Thiet_ke!$B$3</f>
        <v>0.2138682705129345</v>
      </c>
      <c r="M316" s="4">
        <f>1.05+0.05*B316^2</f>
        <v>1.9760129588726065</v>
      </c>
      <c r="N316" s="4">
        <f>(MIN(H316,Thiet_ke!$B$16)-K316)/(Thiet_ke!$B$2*M316)</f>
        <v>0.9872899491736896</v>
      </c>
      <c r="O316" s="4">
        <f>IF(N316&gt;0,1/N316,"")</f>
        <v>1.012873675901338</v>
      </c>
    </row>
    <row r="317" spans="1:15">
      <c r="A317">
        <v>2</v>
      </c>
      <c r="B317" s="4">
        <f>Thiet_ke!$B$21</f>
        <v>4.30351707065885</v>
      </c>
      <c r="C317" s="4">
        <f>Dau_vao!$B$21+(Dau_vao!$B$19-Dau_vao!$B$21)*114/200</f>
        <v>1826.0</v>
      </c>
      <c r="D317" s="4">
        <f>2*PI()*C317*Thiet_ke!$B$7/(60*Thiet_ke!$B$15*B317)</f>
        <v>4.785006039847289</v>
      </c>
      <c r="E317" s="4">
        <f>D317*3.6</f>
        <v>17.226021743450243</v>
      </c>
      <c r="F317" s="4">
        <f>Thiet_ke!$B$12*(Dau_vao!$B$22*(C317/Dau_vao!$B$19)+Dau_vao!$B$23*(C317/Dau_vao!$B$19)^2-Dau_vao!$B$24*(C317/Dau_vao!$B$19)^3)</f>
        <v>87.12759458751373</v>
      </c>
      <c r="G317" s="4">
        <f>60000*F317/(2*PI()*C317)</f>
        <v>455.64471056876704</v>
      </c>
      <c r="H317" s="4">
        <f>G317*Thiet_ke!$B$15*B317*Dau_vao!$B$10/Thiet_ke!$B$7</f>
        <v>16205.530053074288</v>
      </c>
      <c r="I317" s="4">
        <f>IF(D317&lt;=Dau_vao!$B$14,Dau_vao!$B$13,Dau_vao!$B$13*(1+D317^2/1500))</f>
        <v>0.015</v>
      </c>
      <c r="J317" s="4">
        <f>Thiet_ke!$B$8*D317^2</f>
        <v>66.97162719402199</v>
      </c>
      <c r="K317" s="4">
        <f>Thiet_ke!$B$3*I317+J317</f>
        <v>1198.5551271940221</v>
      </c>
      <c r="L317" s="4">
        <f>(H317-J317)/Thiet_ke!$B$3</f>
        <v>0.21392886728041188</v>
      </c>
      <c r="M317" s="4">
        <f>1.05+0.05*B317^2</f>
        <v>1.9760129588726065</v>
      </c>
      <c r="N317" s="4">
        <f>(MIN(H317,Thiet_ke!$B$16)-K317)/(Thiet_ke!$B$2*M317)</f>
        <v>0.9875907843915377</v>
      </c>
      <c r="O317" s="4">
        <f>IF(N317&gt;0,1/N317,"")</f>
        <v>1.0125651391290653</v>
      </c>
    </row>
    <row r="318" spans="1:15">
      <c r="A318">
        <v>2</v>
      </c>
      <c r="B318" s="4">
        <f>Thiet_ke!$B$21</f>
        <v>4.30351707065885</v>
      </c>
      <c r="C318" s="4">
        <f>Dau_vao!$B$21+(Dau_vao!$B$19-Dau_vao!$B$21)*115/200</f>
        <v>1835.0</v>
      </c>
      <c r="D318" s="4">
        <f>2*PI()*C318*Thiet_ke!$B$7/(60*Thiet_ke!$B$15*B318)</f>
        <v>4.808590406965923</v>
      </c>
      <c r="E318" s="4">
        <f>D318*3.6</f>
        <v>17.31092546507732</v>
      </c>
      <c r="F318" s="4">
        <f>Thiet_ke!$B$12*(Dau_vao!$B$22*(C318/Dau_vao!$B$19)+Dau_vao!$B$23*(C318/Dau_vao!$B$19)^2-Dau_vao!$B$24*(C318/Dau_vao!$B$19)^3)</f>
        <v>87.58330725938698</v>
      </c>
      <c r="G318" s="4">
        <f>60000*F318/(2*PI()*C318)</f>
        <v>455.7814588338219</v>
      </c>
      <c r="H318" s="4">
        <f>G318*Thiet_ke!$B$15*B318*Dau_vao!$B$10/Thiet_ke!$B$7</f>
        <v>16210.393662960782</v>
      </c>
      <c r="I318" s="4">
        <f>IF(D318&lt;=Dau_vao!$B$14,Dau_vao!$B$13,Dau_vao!$B$13*(1+D318^2/1500))</f>
        <v>0.015</v>
      </c>
      <c r="J318" s="4">
        <f>Thiet_ke!$B$8*D318^2</f>
        <v>67.63343447824676</v>
      </c>
      <c r="K318" s="4">
        <f>Thiet_ke!$B$3*I318+J318</f>
        <v>1199.216934478247</v>
      </c>
      <c r="L318" s="4">
        <f>(H318-J318)/Thiet_ke!$B$3</f>
        <v>0.2139845653698892</v>
      </c>
      <c r="M318" s="4">
        <f>1.05+0.05*B318^2</f>
        <v>1.9760129588726065</v>
      </c>
      <c r="N318" s="4">
        <f>(MIN(H318,Thiet_ke!$B$16)-K318)/(Thiet_ke!$B$2*M318)</f>
        <v>0.9878672999150412</v>
      </c>
      <c r="O318" s="4">
        <f>IF(N318&gt;0,1/N318,"")</f>
        <v>1.0122817103936959</v>
      </c>
    </row>
    <row r="319" spans="1:15">
      <c r="A319">
        <v>2</v>
      </c>
      <c r="B319" s="4">
        <f>Thiet_ke!$B$21</f>
        <v>4.30351707065885</v>
      </c>
      <c r="C319" s="4">
        <f>Dau_vao!$B$21+(Dau_vao!$B$19-Dau_vao!$B$21)*116/200</f>
        <v>1844.0</v>
      </c>
      <c r="D319" s="4">
        <f>2*PI()*C319*Thiet_ke!$B$7/(60*Thiet_ke!$B$15*B319)</f>
        <v>4.832174774084556</v>
      </c>
      <c r="E319" s="4">
        <f>D319*3.6</f>
        <v>17.3958291867044</v>
      </c>
      <c r="F319" s="4">
        <f>Thiet_ke!$B$12*(Dau_vao!$B$22*(C319/Dau_vao!$B$19)+Dau_vao!$B$23*(C319/Dau_vao!$B$19)^2-Dau_vao!$B$24*(C319/Dau_vao!$B$19)^3)</f>
        <v>88.03728891923879</v>
      </c>
      <c r="G319" s="4">
        <f>60000*F319/(2*PI()*C319)</f>
        <v>455.90790806636215</v>
      </c>
      <c r="H319" s="4">
        <f>G319*Thiet_ke!$B$15*B319*Dau_vao!$B$10/Thiet_ke!$B$7</f>
        <v>16214.890975868382</v>
      </c>
      <c r="I319" s="4">
        <f>IF(D319&lt;=Dau_vao!$B$14,Dau_vao!$B$13,Dau_vao!$B$13*(1+D319^2/1500))</f>
        <v>0.015</v>
      </c>
      <c r="J319" s="4">
        <f>Thiet_ke!$B$8*D319^2</f>
        <v>68.29849566334995</v>
      </c>
      <c r="K319" s="4">
        <f>Thiet_ke!$B$3*I319+J319</f>
        <v>1199.8819956633502</v>
      </c>
      <c r="L319" s="4">
        <f>(H319-J319)/Thiet_ke!$B$3</f>
        <v>0.2140353647813665</v>
      </c>
      <c r="M319" s="4">
        <f>1.05+0.05*B319^2</f>
        <v>1.9760129588726065</v>
      </c>
      <c r="N319" s="4">
        <f>(MIN(H319,Thiet_ke!$B$16)-K319)/(Thiet_ke!$B$2*M319)</f>
        <v>0.9881194957442005</v>
      </c>
      <c r="O319" s="4">
        <f>IF(N319&gt;0,1/N319,"")</f>
        <v>1.0120233476891898</v>
      </c>
    </row>
    <row r="320" spans="1:15">
      <c r="A320">
        <v>2</v>
      </c>
      <c r="B320" s="4">
        <f>Thiet_ke!$B$21</f>
        <v>4.30351707065885</v>
      </c>
      <c r="C320" s="4">
        <f>Dau_vao!$B$21+(Dau_vao!$B$19-Dau_vao!$B$21)*117/200</f>
        <v>1853.0</v>
      </c>
      <c r="D320" s="4">
        <f>2*PI()*C320*Thiet_ke!$B$7/(60*Thiet_ke!$B$15*B320)</f>
        <v>4.85575914120319</v>
      </c>
      <c r="E320" s="4">
        <f>D320*3.6</f>
        <v>17.480732908331486</v>
      </c>
      <c r="F320" s="4">
        <f>Thiet_ke!$B$12*(Dau_vao!$B$22*(C320/Dau_vao!$B$19)+Dau_vao!$B$23*(C320/Dau_vao!$B$19)^2-Dau_vao!$B$24*(C320/Dau_vao!$B$19)^3)</f>
        <v>88.48951044724076</v>
      </c>
      <c r="G320" s="4">
        <f>60000*F320/(2*PI()*C320)</f>
        <v>456.024058266388</v>
      </c>
      <c r="H320" s="4">
        <f>G320*Thiet_ke!$B$15*B320*Dau_vao!$B$10/Thiet_ke!$B$7</f>
        <v>16219.021991797083</v>
      </c>
      <c r="I320" s="4">
        <f>IF(D320&lt;=Dau_vao!$B$14,Dau_vao!$B$13,Dau_vao!$B$13*(1+D320^2/1500))</f>
        <v>0.015</v>
      </c>
      <c r="J320" s="4">
        <f>Thiet_ke!$B$8*D320^2</f>
        <v>68.96681074933167</v>
      </c>
      <c r="K320" s="4">
        <f>Thiet_ke!$B$3*I320+J320</f>
        <v>1200.5503107493319</v>
      </c>
      <c r="L320" s="4">
        <f>(H320-J320)/Thiet_ke!$B$3</f>
        <v>0.2140812655148438</v>
      </c>
      <c r="M320" s="4">
        <f>1.05+0.05*B320^2</f>
        <v>1.9760129588726065</v>
      </c>
      <c r="N320" s="4">
        <f>(MIN(H320,Thiet_ke!$B$16)-K320)/(Thiet_ke!$B$2*M320)</f>
        <v>0.9883473718790156</v>
      </c>
      <c r="O320" s="4">
        <f>IF(N320&gt;0,1/N320,"")</f>
        <v>1.011790012755162</v>
      </c>
    </row>
    <row r="321" spans="1:15">
      <c r="A321">
        <v>2</v>
      </c>
      <c r="B321" s="4">
        <f>Thiet_ke!$B$21</f>
        <v>4.30351707065885</v>
      </c>
      <c r="C321" s="4">
        <f>Dau_vao!$B$21+(Dau_vao!$B$19-Dau_vao!$B$21)*118/200</f>
        <v>1862.0</v>
      </c>
      <c r="D321" s="4">
        <f>2*PI()*C321*Thiet_ke!$B$7/(60*Thiet_ke!$B$15*B321)</f>
        <v>4.879343508321825</v>
      </c>
      <c r="E321" s="4">
        <f>D321*3.6</f>
        <v>17.565636629958572</v>
      </c>
      <c r="F321" s="4">
        <f>Thiet_ke!$B$12*(Dau_vao!$B$22*(C321/Dau_vao!$B$19)+Dau_vao!$B$23*(C321/Dau_vao!$B$19)^2-Dau_vao!$B$24*(C321/Dau_vao!$B$19)^3)</f>
        <v>88.93994272356449</v>
      </c>
      <c r="G321" s="4">
        <f>60000*F321/(2*PI()*C321)</f>
        <v>456.1299094338991</v>
      </c>
      <c r="H321" s="4">
        <f>G321*Thiet_ke!$B$15*B321*Dau_vao!$B$10/Thiet_ke!$B$7</f>
        <v>16222.786710746886</v>
      </c>
      <c r="I321" s="4">
        <f>IF(D321&lt;=Dau_vao!$B$14,Dau_vao!$B$13,Dau_vao!$B$13*(1+D321^2/1500))</f>
        <v>0.015</v>
      </c>
      <c r="J321" s="4">
        <f>Thiet_ke!$B$8*D321^2</f>
        <v>69.63837973619184</v>
      </c>
      <c r="K321" s="4">
        <f>Thiet_ke!$B$3*I321+J321</f>
        <v>1201.221879736192</v>
      </c>
      <c r="L321" s="4">
        <f>(H321-J321)/Thiet_ke!$B$3</f>
        <v>0.21412226757032105</v>
      </c>
      <c r="M321" s="4">
        <f>1.05+0.05*B321^2</f>
        <v>1.9760129588726065</v>
      </c>
      <c r="N321" s="4">
        <f>(MIN(H321,Thiet_ke!$B$16)-K321)/(Thiet_ke!$B$2*M321)</f>
        <v>0.9885509283194862</v>
      </c>
      <c r="O321" s="4">
        <f>IF(N321&gt;0,1/N321,"")</f>
        <v>1.0115816710626906</v>
      </c>
    </row>
    <row r="322" spans="1:15">
      <c r="A322">
        <v>2</v>
      </c>
      <c r="B322" s="4">
        <f>Thiet_ke!$B$21</f>
        <v>4.30351707065885</v>
      </c>
      <c r="C322" s="4">
        <f>Dau_vao!$B$21+(Dau_vao!$B$19-Dau_vao!$B$21)*119/200</f>
        <v>1871.0</v>
      </c>
      <c r="D322" s="4">
        <f>2*PI()*C322*Thiet_ke!$B$7/(60*Thiet_ke!$B$15*B322)</f>
        <v>4.902927875440458</v>
      </c>
      <c r="E322" s="4">
        <f>D322*3.6</f>
        <v>17.65054035158565</v>
      </c>
      <c r="F322" s="4">
        <f>Thiet_ke!$B$12*(Dau_vao!$B$22*(C322/Dau_vao!$B$19)+Dau_vao!$B$23*(C322/Dau_vao!$B$19)^2-Dau_vao!$B$24*(C322/Dau_vao!$B$19)^3)</f>
        <v>89.38855662838155</v>
      </c>
      <c r="G322" s="4">
        <f>60000*F322/(2*PI()*C322)</f>
        <v>456.2254615688957</v>
      </c>
      <c r="H322" s="4">
        <f>G322*Thiet_ke!$B$15*B322*Dau_vao!$B$10/Thiet_ke!$B$7</f>
        <v>16226.185132717781</v>
      </c>
      <c r="I322" s="4">
        <f>IF(D322&lt;=Dau_vao!$B$14,Dau_vao!$B$13,Dau_vao!$B$13*(1+D322^2/1500))</f>
        <v>0.015</v>
      </c>
      <c r="J322" s="4">
        <f>Thiet_ke!$B$8*D322^2</f>
        <v>70.31320262393042</v>
      </c>
      <c r="K322" s="4">
        <f>Thiet_ke!$B$3*I322+J322</f>
        <v>1201.8967026239307</v>
      </c>
      <c r="L322" s="4">
        <f>(H322-J322)/Thiet_ke!$B$3</f>
        <v>0.21415837094779813</v>
      </c>
      <c r="M322" s="4">
        <f>1.05+0.05*B322^2</f>
        <v>1.9760129588726065</v>
      </c>
      <c r="N322" s="4">
        <f>(MIN(H322,Thiet_ke!$B$16)-K322)/(Thiet_ke!$B$2*M322)</f>
        <v>0.9887301650656116</v>
      </c>
      <c r="O322" s="4">
        <f>IF(N322&gt;0,1/N322,"")</f>
        <v>1.0113982918015256</v>
      </c>
    </row>
    <row r="323" spans="1:15">
      <c r="A323">
        <v>2</v>
      </c>
      <c r="B323" s="4">
        <f>Thiet_ke!$B$21</f>
        <v>4.30351707065885</v>
      </c>
      <c r="C323" s="4">
        <f>Dau_vao!$B$21+(Dau_vao!$B$19-Dau_vao!$B$21)*120/200</f>
        <v>1880.0</v>
      </c>
      <c r="D323" s="4">
        <f>2*PI()*C323*Thiet_ke!$B$7/(60*Thiet_ke!$B$15*B323)</f>
        <v>4.926512242559093</v>
      </c>
      <c r="E323" s="4">
        <f>D323*3.6</f>
        <v>17.735444073212733</v>
      </c>
      <c r="F323" s="4">
        <f>Thiet_ke!$B$12*(Dau_vao!$B$22*(C323/Dau_vao!$B$19)+Dau_vao!$B$23*(C323/Dau_vao!$B$19)^2-Dau_vao!$B$24*(C323/Dau_vao!$B$19)^3)</f>
        <v>89.83532304186356</v>
      </c>
      <c r="G323" s="4">
        <f>60000*F323/(2*PI()*C323)</f>
        <v>456.3107146713776</v>
      </c>
      <c r="H323" s="4">
        <f>G323*Thiet_ke!$B$15*B323*Dau_vao!$B$10/Thiet_ke!$B$7</f>
        <v>16229.21725770979</v>
      </c>
      <c r="I323" s="4">
        <f>IF(D323&lt;=Dau_vao!$B$14,Dau_vao!$B$13,Dau_vao!$B$13*(1+D323^2/1500))</f>
        <v>0.015</v>
      </c>
      <c r="J323" s="4">
        <f>Thiet_ke!$B$8*D323^2</f>
        <v>70.99127941254751</v>
      </c>
      <c r="K323" s="4">
        <f>Thiet_ke!$B$3*I323+J323</f>
        <v>1202.5747794125477</v>
      </c>
      <c r="L323" s="4">
        <f>(H323-J323)/Thiet_ke!$B$3</f>
        <v>0.21418957564727537</v>
      </c>
      <c r="M323" s="4">
        <f>1.05+0.05*B323^2</f>
        <v>1.9760129588726065</v>
      </c>
      <c r="N323" s="4">
        <f>(MIN(H323,Thiet_ke!$B$16)-K323)/(Thiet_ke!$B$2*M323)</f>
        <v>0.9888850821173937</v>
      </c>
      <c r="O323" s="4">
        <f>IF(N323&gt;0,1/N323,"")</f>
        <v>1.0112398478686797</v>
      </c>
    </row>
    <row r="324" spans="1:15">
      <c r="A324">
        <v>2</v>
      </c>
      <c r="B324" s="4">
        <f>Thiet_ke!$B$21</f>
        <v>4.30351707065885</v>
      </c>
      <c r="C324" s="4">
        <f>Dau_vao!$B$21+(Dau_vao!$B$19-Dau_vao!$B$21)*121/200</f>
        <v>1889.0</v>
      </c>
      <c r="D324" s="4">
        <f>2*PI()*C324*Thiet_ke!$B$7/(60*Thiet_ke!$B$15*B324)</f>
        <v>4.950096609677726</v>
      </c>
      <c r="E324" s="4">
        <f>D324*3.6</f>
        <v>17.820347794839815</v>
      </c>
      <c r="F324" s="4">
        <f>Thiet_ke!$B$12*(Dau_vao!$B$22*(C324/Dau_vao!$B$19)+Dau_vao!$B$23*(C324/Dau_vao!$B$19)^2-Dau_vao!$B$24*(C324/Dau_vao!$B$19)^3)</f>
        <v>90.28021284418215</v>
      </c>
      <c r="G324" s="4">
        <f>60000*F324/(2*PI()*C324)</f>
        <v>456.38566874134494</v>
      </c>
      <c r="H324" s="4">
        <f>G324*Thiet_ke!$B$15*B324*Dau_vao!$B$10/Thiet_ke!$B$7</f>
        <v>16231.883085722891</v>
      </c>
      <c r="I324" s="4">
        <f>IF(D324&lt;=Dau_vao!$B$14,Dau_vao!$B$13,Dau_vao!$B$13*(1+D324^2/1500))</f>
        <v>0.015</v>
      </c>
      <c r="J324" s="4">
        <f>Thiet_ke!$B$8*D324^2</f>
        <v>71.67261010204305</v>
      </c>
      <c r="K324" s="4">
        <f>Thiet_ke!$B$3*I324+J324</f>
        <v>1203.2561101020433</v>
      </c>
      <c r="L324" s="4">
        <f>(H324-J324)/Thiet_ke!$B$3</f>
        <v>0.2142158816687524</v>
      </c>
      <c r="M324" s="4">
        <f>1.05+0.05*B324^2</f>
        <v>1.9760129588726065</v>
      </c>
      <c r="N324" s="4">
        <f>(MIN(H324,Thiet_ke!$B$16)-K324)/(Thiet_ke!$B$2*M324)</f>
        <v>0.9890156794748306</v>
      </c>
      <c r="O324" s="4">
        <f>IF(N324&gt;0,1/N324,"")</f>
        <v>1.011106315858412</v>
      </c>
    </row>
    <row r="325" spans="1:15">
      <c r="A325">
        <v>2</v>
      </c>
      <c r="B325" s="4">
        <f>Thiet_ke!$B$21</f>
        <v>4.30351707065885</v>
      </c>
      <c r="C325" s="4">
        <f>Dau_vao!$B$21+(Dau_vao!$B$19-Dau_vao!$B$21)*122/200</f>
        <v>1898.0</v>
      </c>
      <c r="D325" s="4">
        <f>2*PI()*C325*Thiet_ke!$B$7/(60*Thiet_ke!$B$15*B325)</f>
        <v>4.97368097679636</v>
      </c>
      <c r="E325" s="4">
        <f>D325*3.6</f>
        <v>17.905251516466897</v>
      </c>
      <c r="F325" s="4">
        <f>Thiet_ke!$B$12*(Dau_vao!$B$22*(C325/Dau_vao!$B$19)+Dau_vao!$B$23*(C325/Dau_vao!$B$19)^2-Dau_vao!$B$24*(C325/Dau_vao!$B$19)^3)</f>
        <v>90.7231969155089</v>
      </c>
      <c r="G325" s="4">
        <f>60000*F325/(2*PI()*C325)</f>
        <v>456.45032377879767</v>
      </c>
      <c r="H325" s="4">
        <f>G325*Thiet_ke!$B$15*B325*Dau_vao!$B$10/Thiet_ke!$B$7</f>
        <v>16234.18261675709</v>
      </c>
      <c r="I325" s="4">
        <f>IF(D325&lt;=Dau_vao!$B$14,Dau_vao!$B$13,Dau_vao!$B$13*(1+D325^2/1500))</f>
        <v>0.015</v>
      </c>
      <c r="J325" s="4">
        <f>Thiet_ke!$B$8*D325^2</f>
        <v>72.35719469241704</v>
      </c>
      <c r="K325" s="4">
        <f>Thiet_ke!$B$3*I325+J325</f>
        <v>1203.9406946924173</v>
      </c>
      <c r="L325" s="4">
        <f>(H325-J325)/Thiet_ke!$B$3</f>
        <v>0.2142372890122294</v>
      </c>
      <c r="M325" s="4">
        <f>1.05+0.05*B325^2</f>
        <v>1.9760129588726065</v>
      </c>
      <c r="N325" s="4">
        <f>(MIN(H325,Thiet_ke!$B$16)-K325)/(Thiet_ke!$B$2*M325)</f>
        <v>0.989121957137923</v>
      </c>
      <c r="O325" s="4">
        <f>IF(N325&gt;0,1/N325,"")</f>
        <v>1.010997676053571</v>
      </c>
    </row>
    <row r="326" spans="1:15">
      <c r="A326">
        <v>2</v>
      </c>
      <c r="B326" s="4">
        <f>Thiet_ke!$B$21</f>
        <v>4.30351707065885</v>
      </c>
      <c r="C326" s="4">
        <f>Dau_vao!$B$21+(Dau_vao!$B$19-Dau_vao!$B$21)*123/200</f>
        <v>1907.0</v>
      </c>
      <c r="D326" s="4">
        <f>2*PI()*C326*Thiet_ke!$B$7/(60*Thiet_ke!$B$15*B326)</f>
        <v>4.997265343914994</v>
      </c>
      <c r="E326" s="4">
        <f>D326*3.6</f>
        <v>17.99015523809398</v>
      </c>
      <c r="F326" s="4">
        <f>Thiet_ke!$B$12*(Dau_vao!$B$22*(C326/Dau_vao!$B$19)+Dau_vao!$B$23*(C326/Dau_vao!$B$19)^2-Dau_vao!$B$24*(C326/Dau_vao!$B$19)^3)</f>
        <v>91.16424613601536</v>
      </c>
      <c r="G326" s="4">
        <f>60000*F326/(2*PI()*C326)</f>
        <v>456.50467978373564</v>
      </c>
      <c r="H326" s="4">
        <f>G326*Thiet_ke!$B$15*B326*Dau_vao!$B$10/Thiet_ke!$B$7</f>
        <v>16236.11585081239</v>
      </c>
      <c r="I326" s="4">
        <f>IF(D326&lt;=Dau_vao!$B$14,Dau_vao!$B$13,Dau_vao!$B$13*(1+D326^2/1500))</f>
        <v>0.015</v>
      </c>
      <c r="J326" s="4">
        <f>Thiet_ke!$B$8*D326^2</f>
        <v>73.0450331836695</v>
      </c>
      <c r="K326" s="4">
        <f>Thiet_ke!$B$3*I326+J326</f>
        <v>1204.6285331836698</v>
      </c>
      <c r="L326" s="4">
        <f>(H326-J326)/Thiet_ke!$B$3</f>
        <v>0.2142537976777063</v>
      </c>
      <c r="M326" s="4">
        <f>1.05+0.05*B326^2</f>
        <v>1.9760129588726065</v>
      </c>
      <c r="N326" s="4">
        <f>(MIN(H326,Thiet_ke!$B$16)-K326)/(Thiet_ke!$B$2*M326)</f>
        <v>0.9892039151066707</v>
      </c>
      <c r="O326" s="4">
        <f>IF(N326&gt;0,1/N326,"")</f>
        <v>1.0109139124183157</v>
      </c>
    </row>
    <row r="327" spans="1:15">
      <c r="A327">
        <v>2</v>
      </c>
      <c r="B327" s="4">
        <f>Thiet_ke!$B$21</f>
        <v>4.30351707065885</v>
      </c>
      <c r="C327" s="4">
        <f>Dau_vao!$B$21+(Dau_vao!$B$19-Dau_vao!$B$21)*124/200</f>
        <v>1916.0</v>
      </c>
      <c r="D327" s="4">
        <f>2*PI()*C327*Thiet_ke!$B$7/(60*Thiet_ke!$B$15*B327)</f>
        <v>5.0208497110336285</v>
      </c>
      <c r="E327" s="4">
        <f>D327*3.6</f>
        <v>18.075058959721062</v>
      </c>
      <c r="F327" s="4">
        <f>Thiet_ke!$B$12*(Dau_vao!$B$22*(C327/Dau_vao!$B$19)+Dau_vao!$B$23*(C327/Dau_vao!$B$19)^2-Dau_vao!$B$24*(C327/Dau_vao!$B$19)^3)</f>
        <v>91.60333138587326</v>
      </c>
      <c r="G327" s="4">
        <f>60000*F327/(2*PI()*C327)</f>
        <v>456.54873675615937</v>
      </c>
      <c r="H327" s="4">
        <f>G327*Thiet_ke!$B$15*B327*Dau_vao!$B$10/Thiet_ke!$B$7</f>
        <v>16237.682787888794</v>
      </c>
      <c r="I327" s="4">
        <f>IF(D327&lt;=Dau_vao!$B$14,Dau_vao!$B$13,Dau_vao!$B$13*(1+D327^2/1500))</f>
        <v>0.015</v>
      </c>
      <c r="J327" s="4">
        <f>Thiet_ke!$B$8*D327^2</f>
        <v>73.73612557580043</v>
      </c>
      <c r="K327" s="4">
        <f>Thiet_ke!$B$3*I327+J327</f>
        <v>1205.3196255758007</v>
      </c>
      <c r="L327" s="4">
        <f>(H327-J327)/Thiet_ke!$B$3</f>
        <v>0.21426540766518323</v>
      </c>
      <c r="M327" s="4">
        <f>1.05+0.05*B327^2</f>
        <v>1.9760129588726065</v>
      </c>
      <c r="N327" s="4">
        <f>(MIN(H327,Thiet_ke!$B$16)-K327)/(Thiet_ke!$B$2*M327)</f>
        <v>0.9892615533810744</v>
      </c>
      <c r="O327" s="4">
        <f>IF(N327&gt;0,1/N327,"")</f>
        <v>1.0108550125921947</v>
      </c>
    </row>
    <row r="328" spans="1:15">
      <c r="A328">
        <v>2</v>
      </c>
      <c r="B328" s="4">
        <f>Thiet_ke!$B$21</f>
        <v>4.30351707065885</v>
      </c>
      <c r="C328" s="4">
        <f>Dau_vao!$B$21+(Dau_vao!$B$19-Dau_vao!$B$21)*125/200</f>
        <v>1925.0</v>
      </c>
      <c r="D328" s="4">
        <f>2*PI()*C328*Thiet_ke!$B$7/(60*Thiet_ke!$B$15*B328)</f>
        <v>5.044434078152263</v>
      </c>
      <c r="E328" s="4">
        <f>D328*3.6</f>
        <v>18.159962681348148</v>
      </c>
      <c r="F328" s="4">
        <f>Thiet_ke!$B$12*(Dau_vao!$B$22*(C328/Dau_vao!$B$19)+Dau_vao!$B$23*(C328/Dau_vao!$B$19)^2-Dau_vao!$B$24*(C328/Dau_vao!$B$19)^3)</f>
        <v>92.04042354525409</v>
      </c>
      <c r="G328" s="4">
        <f>60000*F328/(2*PI()*C328)</f>
        <v>456.58249469606835</v>
      </c>
      <c r="H328" s="4">
        <f>G328*Thiet_ke!$B$15*B328*Dau_vao!$B$10/Thiet_ke!$B$7</f>
        <v>16238.883427986299</v>
      </c>
      <c r="I328" s="4">
        <f>IF(D328&lt;=Dau_vao!$B$14,Dau_vao!$B$13,Dau_vao!$B$13*(1+D328^2/1500))</f>
        <v>0.015</v>
      </c>
      <c r="J328" s="4">
        <f>Thiet_ke!$B$8*D328^2</f>
        <v>74.43047186880983</v>
      </c>
      <c r="K328" s="4">
        <f>Thiet_ke!$B$3*I328+J328</f>
        <v>1206.0139718688101</v>
      </c>
      <c r="L328" s="4">
        <f>(H328-J328)/Thiet_ke!$B$3</f>
        <v>0.21427211897466011</v>
      </c>
      <c r="M328" s="4">
        <f>1.05+0.05*B328^2</f>
        <v>1.9760129588726065</v>
      </c>
      <c r="N328" s="4">
        <f>(MIN(H328,Thiet_ke!$B$16)-K328)/(Thiet_ke!$B$2*M328)</f>
        <v>0.9892948719611336</v>
      </c>
      <c r="O328" s="4">
        <f>IF(N328&gt;0,1/N328,"")</f>
        <v>1.010820967885586</v>
      </c>
    </row>
    <row r="329" spans="1:15">
      <c r="A329">
        <v>2</v>
      </c>
      <c r="B329" s="4">
        <f>Thiet_ke!$B$21</f>
        <v>4.30351707065885</v>
      </c>
      <c r="C329" s="4">
        <f>Dau_vao!$B$21+(Dau_vao!$B$19-Dau_vao!$B$21)*126/200</f>
        <v>1934.0</v>
      </c>
      <c r="D329" s="4">
        <f>2*PI()*C329*Thiet_ke!$B$7/(60*Thiet_ke!$B$15*B329)</f>
        <v>5.068018445270896</v>
      </c>
      <c r="E329" s="4">
        <f>D329*3.6</f>
        <v>18.244866402975227</v>
      </c>
      <c r="F329" s="4">
        <f>Thiet_ke!$B$12*(Dau_vao!$B$22*(C329/Dau_vao!$B$19)+Dau_vao!$B$23*(C329/Dau_vao!$B$19)^2-Dau_vao!$B$24*(C329/Dau_vao!$B$19)^3)</f>
        <v>92.47549349432948</v>
      </c>
      <c r="G329" s="4">
        <f>60000*F329/(2*PI()*C329)</f>
        <v>456.6059536034627</v>
      </c>
      <c r="H329" s="4">
        <f>G329*Thiet_ke!$B$15*B329*Dau_vao!$B$10/Thiet_ke!$B$7</f>
        <v>16239.71777110491</v>
      </c>
      <c r="I329" s="4">
        <f>IF(D329&lt;=Dau_vao!$B$14,Dau_vao!$B$13,Dau_vao!$B$13*(1+D329^2/1500))</f>
        <v>0.015</v>
      </c>
      <c r="J329" s="4">
        <f>Thiet_ke!$B$8*D329^2</f>
        <v>75.12807206269764</v>
      </c>
      <c r="K329" s="4">
        <f>Thiet_ke!$B$3*I329+J329</f>
        <v>1206.7115720626978</v>
      </c>
      <c r="L329" s="4">
        <f>(H329-J329)/Thiet_ke!$B$3</f>
        <v>0.214273931606137</v>
      </c>
      <c r="M329" s="4">
        <f>1.05+0.05*B329^2</f>
        <v>1.9760129588726065</v>
      </c>
      <c r="N329" s="4">
        <f>(MIN(H329,Thiet_ke!$B$16)-K329)/(Thiet_ke!$B$2*M329)</f>
        <v>0.9893038708468487</v>
      </c>
      <c r="O329" s="4">
        <f>IF(N329&gt;0,1/N329,"")</f>
        <v>1.0108117732764912</v>
      </c>
    </row>
    <row r="330" spans="1:15">
      <c r="A330">
        <v>2</v>
      </c>
      <c r="B330" s="4">
        <f>Thiet_ke!$B$21</f>
        <v>4.30351707065885</v>
      </c>
      <c r="C330" s="4">
        <f>Dau_vao!$B$21+(Dau_vao!$B$19-Dau_vao!$B$21)*127/200</f>
        <v>1943.0</v>
      </c>
      <c r="D330" s="4">
        <f>2*PI()*C330*Thiet_ke!$B$7/(60*Thiet_ke!$B$15*B330)</f>
        <v>5.091602812389531</v>
      </c>
      <c r="E330" s="4">
        <f>D330*3.6</f>
        <v>18.329770124602312</v>
      </c>
      <c r="F330" s="4">
        <f>Thiet_ke!$B$12*(Dau_vao!$B$22*(C330/Dau_vao!$B$19)+Dau_vao!$B$23*(C330/Dau_vao!$B$19)^2-Dau_vao!$B$24*(C330/Dau_vao!$B$19)^3)</f>
        <v>92.90851211327106</v>
      </c>
      <c r="G330" s="4">
        <f>60000*F330/(2*PI()*C330)</f>
        <v>456.6191134783425</v>
      </c>
      <c r="H330" s="4">
        <f>G330*Thiet_ke!$B$15*B330*Dau_vao!$B$10/Thiet_ke!$B$7</f>
        <v>16240.185817244614</v>
      </c>
      <c r="I330" s="4">
        <f>IF(D330&lt;=Dau_vao!$B$14,Dau_vao!$B$13,Dau_vao!$B$13*(1+D330^2/1500))</f>
        <v>0.015</v>
      </c>
      <c r="J330" s="4">
        <f>Thiet_ke!$B$8*D330^2</f>
        <v>75.82892615746397</v>
      </c>
      <c r="K330" s="4">
        <f>Thiet_ke!$B$3*I330+J330</f>
        <v>1207.412426157464</v>
      </c>
      <c r="L330" s="4">
        <f>(H330-J330)/Thiet_ke!$B$3</f>
        <v>0.21427084555961376</v>
      </c>
      <c r="M330" s="4">
        <f>1.05+0.05*B330^2</f>
        <v>1.9760129588726065</v>
      </c>
      <c r="N330" s="4">
        <f>(MIN(H330,Thiet_ke!$B$16)-K330)/(Thiet_ke!$B$2*M330)</f>
        <v>0.9892885500382188</v>
      </c>
      <c r="O330" s="4">
        <f>IF(N330&gt;0,1/N330,"")</f>
        <v>1.0108274274086841</v>
      </c>
    </row>
    <row r="331" spans="1:15">
      <c r="A331">
        <v>2</v>
      </c>
      <c r="B331" s="4">
        <f>Thiet_ke!$B$21</f>
        <v>4.30351707065885</v>
      </c>
      <c r="C331" s="4">
        <f>Dau_vao!$B$21+(Dau_vao!$B$19-Dau_vao!$B$21)*128/200</f>
        <v>1952.0</v>
      </c>
      <c r="D331" s="4">
        <f>2*PI()*C331*Thiet_ke!$B$7/(60*Thiet_ke!$B$15*B331)</f>
        <v>5.115187179508164</v>
      </c>
      <c r="E331" s="4">
        <f>D331*3.6</f>
        <v>18.41467384622939</v>
      </c>
      <c r="F331" s="4">
        <f>Thiet_ke!$B$12*(Dau_vao!$B$22*(C331/Dau_vao!$B$19)+Dau_vao!$B$23*(C331/Dau_vao!$B$19)^2-Dau_vao!$B$24*(C331/Dau_vao!$B$19)^3)</f>
        <v>93.33945028225037</v>
      </c>
      <c r="G331" s="4">
        <f>60000*F331/(2*PI()*C331)</f>
        <v>456.6219743207076</v>
      </c>
      <c r="H331" s="4">
        <f>G331*Thiet_ke!$B$15*B331*Dau_vao!$B$10/Thiet_ke!$B$7</f>
        <v>16240.287566405423</v>
      </c>
      <c r="I331" s="4">
        <f>IF(D331&lt;=Dau_vao!$B$14,Dau_vao!$B$13,Dau_vao!$B$13*(1+D331^2/1500))</f>
        <v>0.015</v>
      </c>
      <c r="J331" s="4">
        <f>Thiet_ke!$B$8*D331^2</f>
        <v>76.5330341531087</v>
      </c>
      <c r="K331" s="4">
        <f>Thiet_ke!$B$3*I331+J331</f>
        <v>1208.116534153109</v>
      </c>
      <c r="L331" s="4">
        <f>(H331-J331)/Thiet_ke!$B$3</f>
        <v>0.21426286083509055</v>
      </c>
      <c r="M331" s="4">
        <f>1.05+0.05*B331^2</f>
        <v>1.9760129588726065</v>
      </c>
      <c r="N331" s="4">
        <f>(MIN(H331,Thiet_ke!$B$16)-K331)/(Thiet_ke!$B$2*M331)</f>
        <v>0.9892489095352448</v>
      </c>
      <c r="O331" s="4">
        <f>IF(N331&gt;0,1/N331,"")</f>
        <v>1.0108679325912082</v>
      </c>
    </row>
    <row r="332" spans="1:15">
      <c r="A332">
        <v>2</v>
      </c>
      <c r="B332" s="4">
        <f>Thiet_ke!$B$21</f>
        <v>4.30351707065885</v>
      </c>
      <c r="C332" s="4">
        <f>Dau_vao!$B$21+(Dau_vao!$B$19-Dau_vao!$B$21)*129/200</f>
        <v>1961.0</v>
      </c>
      <c r="D332" s="4">
        <f>2*PI()*C332*Thiet_ke!$B$7/(60*Thiet_ke!$B$15*B332)</f>
        <v>5.138771546626798</v>
      </c>
      <c r="E332" s="4">
        <f>D332*3.6</f>
        <v>18.499577567856473</v>
      </c>
      <c r="F332" s="4">
        <f>Thiet_ke!$B$12*(Dau_vao!$B$22*(C332/Dau_vao!$B$19)+Dau_vao!$B$23*(C332/Dau_vao!$B$19)^2-Dau_vao!$B$24*(C332/Dau_vao!$B$19)^3)</f>
        <v>93.76827888143906</v>
      </c>
      <c r="G332" s="4">
        <f>60000*F332/(2*PI()*C332)</f>
        <v>456.61453613055806</v>
      </c>
      <c r="H332" s="4">
        <f>G332*Thiet_ke!$B$15*B332*Dau_vao!$B$10/Thiet_ke!$B$7</f>
        <v>16240.02301858732</v>
      </c>
      <c r="I332" s="4">
        <f>IF(D332&lt;=Dau_vao!$B$14,Dau_vao!$B$13,Dau_vao!$B$13*(1+D332^2/1500))</f>
        <v>0.015</v>
      </c>
      <c r="J332" s="4">
        <f>Thiet_ke!$B$8*D332^2</f>
        <v>77.24039604963194</v>
      </c>
      <c r="K332" s="4">
        <f>Thiet_ke!$B$3*I332+J332</f>
        <v>1208.8238960496321</v>
      </c>
      <c r="L332" s="4">
        <f>(H332-J332)/Thiet_ke!$B$3</f>
        <v>0.2142499774325671</v>
      </c>
      <c r="M332" s="4">
        <f>1.05+0.05*B332^2</f>
        <v>1.9760129588726065</v>
      </c>
      <c r="N332" s="4">
        <f>(MIN(H332,Thiet_ke!$B$16)-K332)/(Thiet_ke!$B$2*M332)</f>
        <v>0.9891849493379254</v>
      </c>
      <c r="O332" s="4">
        <f>IF(N332&gt;0,1/N332,"")</f>
        <v>1.0109332947992316</v>
      </c>
    </row>
    <row r="333" spans="1:15">
      <c r="A333">
        <v>2</v>
      </c>
      <c r="B333" s="4">
        <f>Thiet_ke!$B$21</f>
        <v>4.30351707065885</v>
      </c>
      <c r="C333" s="4">
        <f>Dau_vao!$B$21+(Dau_vao!$B$19-Dau_vao!$B$21)*130/200</f>
        <v>1970.0</v>
      </c>
      <c r="D333" s="4">
        <f>2*PI()*C333*Thiet_ke!$B$7/(60*Thiet_ke!$B$15*B333)</f>
        <v>5.162355913745431</v>
      </c>
      <c r="E333" s="4">
        <f>D333*3.6</f>
        <v>18.584481289483552</v>
      </c>
      <c r="F333" s="4">
        <f>Thiet_ke!$B$12*(Dau_vao!$B$22*(C333/Dau_vao!$B$19)+Dau_vao!$B$23*(C333/Dau_vao!$B$19)^2-Dau_vao!$B$24*(C333/Dau_vao!$B$19)^3)</f>
        <v>94.19496879100878</v>
      </c>
      <c r="G333" s="4">
        <f>60000*F333/(2*PI()*C333)</f>
        <v>456.5967989078942</v>
      </c>
      <c r="H333" s="4">
        <f>G333*Thiet_ke!$B$15*B333*Dau_vao!$B$10/Thiet_ke!$B$7</f>
        <v>16239.392173790327</v>
      </c>
      <c r="I333" s="4">
        <f>IF(D333&lt;=Dau_vao!$B$14,Dau_vao!$B$13,Dau_vao!$B$13*(1+D333^2/1500))</f>
        <v>0.015</v>
      </c>
      <c r="J333" s="4">
        <f>Thiet_ke!$B$8*D333^2</f>
        <v>77.9510118470336</v>
      </c>
      <c r="K333" s="4">
        <f>Thiet_ke!$B$3*I333+J333</f>
        <v>1209.5345118470339</v>
      </c>
      <c r="L333" s="4">
        <f>(H333-J333)/Thiet_ke!$B$3</f>
        <v>0.21423219535204374</v>
      </c>
      <c r="M333" s="4">
        <f>1.05+0.05*B333^2</f>
        <v>1.9760129588726065</v>
      </c>
      <c r="N333" s="4">
        <f>(MIN(H333,Thiet_ke!$B$16)-K333)/(Thiet_ke!$B$2*M333)</f>
        <v>0.9890966694462623</v>
      </c>
      <c r="O333" s="4">
        <f>IF(N333&gt;0,1/N333,"")</f>
        <v>1.0110235236762468</v>
      </c>
    </row>
    <row r="334" spans="1:15">
      <c r="A334">
        <v>2</v>
      </c>
      <c r="B334" s="4">
        <f>Thiet_ke!$B$21</f>
        <v>4.30351707065885</v>
      </c>
      <c r="C334" s="4">
        <f>Dau_vao!$B$21+(Dau_vao!$B$19-Dau_vao!$B$21)*131/200</f>
        <v>1979.0</v>
      </c>
      <c r="D334" s="4">
        <f>2*PI()*C334*Thiet_ke!$B$7/(60*Thiet_ke!$B$15*B334)</f>
        <v>5.185940280864066</v>
      </c>
      <c r="E334" s="4">
        <f>D334*3.6</f>
        <v>18.669385011110638</v>
      </c>
      <c r="F334" s="4">
        <f>Thiet_ke!$B$12*(Dau_vao!$B$22*(C334/Dau_vao!$B$19)+Dau_vao!$B$23*(C334/Dau_vao!$B$19)^2-Dau_vao!$B$24*(C334/Dau_vao!$B$19)^3)</f>
        <v>94.61949089113101</v>
      </c>
      <c r="G334" s="4">
        <f>60000*F334/(2*PI()*C334)</f>
        <v>456.5687626527155</v>
      </c>
      <c r="H334" s="4">
        <f>G334*Thiet_ke!$B$15*B334*Dau_vao!$B$10/Thiet_ke!$B$7</f>
        <v>16238.395032014438</v>
      </c>
      <c r="I334" s="4">
        <f>IF(D334&lt;=Dau_vao!$B$14,Dau_vao!$B$13,Dau_vao!$B$13*(1+D334^2/1500))</f>
        <v>0.015</v>
      </c>
      <c r="J334" s="4">
        <f>Thiet_ke!$B$8*D334^2</f>
        <v>78.66488154531376</v>
      </c>
      <c r="K334" s="4">
        <f>Thiet_ke!$B$3*I334+J334</f>
        <v>1210.248381545314</v>
      </c>
      <c r="L334" s="4">
        <f>(H334-J334)/Thiet_ke!$B$3</f>
        <v>0.21420951459352036</v>
      </c>
      <c r="M334" s="4">
        <f>1.05+0.05*B334^2</f>
        <v>1.9760129588726065</v>
      </c>
      <c r="N334" s="4">
        <f>(MIN(H334,Thiet_ke!$B$16)-K334)/(Thiet_ke!$B$2*M334)</f>
        <v>0.9889840698602549</v>
      </c>
      <c r="O334" s="4">
        <f>IF(N334&gt;0,1/N334,"")</f>
        <v>1.011138632537632</v>
      </c>
    </row>
    <row r="335" spans="1:15">
      <c r="A335">
        <v>2</v>
      </c>
      <c r="B335" s="4">
        <f>Thiet_ke!$B$21</f>
        <v>4.30351707065885</v>
      </c>
      <c r="C335" s="4">
        <f>Dau_vao!$B$21+(Dau_vao!$B$19-Dau_vao!$B$21)*132/200</f>
        <v>1988.0</v>
      </c>
      <c r="D335" s="4">
        <f>2*PI()*C335*Thiet_ke!$B$7/(60*Thiet_ke!$B$15*B335)</f>
        <v>5.2095246479826995</v>
      </c>
      <c r="E335" s="4">
        <f>D335*3.6</f>
        <v>18.75428873273772</v>
      </c>
      <c r="F335" s="4">
        <f>Thiet_ke!$B$12*(Dau_vao!$B$22*(C335/Dau_vao!$B$19)+Dau_vao!$B$23*(C335/Dau_vao!$B$19)^2-Dau_vao!$B$24*(C335/Dau_vao!$B$19)^3)</f>
        <v>95.04181606197744</v>
      </c>
      <c r="G335" s="4">
        <f>60000*F335/(2*PI()*C335)</f>
        <v>456.5304273650223</v>
      </c>
      <c r="H335" s="4">
        <f>G335*Thiet_ke!$B$15*B335*Dau_vao!$B$10/Thiet_ke!$B$7</f>
        <v>16237.03159325965</v>
      </c>
      <c r="I335" s="4">
        <f>IF(D335&lt;=Dau_vao!$B$14,Dau_vao!$B$13,Dau_vao!$B$13*(1+D335^2/1500))</f>
        <v>0.015</v>
      </c>
      <c r="J335" s="4">
        <f>Thiet_ke!$B$8*D335^2</f>
        <v>79.38200514447237</v>
      </c>
      <c r="K335" s="4">
        <f>Thiet_ke!$B$3*I335+J335</f>
        <v>1210.9655051444724</v>
      </c>
      <c r="L335" s="4">
        <f>(H335-J335)/Thiet_ke!$B$3</f>
        <v>0.21418193515699693</v>
      </c>
      <c r="M335" s="4">
        <f>1.05+0.05*B335^2</f>
        <v>1.9760129588726065</v>
      </c>
      <c r="N335" s="4">
        <f>(MIN(H335,Thiet_ke!$B$16)-K335)/(Thiet_ke!$B$2*M335)</f>
        <v>0.9888471505799031</v>
      </c>
      <c r="O335" s="4">
        <f>IF(N335&gt;0,1/N335,"")</f>
        <v>1.0112786383755632</v>
      </c>
    </row>
    <row r="336" spans="1:15">
      <c r="A336">
        <v>2</v>
      </c>
      <c r="B336" s="4">
        <f>Thiet_ke!$B$21</f>
        <v>4.30351707065885</v>
      </c>
      <c r="C336" s="4">
        <f>Dau_vao!$B$21+(Dau_vao!$B$19-Dau_vao!$B$21)*133/200</f>
        <v>1997.0</v>
      </c>
      <c r="D336" s="4">
        <f>2*PI()*C336*Thiet_ke!$B$7/(60*Thiet_ke!$B$15*B336)</f>
        <v>5.233109015101334</v>
      </c>
      <c r="E336" s="4">
        <f>D336*3.6</f>
        <v>18.839192454364802</v>
      </c>
      <c r="F336" s="4">
        <f>Thiet_ke!$B$12*(Dau_vao!$B$22*(C336/Dau_vao!$B$19)+Dau_vao!$B$23*(C336/Dau_vao!$B$19)^2-Dau_vao!$B$24*(C336/Dau_vao!$B$19)^3)</f>
        <v>95.46191518371967</v>
      </c>
      <c r="G336" s="4">
        <f>60000*F336/(2*PI()*C336)</f>
        <v>456.48179304481454</v>
      </c>
      <c r="H336" s="4">
        <f>G336*Thiet_ke!$B$15*B336*Dau_vao!$B$10/Thiet_ke!$B$7</f>
        <v>16235.30185752595</v>
      </c>
      <c r="I336" s="4">
        <f>IF(D336&lt;=Dau_vao!$B$14,Dau_vao!$B$13,Dau_vao!$B$13*(1+D336^2/1500))</f>
        <v>0.015</v>
      </c>
      <c r="J336" s="4">
        <f>Thiet_ke!$B$8*D336^2</f>
        <v>80.10238264450946</v>
      </c>
      <c r="K336" s="4">
        <f>Thiet_ke!$B$3*I336+J336</f>
        <v>1211.6858826445095</v>
      </c>
      <c r="L336" s="4">
        <f>(H336-J336)/Thiet_ke!$B$3</f>
        <v>0.21414945704247332</v>
      </c>
      <c r="M336" s="4">
        <f>1.05+0.05*B336^2</f>
        <v>1.9760129588726065</v>
      </c>
      <c r="N336" s="4">
        <f>(MIN(H336,Thiet_ke!$B$16)-K336)/(Thiet_ke!$B$2*M336)</f>
        <v>0.9886859116052059</v>
      </c>
      <c r="O336" s="4">
        <f>IF(N336&gt;0,1/N336,"")</f>
        <v>1.0114435618652893</v>
      </c>
    </row>
    <row r="337" spans="1:15">
      <c r="A337">
        <v>2</v>
      </c>
      <c r="B337" s="4">
        <f>Thiet_ke!$B$21</f>
        <v>4.30351707065885</v>
      </c>
      <c r="C337" s="4">
        <f>Dau_vao!$B$21+(Dau_vao!$B$19-Dau_vao!$B$21)*134/200</f>
        <v>2006.0</v>
      </c>
      <c r="D337" s="4">
        <f>2*PI()*C337*Thiet_ke!$B$7/(60*Thiet_ke!$B$15*B337)</f>
        <v>5.256693382219968</v>
      </c>
      <c r="E337" s="4">
        <f>D337*3.6</f>
        <v>18.924096175991885</v>
      </c>
      <c r="F337" s="4">
        <f>Thiet_ke!$B$12*(Dau_vao!$B$22*(C337/Dau_vao!$B$19)+Dau_vao!$B$23*(C337/Dau_vao!$B$19)^2-Dau_vao!$B$24*(C337/Dau_vao!$B$19)^3)</f>
        <v>95.87975913652924</v>
      </c>
      <c r="G337" s="4">
        <f>60000*F337/(2*PI()*C337)</f>
        <v>456.42285969209206</v>
      </c>
      <c r="H337" s="4">
        <f>G337*Thiet_ke!$B$15*B337*Dau_vao!$B$10/Thiet_ke!$B$7</f>
        <v>16233.205824813364</v>
      </c>
      <c r="I337" s="4">
        <f>IF(D337&lt;=Dau_vao!$B$14,Dau_vao!$B$13,Dau_vao!$B$13*(1+D337^2/1500))</f>
        <v>0.015</v>
      </c>
      <c r="J337" s="4">
        <f>Thiet_ke!$B$8*D337^2</f>
        <v>80.82601404542498</v>
      </c>
      <c r="K337" s="4">
        <f>Thiet_ke!$B$3*I337+J337</f>
        <v>1212.409514045425</v>
      </c>
      <c r="L337" s="4">
        <f>(H337-J337)/Thiet_ke!$B$3</f>
        <v>0.21411208024994977</v>
      </c>
      <c r="M337" s="4">
        <f>1.05+0.05*B337^2</f>
        <v>1.9760129588726065</v>
      </c>
      <c r="N337" s="4">
        <f>(MIN(H337,Thiet_ke!$B$16)-K337)/(Thiet_ke!$B$2*M337)</f>
        <v>0.9885003529361652</v>
      </c>
      <c r="O337" s="4">
        <f>IF(N337&gt;0,1/N337,"")</f>
        <v>1.0116334273727643</v>
      </c>
    </row>
    <row r="338" spans="1:15">
      <c r="A338">
        <v>2</v>
      </c>
      <c r="B338" s="4">
        <f>Thiet_ke!$B$21</f>
        <v>4.30351707065885</v>
      </c>
      <c r="C338" s="4">
        <f>Dau_vao!$B$21+(Dau_vao!$B$19-Dau_vao!$B$21)*135/200</f>
        <v>2015.0</v>
      </c>
      <c r="D338" s="4">
        <f>2*PI()*C338*Thiet_ke!$B$7/(60*Thiet_ke!$B$15*B338)</f>
        <v>5.280277749338602</v>
      </c>
      <c r="E338" s="4">
        <f>D338*3.6</f>
        <v>19.008999897618967</v>
      </c>
      <c r="F338" s="4">
        <f>Thiet_ke!$B$12*(Dau_vao!$B$22*(C338/Dau_vao!$B$19)+Dau_vao!$B$23*(C338/Dau_vao!$B$19)^2-Dau_vao!$B$24*(C338/Dau_vao!$B$19)^3)</f>
        <v>96.29531880057782</v>
      </c>
      <c r="G338" s="4">
        <f>60000*F338/(2*PI()*C338)</f>
        <v>456.35362730685506</v>
      </c>
      <c r="H338" s="4">
        <f>G338*Thiet_ke!$B$15*B338*Dau_vao!$B$10/Thiet_ke!$B$7</f>
        <v>16230.743495121867</v>
      </c>
      <c r="I338" s="4">
        <f>IF(D338&lt;=Dau_vao!$B$14,Dau_vao!$B$13,Dau_vao!$B$13*(1+D338^2/1500))</f>
        <v>0.015</v>
      </c>
      <c r="J338" s="4">
        <f>Thiet_ke!$B$8*D338^2</f>
        <v>81.55289934721897</v>
      </c>
      <c r="K338" s="4">
        <f>Thiet_ke!$B$3*I338+J338</f>
        <v>1213.1363993472191</v>
      </c>
      <c r="L338" s="4">
        <f>(H338-J338)/Thiet_ke!$B$3</f>
        <v>0.21406980477942608</v>
      </c>
      <c r="M338" s="4">
        <f>1.05+0.05*B338^2</f>
        <v>1.9760129588726065</v>
      </c>
      <c r="N338" s="4">
        <f>(MIN(H338,Thiet_ke!$B$16)-K338)/(Thiet_ke!$B$2*M338)</f>
        <v>0.9882904745727793</v>
      </c>
      <c r="O338" s="4">
        <f>IF(N338&gt;0,1/N338,"")</f>
        <v>1.011848262963662</v>
      </c>
    </row>
    <row r="339" spans="1:15">
      <c r="A339">
        <v>2</v>
      </c>
      <c r="B339" s="4">
        <f>Thiet_ke!$B$21</f>
        <v>4.30351707065885</v>
      </c>
      <c r="C339" s="4">
        <f>Dau_vao!$B$21+(Dau_vao!$B$19-Dau_vao!$B$21)*136/200</f>
        <v>2024.0</v>
      </c>
      <c r="D339" s="4">
        <f>2*PI()*C339*Thiet_ke!$B$7/(60*Thiet_ke!$B$15*B339)</f>
        <v>5.303862116457236</v>
      </c>
      <c r="E339" s="4">
        <f>D339*3.6</f>
        <v>19.093903619246053</v>
      </c>
      <c r="F339" s="4">
        <f>Thiet_ke!$B$12*(Dau_vao!$B$22*(C339/Dau_vao!$B$19)+Dau_vao!$B$23*(C339/Dau_vao!$B$19)^2-Dau_vao!$B$24*(C339/Dau_vao!$B$19)^3)</f>
        <v>96.70856505603696</v>
      </c>
      <c r="G339" s="4">
        <f>60000*F339/(2*PI()*C339)</f>
        <v>456.2740958891034</v>
      </c>
      <c r="H339" s="4">
        <f>G339*Thiet_ke!$B$15*B339*Dau_vao!$B$10/Thiet_ke!$B$7</f>
        <v>16227.914868451482</v>
      </c>
      <c r="I339" s="4">
        <f>IF(D339&lt;=Dau_vao!$B$14,Dau_vao!$B$13,Dau_vao!$B$13*(1+D339^2/1500))</f>
        <v>0.015</v>
      </c>
      <c r="J339" s="4">
        <f>Thiet_ke!$B$8*D339^2</f>
        <v>82.28303854989144</v>
      </c>
      <c r="K339" s="4">
        <f>Thiet_ke!$B$3*I339+J339</f>
        <v>1213.8665385498916</v>
      </c>
      <c r="L339" s="4">
        <f>(H339-J339)/Thiet_ke!$B$3</f>
        <v>0.2140226306309025</v>
      </c>
      <c r="M339" s="4">
        <f>1.05+0.05*B339^2</f>
        <v>1.9760129588726065</v>
      </c>
      <c r="N339" s="4">
        <f>(MIN(H339,Thiet_ke!$B$16)-K339)/(Thiet_ke!$B$2*M339)</f>
        <v>0.9880562765150497</v>
      </c>
      <c r="O339" s="4">
        <f>IF(N339&gt;0,1/N339,"")</f>
        <v>1.0120881004137505</v>
      </c>
    </row>
    <row r="340" spans="1:15">
      <c r="A340">
        <v>2</v>
      </c>
      <c r="B340" s="4">
        <f>Thiet_ke!$B$21</f>
        <v>4.30351707065885</v>
      </c>
      <c r="C340" s="4">
        <f>Dau_vao!$B$21+(Dau_vao!$B$19-Dau_vao!$B$21)*137/200</f>
        <v>2033.0</v>
      </c>
      <c r="D340" s="4">
        <f>2*PI()*C340*Thiet_ke!$B$7/(60*Thiet_ke!$B$15*B340)</f>
        <v>5.327446483575869</v>
      </c>
      <c r="E340" s="4">
        <f>D340*3.6</f>
        <v>19.17880734087313</v>
      </c>
      <c r="F340" s="4">
        <f>Thiet_ke!$B$12*(Dau_vao!$B$22*(C340/Dau_vao!$B$19)+Dau_vao!$B$23*(C340/Dau_vao!$B$19)^2-Dau_vao!$B$24*(C340/Dau_vao!$B$19)^3)</f>
        <v>97.11946878307835</v>
      </c>
      <c r="G340" s="4">
        <f>60000*F340/(2*PI()*C340)</f>
        <v>456.18426543883743</v>
      </c>
      <c r="H340" s="4">
        <f>G340*Thiet_ke!$B$15*B340*Dau_vao!$B$10/Thiet_ke!$B$7</f>
        <v>16224.719944802186</v>
      </c>
      <c r="I340" s="4">
        <f>IF(D340&lt;=Dau_vao!$B$14,Dau_vao!$B$13,Dau_vao!$B$13*(1+D340^2/1500))</f>
        <v>0.015</v>
      </c>
      <c r="J340" s="4">
        <f>Thiet_ke!$B$8*D340^2</f>
        <v>83.01643165344233</v>
      </c>
      <c r="K340" s="4">
        <f>Thiet_ke!$B$3*I340+J340</f>
        <v>1214.5999316534426</v>
      </c>
      <c r="L340" s="4">
        <f>(H340-J340)/Thiet_ke!$B$3</f>
        <v>0.21397055780437865</v>
      </c>
      <c r="M340" s="4">
        <f>1.05+0.05*B340^2</f>
        <v>1.9760129588726065</v>
      </c>
      <c r="N340" s="4">
        <f>(MIN(H340,Thiet_ke!$B$16)-K340)/(Thiet_ke!$B$2*M340)</f>
        <v>0.9877977587629747</v>
      </c>
      <c r="O340" s="4">
        <f>IF(N340&gt;0,1/N340,"")</f>
        <v>1.0123529752206628</v>
      </c>
    </row>
    <row r="341" spans="1:15">
      <c r="A341">
        <v>2</v>
      </c>
      <c r="B341" s="4">
        <f>Thiet_ke!$B$21</f>
        <v>4.30351707065885</v>
      </c>
      <c r="C341" s="4">
        <f>Dau_vao!$B$21+(Dau_vao!$B$19-Dau_vao!$B$21)*138/200</f>
        <v>2042.0</v>
      </c>
      <c r="D341" s="4">
        <f>2*PI()*C341*Thiet_ke!$B$7/(60*Thiet_ke!$B$15*B341)</f>
        <v>5.351030850694504</v>
      </c>
      <c r="E341" s="4">
        <f>D341*3.6</f>
        <v>19.263711062500214</v>
      </c>
      <c r="F341" s="4">
        <f>Thiet_ke!$B$12*(Dau_vao!$B$22*(C341/Dau_vao!$B$19)+Dau_vao!$B$23*(C341/Dau_vao!$B$19)^2-Dau_vao!$B$24*(C341/Dau_vao!$B$19)^3)</f>
        <v>97.52800086187342</v>
      </c>
      <c r="G341" s="4">
        <f>60000*F341/(2*PI()*C341)</f>
        <v>456.08413595605634</v>
      </c>
      <c r="H341" s="4">
        <f>G341*Thiet_ke!$B$15*B341*Dau_vao!$B$10/Thiet_ke!$B$7</f>
        <v>16221.158724173994</v>
      </c>
      <c r="I341" s="4">
        <f>IF(D341&lt;=Dau_vao!$B$14,Dau_vao!$B$13,Dau_vao!$B$13*(1+D341^2/1500))</f>
        <v>0.015</v>
      </c>
      <c r="J341" s="4">
        <f>Thiet_ke!$B$8*D341^2</f>
        <v>83.75307865787173</v>
      </c>
      <c r="K341" s="4">
        <f>Thiet_ke!$B$3*I341+J341</f>
        <v>1215.336578657872</v>
      </c>
      <c r="L341" s="4">
        <f>(H341-J341)/Thiet_ke!$B$3</f>
        <v>0.21391358629985485</v>
      </c>
      <c r="M341" s="4">
        <f>1.05+0.05*B341^2</f>
        <v>1.9760129588726065</v>
      </c>
      <c r="N341" s="4">
        <f>(MIN(H341,Thiet_ke!$B$16)-K341)/(Thiet_ke!$B$2*M341)</f>
        <v>0.9875149213165556</v>
      </c>
      <c r="O341" s="4">
        <f>IF(N341&gt;0,1/N341,"")</f>
        <v>1.0126429266170471</v>
      </c>
    </row>
    <row r="342" spans="1:15">
      <c r="A342">
        <v>2</v>
      </c>
      <c r="B342" s="4">
        <f>Thiet_ke!$B$21</f>
        <v>4.30351707065885</v>
      </c>
      <c r="C342" s="4">
        <f>Dau_vao!$B$21+(Dau_vao!$B$19-Dau_vao!$B$21)*139/200</f>
        <v>2051.0</v>
      </c>
      <c r="D342" s="4">
        <f>2*PI()*C342*Thiet_ke!$B$7/(60*Thiet_ke!$B$15*B342)</f>
        <v>5.374615217813138</v>
      </c>
      <c r="E342" s="4">
        <f>D342*3.6</f>
        <v>19.348614784127296</v>
      </c>
      <c r="F342" s="4">
        <f>Thiet_ke!$B$12*(Dau_vao!$B$22*(C342/Dau_vao!$B$19)+Dau_vao!$B$23*(C342/Dau_vao!$B$19)^2-Dau_vao!$B$24*(C342/Dau_vao!$B$19)^3)</f>
        <v>97.93413217259396</v>
      </c>
      <c r="G342" s="4">
        <f>60000*F342/(2*PI()*C342)</f>
        <v>455.9737074407611</v>
      </c>
      <c r="H342" s="4">
        <f>G342*Thiet_ke!$B$15*B342*Dau_vao!$B$10/Thiet_ke!$B$7</f>
        <v>16217.231206566907</v>
      </c>
      <c r="I342" s="4">
        <f>IF(D342&lt;=Dau_vao!$B$14,Dau_vao!$B$13,Dau_vao!$B$13*(1+D342^2/1500))</f>
        <v>0.015</v>
      </c>
      <c r="J342" s="4">
        <f>Thiet_ke!$B$8*D342^2</f>
        <v>84.49297956317955</v>
      </c>
      <c r="K342" s="4">
        <f>Thiet_ke!$B$3*I342+J342</f>
        <v>1216.0764795631796</v>
      </c>
      <c r="L342" s="4">
        <f>(H342-J342)/Thiet_ke!$B$3</f>
        <v>0.21385171611733106</v>
      </c>
      <c r="M342" s="4">
        <f>1.05+0.05*B342^2</f>
        <v>1.9760129588726065</v>
      </c>
      <c r="N342" s="4">
        <f>(MIN(H342,Thiet_ke!$B$16)-K342)/(Thiet_ke!$B$2*M342)</f>
        <v>0.9872077641757924</v>
      </c>
      <c r="O342" s="4">
        <f>IF(N342&gt;0,1/N342,"")</f>
        <v>1.0129579975851262</v>
      </c>
    </row>
    <row r="343" spans="1:15">
      <c r="A343">
        <v>2</v>
      </c>
      <c r="B343" s="4">
        <f>Thiet_ke!$B$21</f>
        <v>4.30351707065885</v>
      </c>
      <c r="C343" s="4">
        <f>Dau_vao!$B$21+(Dau_vao!$B$19-Dau_vao!$B$21)*140/200</f>
        <v>2060.0</v>
      </c>
      <c r="D343" s="4">
        <f>2*PI()*C343*Thiet_ke!$B$7/(60*Thiet_ke!$B$15*B343)</f>
        <v>5.398199584931771</v>
      </c>
      <c r="E343" s="4">
        <f>D343*3.6</f>
        <v>19.43351850575438</v>
      </c>
      <c r="F343" s="4">
        <f>Thiet_ke!$B$12*(Dau_vao!$B$22*(C343/Dau_vao!$B$19)+Dau_vao!$B$23*(C343/Dau_vao!$B$19)^2-Dau_vao!$B$24*(C343/Dau_vao!$B$19)^3)</f>
        <v>98.33783359541148</v>
      </c>
      <c r="G343" s="4">
        <f>60000*F343/(2*PI()*C343)</f>
        <v>455.8529798929511</v>
      </c>
      <c r="H343" s="4">
        <f>G343*Thiet_ke!$B$15*B343*Dau_vao!$B$10/Thiet_ke!$B$7</f>
        <v>16212.937391980922</v>
      </c>
      <c r="I343" s="4">
        <f>IF(D343&lt;=Dau_vao!$B$14,Dau_vao!$B$13,Dau_vao!$B$13*(1+D343^2/1500))</f>
        <v>0.015</v>
      </c>
      <c r="J343" s="4">
        <f>Thiet_ke!$B$8*D343^2</f>
        <v>85.23613436936584</v>
      </c>
      <c r="K343" s="4">
        <f>Thiet_ke!$B$3*I343+J343</f>
        <v>1216.819634369366</v>
      </c>
      <c r="L343" s="4">
        <f>(H343-J343)/Thiet_ke!$B$3</f>
        <v>0.21378494725680722</v>
      </c>
      <c r="M343" s="4">
        <f>1.05+0.05*B343^2</f>
        <v>1.9760129588726065</v>
      </c>
      <c r="N343" s="4">
        <f>(MIN(H343,Thiet_ke!$B$16)-K343)/(Thiet_ke!$B$2*M343)</f>
        <v>0.9868762873406848</v>
      </c>
      <c r="O343" s="4">
        <f>IF(N343&gt;0,1/N343,"")</f>
        <v>1.01329823487266</v>
      </c>
    </row>
    <row r="344" spans="1:15">
      <c r="A344">
        <v>2</v>
      </c>
      <c r="B344" s="4">
        <f>Thiet_ke!$B$21</f>
        <v>4.30351707065885</v>
      </c>
      <c r="C344" s="4">
        <f>Dau_vao!$B$21+(Dau_vao!$B$19-Dau_vao!$B$21)*141/200</f>
        <v>2069.0</v>
      </c>
      <c r="D344" s="4">
        <f>2*PI()*C344*Thiet_ke!$B$7/(60*Thiet_ke!$B$15*B344)</f>
        <v>5.421783952050404</v>
      </c>
      <c r="E344" s="4">
        <f>D344*3.6</f>
        <v>19.518422227381457</v>
      </c>
      <c r="F344" s="4">
        <f>Thiet_ke!$B$12*(Dau_vao!$B$22*(C344/Dau_vao!$B$19)+Dau_vao!$B$23*(C344/Dau_vao!$B$19)^2-Dau_vao!$B$24*(C344/Dau_vao!$B$19)^3)</f>
        <v>98.7390760104976</v>
      </c>
      <c r="G344" s="4">
        <f>60000*F344/(2*PI()*C344)</f>
        <v>455.7219533126266</v>
      </c>
      <c r="H344" s="4">
        <f>G344*Thiet_ke!$B$15*B344*Dau_vao!$B$10/Thiet_ke!$B$7</f>
        <v>16208.277280416034</v>
      </c>
      <c r="I344" s="4">
        <f>IF(D344&lt;=Dau_vao!$B$14,Dau_vao!$B$13,Dau_vao!$B$13*(1+D344^2/1500))</f>
        <v>0.015</v>
      </c>
      <c r="J344" s="4">
        <f>Thiet_ke!$B$8*D344^2</f>
        <v>85.98254307643056</v>
      </c>
      <c r="K344" s="4">
        <f>Thiet_ke!$B$3*I344+J344</f>
        <v>1217.5660430764308</v>
      </c>
      <c r="L344" s="4">
        <f>(H344-J344)/Thiet_ke!$B$3</f>
        <v>0.2137132797182833</v>
      </c>
      <c r="M344" s="4">
        <f>1.05+0.05*B344^2</f>
        <v>1.9760129588726065</v>
      </c>
      <c r="N344" s="4">
        <f>(MIN(H344,Thiet_ke!$B$16)-K344)/(Thiet_ke!$B$2*M344)</f>
        <v>0.9865204908112324</v>
      </c>
      <c r="O344" s="4">
        <f>IF(N344&gt;0,1/N344,"")</f>
        <v>1.013663689010335</v>
      </c>
    </row>
    <row r="345" spans="1:15">
      <c r="A345">
        <v>2</v>
      </c>
      <c r="B345" s="4">
        <f>Thiet_ke!$B$21</f>
        <v>4.30351707065885</v>
      </c>
      <c r="C345" s="4">
        <f>Dau_vao!$B$21+(Dau_vao!$B$19-Dau_vao!$B$21)*142/200</f>
        <v>2078.0</v>
      </c>
      <c r="D345" s="4">
        <f>2*PI()*C345*Thiet_ke!$B$7/(60*Thiet_ke!$B$15*B345)</f>
        <v>5.445368319169039</v>
      </c>
      <c r="E345" s="4">
        <f>D345*3.6</f>
        <v>19.60332594900854</v>
      </c>
      <c r="F345" s="4">
        <f>Thiet_ke!$B$12*(Dau_vao!$B$22*(C345/Dau_vao!$B$19)+Dau_vao!$B$23*(C345/Dau_vao!$B$19)^2-Dau_vao!$B$24*(C345/Dau_vao!$B$19)^3)</f>
        <v>99.13783029802386</v>
      </c>
      <c r="G345" s="4">
        <f>60000*F345/(2*PI()*C345)</f>
        <v>455.58062769978727</v>
      </c>
      <c r="H345" s="4">
        <f>G345*Thiet_ke!$B$15*B345*Dau_vao!$B$10/Thiet_ke!$B$7</f>
        <v>16203.250871872247</v>
      </c>
      <c r="I345" s="4">
        <f>IF(D345&lt;=Dau_vao!$B$14,Dau_vao!$B$13,Dau_vao!$B$13*(1+D345^2/1500))</f>
        <v>0.015</v>
      </c>
      <c r="J345" s="4">
        <f>Thiet_ke!$B$8*D345^2</f>
        <v>86.7322056843738</v>
      </c>
      <c r="K345" s="4">
        <f>Thiet_ke!$B$3*I345+J345</f>
        <v>1218.315705684374</v>
      </c>
      <c r="L345" s="4">
        <f>(H345-J345)/Thiet_ke!$B$3</f>
        <v>0.21363671350175933</v>
      </c>
      <c r="M345" s="4">
        <f>1.05+0.05*B345^2</f>
        <v>1.9760129588726065</v>
      </c>
      <c r="N345" s="4">
        <f>(MIN(H345,Thiet_ke!$B$16)-K345)/(Thiet_ke!$B$2*M345)</f>
        <v>0.9861403745874356</v>
      </c>
      <c r="O345" s="4">
        <f>IF(N345&gt;0,1/N345,"")</f>
        <v>1.0140544143305792</v>
      </c>
    </row>
    <row r="346" spans="1:15">
      <c r="A346">
        <v>2</v>
      </c>
      <c r="B346" s="4">
        <f>Thiet_ke!$B$21</f>
        <v>4.30351707065885</v>
      </c>
      <c r="C346" s="4">
        <f>Dau_vao!$B$21+(Dau_vao!$B$19-Dau_vao!$B$21)*143/200</f>
        <v>2087.0</v>
      </c>
      <c r="D346" s="4">
        <f>2*PI()*C346*Thiet_ke!$B$7/(60*Thiet_ke!$B$15*B346)</f>
        <v>5.468952686287674</v>
      </c>
      <c r="E346" s="4">
        <f>D346*3.6</f>
        <v>19.688229670635625</v>
      </c>
      <c r="F346" s="4">
        <f>Thiet_ke!$B$12*(Dau_vao!$B$22*(C346/Dau_vao!$B$19)+Dau_vao!$B$23*(C346/Dau_vao!$B$19)^2-Dau_vao!$B$24*(C346/Dau_vao!$B$19)^3)</f>
        <v>99.53406733816198</v>
      </c>
      <c r="G346" s="4">
        <f>60000*F346/(2*PI()*C346)</f>
        <v>455.42900305443357</v>
      </c>
      <c r="H346" s="4">
        <f>G346*Thiet_ke!$B$15*B346*Dau_vao!$B$10/Thiet_ke!$B$7</f>
        <v>16197.85816634956</v>
      </c>
      <c r="I346" s="4">
        <f>IF(D346&lt;=Dau_vao!$B$14,Dau_vao!$B$13,Dau_vao!$B$13*(1+D346^2/1500))</f>
        <v>0.015</v>
      </c>
      <c r="J346" s="4">
        <f>Thiet_ke!$B$8*D346^2</f>
        <v>87.4851221931955</v>
      </c>
      <c r="K346" s="4">
        <f>Thiet_ke!$B$3*I346+J346</f>
        <v>1219.0686221931958</v>
      </c>
      <c r="L346" s="4">
        <f>(H346-J346)/Thiet_ke!$B$3</f>
        <v>0.21355524860723532</v>
      </c>
      <c r="M346" s="4">
        <f>1.05+0.05*B346^2</f>
        <v>1.9760129588726065</v>
      </c>
      <c r="N346" s="4">
        <f>(MIN(H346,Thiet_ke!$B$16)-K346)/(Thiet_ke!$B$2*M346)</f>
        <v>0.9857359386692943</v>
      </c>
      <c r="O346" s="4">
        <f>IF(N346&gt;0,1/N346,"")</f>
        <v>1.014470468987832</v>
      </c>
    </row>
    <row r="347" spans="1:15">
      <c r="A347">
        <v>2</v>
      </c>
      <c r="B347" s="4">
        <f>Thiet_ke!$B$21</f>
        <v>4.30351707065885</v>
      </c>
      <c r="C347" s="4">
        <f>Dau_vao!$B$21+(Dau_vao!$B$19-Dau_vao!$B$21)*144/200</f>
        <v>2096.0</v>
      </c>
      <c r="D347" s="4">
        <f>2*PI()*C347*Thiet_ke!$B$7/(60*Thiet_ke!$B$15*B347)</f>
        <v>5.492537053406307</v>
      </c>
      <c r="E347" s="4">
        <f>D347*3.6</f>
        <v>19.773133392262707</v>
      </c>
      <c r="F347" s="4">
        <f>Thiet_ke!$B$12*(Dau_vao!$B$22*(C347/Dau_vao!$B$19)+Dau_vao!$B$23*(C347/Dau_vao!$B$19)^2-Dau_vao!$B$24*(C347/Dau_vao!$B$19)^3)</f>
        <v>99.92775801108345</v>
      </c>
      <c r="G347" s="4">
        <f>60000*F347/(2*PI()*C347)</f>
        <v>455.26707937656516</v>
      </c>
      <c r="H347" s="4">
        <f>G347*Thiet_ke!$B$15*B347*Dau_vao!$B$10/Thiet_ke!$B$7</f>
        <v>16192.099163847979</v>
      </c>
      <c r="I347" s="4">
        <f>IF(D347&lt;=Dau_vao!$B$14,Dau_vao!$B$13,Dau_vao!$B$13*(1+D347^2/1500))</f>
        <v>0.015</v>
      </c>
      <c r="J347" s="4">
        <f>Thiet_ke!$B$8*D347^2</f>
        <v>88.24129260289564</v>
      </c>
      <c r="K347" s="4">
        <f>Thiet_ke!$B$3*I347+J347</f>
        <v>1219.8247926028957</v>
      </c>
      <c r="L347" s="4">
        <f>(H347-J347)/Thiet_ke!$B$3</f>
        <v>0.2134688850347113</v>
      </c>
      <c r="M347" s="4">
        <f>1.05+0.05*B347^2</f>
        <v>1.9760129588726065</v>
      </c>
      <c r="N347" s="4">
        <f>(MIN(H347,Thiet_ke!$B$16)-K347)/(Thiet_ke!$B$2*M347)</f>
        <v>0.9853071830568089</v>
      </c>
      <c r="O347" s="4">
        <f>IF(N347&gt;0,1/N347,"")</f>
        <v>1.0149119149802686</v>
      </c>
    </row>
    <row r="348" spans="1:15">
      <c r="A348">
        <v>2</v>
      </c>
      <c r="B348" s="4">
        <f>Thiet_ke!$B$21</f>
        <v>4.30351707065885</v>
      </c>
      <c r="C348" s="4">
        <f>Dau_vao!$B$21+(Dau_vao!$B$19-Dau_vao!$B$21)*145/200</f>
        <v>2105.0</v>
      </c>
      <c r="D348" s="4">
        <f>2*PI()*C348*Thiet_ke!$B$7/(60*Thiet_ke!$B$15*B348)</f>
        <v>5.516121420524941</v>
      </c>
      <c r="E348" s="4">
        <f>D348*3.6</f>
        <v>19.85803711388979</v>
      </c>
      <c r="F348" s="4">
        <f>Thiet_ke!$B$12*(Dau_vao!$B$22*(C348/Dau_vao!$B$19)+Dau_vao!$B$23*(C348/Dau_vao!$B$19)^2-Dau_vao!$B$24*(C348/Dau_vao!$B$19)^3)</f>
        <v>100.31887319695994</v>
      </c>
      <c r="G348" s="4">
        <f>60000*F348/(2*PI()*C348)</f>
        <v>455.0948566661822</v>
      </c>
      <c r="H348" s="4">
        <f>G348*Thiet_ke!$B$15*B348*Dau_vao!$B$10/Thiet_ke!$B$7</f>
        <v>16185.973864367483</v>
      </c>
      <c r="I348" s="4">
        <f>IF(D348&lt;=Dau_vao!$B$14,Dau_vao!$B$13,Dau_vao!$B$13*(1+D348^2/1500))</f>
        <v>0.015</v>
      </c>
      <c r="J348" s="4">
        <f>Thiet_ke!$B$8*D348^2</f>
        <v>89.00071691347424</v>
      </c>
      <c r="K348" s="4">
        <f>Thiet_ke!$B$3*I348+J348</f>
        <v>1220.5842169134744</v>
      </c>
      <c r="L348" s="4">
        <f>(H348-J348)/Thiet_ke!$B$3</f>
        <v>0.213377622784187</v>
      </c>
      <c r="M348" s="4">
        <f>1.05+0.05*B348^2</f>
        <v>1.9760129588726065</v>
      </c>
      <c r="N348" s="4">
        <f>(MIN(H348,Thiet_ke!$B$16)-K348)/(Thiet_ke!$B$2*M348)</f>
        <v>0.9848541077499781</v>
      </c>
      <c r="O348" s="4">
        <f>IF(N348&gt;0,1/N348,"")</f>
        <v>1.015378818173003</v>
      </c>
    </row>
    <row r="349" spans="1:15">
      <c r="A349">
        <v>2</v>
      </c>
      <c r="B349" s="4">
        <f>Thiet_ke!$B$21</f>
        <v>4.30351707065885</v>
      </c>
      <c r="C349" s="4">
        <f>Dau_vao!$B$21+(Dau_vao!$B$19-Dau_vao!$B$21)*146/200</f>
        <v>2114.0</v>
      </c>
      <c r="D349" s="4">
        <f>2*PI()*C349*Thiet_ke!$B$7/(60*Thiet_ke!$B$15*B349)</f>
        <v>5.539705787643575</v>
      </c>
      <c r="E349" s="4">
        <f>D349*3.6</f>
        <v>19.942940835516872</v>
      </c>
      <c r="F349" s="4">
        <f>Thiet_ke!$B$12*(Dau_vao!$B$22*(C349/Dau_vao!$B$19)+Dau_vao!$B$23*(C349/Dau_vao!$B$19)^2-Dau_vao!$B$24*(C349/Dau_vao!$B$19)^3)</f>
        <v>100.70738377596304</v>
      </c>
      <c r="G349" s="4">
        <f>60000*F349/(2*PI()*C349)</f>
        <v>454.9123349232846</v>
      </c>
      <c r="H349" s="4">
        <f>G349*Thiet_ke!$B$15*B349*Dau_vao!$B$10/Thiet_ke!$B$7</f>
        <v>16179.4822679081</v>
      </c>
      <c r="I349" s="4">
        <f>IF(D349&lt;=Dau_vao!$B$14,Dau_vao!$B$13,Dau_vao!$B$13*(1+D349^2/1500))</f>
        <v>0.015</v>
      </c>
      <c r="J349" s="4">
        <f>Thiet_ke!$B$8*D349^2</f>
        <v>89.7633951249313</v>
      </c>
      <c r="K349" s="4">
        <f>Thiet_ke!$B$3*I349+J349</f>
        <v>1221.3468951249315</v>
      </c>
      <c r="L349" s="4">
        <f>(H349-J349)/Thiet_ke!$B$3</f>
        <v>0.21328146185566288</v>
      </c>
      <c r="M349" s="4">
        <f>1.05+0.05*B349^2</f>
        <v>1.9760129588726065</v>
      </c>
      <c r="N349" s="4">
        <f>(MIN(H349,Thiet_ke!$B$16)-K349)/(Thiet_ke!$B$2*M349)</f>
        <v>0.9843767127488037</v>
      </c>
      <c r="O349" s="4">
        <f>IF(N349&gt;0,1/N349,"")</f>
        <v>1.015871248322778</v>
      </c>
    </row>
    <row r="350" spans="1:15">
      <c r="A350">
        <v>2</v>
      </c>
      <c r="B350" s="4">
        <f>Thiet_ke!$B$21</f>
        <v>4.30351707065885</v>
      </c>
      <c r="C350" s="4">
        <f>Dau_vao!$B$21+(Dau_vao!$B$19-Dau_vao!$B$21)*147/200</f>
        <v>2123.0</v>
      </c>
      <c r="D350" s="4">
        <f>2*PI()*C350*Thiet_ke!$B$7/(60*Thiet_ke!$B$15*B350)</f>
        <v>5.56329015476221</v>
      </c>
      <c r="E350" s="4">
        <f>D350*3.6</f>
        <v>20.027844557143954</v>
      </c>
      <c r="F350" s="4">
        <f>Thiet_ke!$B$12*(Dau_vao!$B$22*(C350/Dau_vao!$B$19)+Dau_vao!$B$23*(C350/Dau_vao!$B$19)^2-Dau_vao!$B$24*(C350/Dau_vao!$B$19)^3)</f>
        <v>101.09326062826435</v>
      </c>
      <c r="G350" s="4">
        <f>60000*F350/(2*PI()*C350)</f>
        <v>454.71951414787253</v>
      </c>
      <c r="H350" s="4">
        <f>G350*Thiet_ke!$B$15*B350*Dau_vao!$B$10/Thiet_ke!$B$7</f>
        <v>16172.624374469815</v>
      </c>
      <c r="I350" s="4">
        <f>IF(D350&lt;=Dau_vao!$B$14,Dau_vao!$B$13,Dau_vao!$B$13*(1+D350^2/1500))</f>
        <v>0.015</v>
      </c>
      <c r="J350" s="4">
        <f>Thiet_ke!$B$8*D350^2</f>
        <v>90.52932723726684</v>
      </c>
      <c r="K350" s="4">
        <f>Thiet_ke!$B$3*I350+J350</f>
        <v>1222.112827237267</v>
      </c>
      <c r="L350" s="4">
        <f>(H350-J350)/Thiet_ke!$B$3</f>
        <v>0.21318040224913865</v>
      </c>
      <c r="M350" s="4">
        <f>1.05+0.05*B350^2</f>
        <v>1.9760129588726065</v>
      </c>
      <c r="N350" s="4">
        <f>(MIN(H350,Thiet_ke!$B$16)-K350)/(Thiet_ke!$B$2*M350)</f>
        <v>0.9838749980532845</v>
      </c>
      <c r="O350" s="4">
        <f>IF(N350&gt;0,1/N350,"")</f>
        <v>1.0163892791041755</v>
      </c>
    </row>
    <row r="351" spans="1:15">
      <c r="A351">
        <v>2</v>
      </c>
      <c r="B351" s="4">
        <f>Thiet_ke!$B$21</f>
        <v>4.30351707065885</v>
      </c>
      <c r="C351" s="4">
        <f>Dau_vao!$B$21+(Dau_vao!$B$19-Dau_vao!$B$21)*148/200</f>
        <v>2132.0</v>
      </c>
      <c r="D351" s="4">
        <f>2*PI()*C351*Thiet_ke!$B$7/(60*Thiet_ke!$B$15*B351)</f>
        <v>5.586874521880842</v>
      </c>
      <c r="E351" s="4">
        <f>D351*3.6</f>
        <v>20.112748278771033</v>
      </c>
      <c r="F351" s="4">
        <f>Thiet_ke!$B$12*(Dau_vao!$B$22*(C351/Dau_vao!$B$19)+Dau_vao!$B$23*(C351/Dau_vao!$B$19)^2-Dau_vao!$B$24*(C351/Dau_vao!$B$19)^3)</f>
        <v>101.47647463403544</v>
      </c>
      <c r="G351" s="4">
        <f>60000*F351/(2*PI()*C351)</f>
        <v>454.51639433994575</v>
      </c>
      <c r="H351" s="4">
        <f>G351*Thiet_ke!$B$15*B351*Dau_vao!$B$10/Thiet_ke!$B$7</f>
        <v>16165.400184052629</v>
      </c>
      <c r="I351" s="4">
        <f>IF(D351&lt;=Dau_vao!$B$14,Dau_vao!$B$13,Dau_vao!$B$13*(1+D351^2/1500))</f>
        <v>0.015</v>
      </c>
      <c r="J351" s="4">
        <f>Thiet_ke!$B$8*D351^2</f>
        <v>91.2985132504808</v>
      </c>
      <c r="K351" s="4">
        <f>Thiet_ke!$B$3*I351+J351</f>
        <v>1222.882013250481</v>
      </c>
      <c r="L351" s="4">
        <f>(H351-J351)/Thiet_ke!$B$3</f>
        <v>0.21307444396461436</v>
      </c>
      <c r="M351" s="4">
        <f>1.05+0.05*B351^2</f>
        <v>1.9760129588726065</v>
      </c>
      <c r="N351" s="4">
        <f>(MIN(H351,Thiet_ke!$B$16)-K351)/(Thiet_ke!$B$2*M351)</f>
        <v>0.9833489636634207</v>
      </c>
      <c r="O351" s="4">
        <f>IF(N351&gt;0,1/N351,"")</f>
        <v>1.016932988137341</v>
      </c>
    </row>
    <row r="352" spans="1:15">
      <c r="A352">
        <v>2</v>
      </c>
      <c r="B352" s="4">
        <f>Thiet_ke!$B$21</f>
        <v>4.30351707065885</v>
      </c>
      <c r="C352" s="4">
        <f>Dau_vao!$B$21+(Dau_vao!$B$19-Dau_vao!$B$21)*149/200</f>
        <v>2141.0</v>
      </c>
      <c r="D352" s="4">
        <f>2*PI()*C352*Thiet_ke!$B$7/(60*Thiet_ke!$B$15*B352)</f>
        <v>5.610458888999477</v>
      </c>
      <c r="E352" s="4">
        <f>D352*3.6</f>
        <v>20.19765200039812</v>
      </c>
      <c r="F352" s="4">
        <f>Thiet_ke!$B$12*(Dau_vao!$B$22*(C352/Dau_vao!$B$19)+Dau_vao!$B$23*(C352/Dau_vao!$B$19)^2-Dau_vao!$B$24*(C352/Dau_vao!$B$19)^3)</f>
        <v>101.85699667344795</v>
      </c>
      <c r="G352" s="4">
        <f>60000*F352/(2*PI()*C352)</f>
        <v>454.30297549950444</v>
      </c>
      <c r="H352" s="4">
        <f>G352*Thiet_ke!$B$15*B352*Dau_vao!$B$10/Thiet_ke!$B$7</f>
        <v>16157.809696656543</v>
      </c>
      <c r="I352" s="4">
        <f>IF(D352&lt;=Dau_vao!$B$14,Dau_vao!$B$13,Dau_vao!$B$13*(1+D352^2/1500))</f>
        <v>0.015</v>
      </c>
      <c r="J352" s="4">
        <f>Thiet_ke!$B$8*D352^2</f>
        <v>92.07095316457325</v>
      </c>
      <c r="K352" s="4">
        <f>Thiet_ke!$B$3*I352+J352</f>
        <v>1223.6544531645734</v>
      </c>
      <c r="L352" s="4">
        <f>(H352-J352)/Thiet_ke!$B$3</f>
        <v>0.21296358700209</v>
      </c>
      <c r="M352" s="4">
        <f>1.05+0.05*B352^2</f>
        <v>1.9760129588726065</v>
      </c>
      <c r="N352" s="4">
        <f>(MIN(H352,Thiet_ke!$B$16)-K352)/(Thiet_ke!$B$2*M352)</f>
        <v>0.9827986095792124</v>
      </c>
      <c r="O352" s="4">
        <f>IF(N352&gt;0,1/N352,"")</f>
        <v>1.0175024570172646</v>
      </c>
    </row>
    <row r="353" spans="1:15">
      <c r="A353">
        <v>2</v>
      </c>
      <c r="B353" s="4">
        <f>Thiet_ke!$B$21</f>
        <v>4.30351707065885</v>
      </c>
      <c r="C353" s="4">
        <f>Dau_vao!$B$21+(Dau_vao!$B$19-Dau_vao!$B$21)*150/200</f>
        <v>2150.0</v>
      </c>
      <c r="D353" s="4">
        <f>2*PI()*C353*Thiet_ke!$B$7/(60*Thiet_ke!$B$15*B353)</f>
        <v>5.634043256118112</v>
      </c>
      <c r="E353" s="4">
        <f>D353*3.6</f>
        <v>20.282555722025204</v>
      </c>
      <c r="F353" s="4">
        <f>Thiet_ke!$B$12*(Dau_vao!$B$22*(C353/Dau_vao!$B$19)+Dau_vao!$B$23*(C353/Dau_vao!$B$19)^2-Dau_vao!$B$24*(C353/Dau_vao!$B$19)^3)</f>
        <v>102.23479762667348</v>
      </c>
      <c r="G353" s="4">
        <f>60000*F353/(2*PI()*C353)</f>
        <v>454.0792576265485</v>
      </c>
      <c r="H353" s="4">
        <f>G353*Thiet_ke!$B$15*B353*Dau_vao!$B$10/Thiet_ke!$B$7</f>
        <v>16149.852912281567</v>
      </c>
      <c r="I353" s="4">
        <f>IF(D353&lt;=Dau_vao!$B$14,Dau_vao!$B$13,Dau_vao!$B$13*(1+D353^2/1500))</f>
        <v>0.015</v>
      </c>
      <c r="J353" s="4">
        <f>Thiet_ke!$B$8*D353^2</f>
        <v>92.84664697954419</v>
      </c>
      <c r="K353" s="4">
        <f>Thiet_ke!$B$3*I353+J353</f>
        <v>1224.4301469795444</v>
      </c>
      <c r="L353" s="4">
        <f>(H353-J353)/Thiet_ke!$B$3</f>
        <v>0.21284783136156574</v>
      </c>
      <c r="M353" s="4">
        <f>1.05+0.05*B353^2</f>
        <v>1.9760129588726065</v>
      </c>
      <c r="N353" s="4">
        <f>(MIN(H353,Thiet_ke!$B$16)-K353)/(Thiet_ke!$B$2*M353)</f>
        <v>0.9822239358006604</v>
      </c>
      <c r="O353" s="4">
        <f>IF(N353&gt;0,1/N353,"")</f>
        <v>1.0180977713446266</v>
      </c>
    </row>
    <row r="354" spans="1:15">
      <c r="A354">
        <v>2</v>
      </c>
      <c r="B354" s="4">
        <f>Thiet_ke!$B$21</f>
        <v>4.30351707065885</v>
      </c>
      <c r="C354" s="4">
        <f>Dau_vao!$B$21+(Dau_vao!$B$19-Dau_vao!$B$21)*151/200</f>
        <v>2159.0</v>
      </c>
      <c r="D354" s="4">
        <f>2*PI()*C354*Thiet_ke!$B$7/(60*Thiet_ke!$B$15*B354)</f>
        <v>5.657627623236745</v>
      </c>
      <c r="E354" s="4">
        <f>D354*3.6</f>
        <v>20.36745944365228</v>
      </c>
      <c r="F354" s="4">
        <f>Thiet_ke!$B$12*(Dau_vao!$B$22*(C354/Dau_vao!$B$19)+Dau_vao!$B$23*(C354/Dau_vao!$B$19)^2-Dau_vao!$B$24*(C354/Dau_vao!$B$19)^3)</f>
        <v>102.60984837388361</v>
      </c>
      <c r="G354" s="4">
        <f>60000*F354/(2*PI()*C354)</f>
        <v>453.84524072107797</v>
      </c>
      <c r="H354" s="4">
        <f>G354*Thiet_ke!$B$15*B354*Dau_vao!$B$10/Thiet_ke!$B$7</f>
        <v>16141.52983092768</v>
      </c>
      <c r="I354" s="4">
        <f>IF(D354&lt;=Dau_vao!$B$14,Dau_vao!$B$13,Dau_vao!$B$13*(1+D354^2/1500))</f>
        <v>0.015</v>
      </c>
      <c r="J354" s="4">
        <f>Thiet_ke!$B$8*D354^2</f>
        <v>93.62559469539353</v>
      </c>
      <c r="K354" s="4">
        <f>Thiet_ke!$B$3*I354+J354</f>
        <v>1225.2090946953938</v>
      </c>
      <c r="L354" s="4">
        <f>(H354-J354)/Thiet_ke!$B$3</f>
        <v>0.21272717704304125</v>
      </c>
      <c r="M354" s="4">
        <f>1.05+0.05*B354^2</f>
        <v>1.9760129588726065</v>
      </c>
      <c r="N354" s="4">
        <f>(MIN(H354,Thiet_ke!$B$16)-K354)/(Thiet_ke!$B$2*M354)</f>
        <v>0.9816249423277631</v>
      </c>
      <c r="O354" s="4">
        <f>IF(N354&gt;0,1/N354,"")</f>
        <v>1.0187190207582373</v>
      </c>
    </row>
    <row r="355" spans="1:15">
      <c r="A355">
        <v>2</v>
      </c>
      <c r="B355" s="4">
        <f>Thiet_ke!$B$21</f>
        <v>4.30351707065885</v>
      </c>
      <c r="C355" s="4">
        <f>Dau_vao!$B$21+(Dau_vao!$B$19-Dau_vao!$B$21)*152/200</f>
        <v>2168.0</v>
      </c>
      <c r="D355" s="4">
        <f>2*PI()*C355*Thiet_ke!$B$7/(60*Thiet_ke!$B$15*B355)</f>
        <v>5.681211990355379</v>
      </c>
      <c r="E355" s="4">
        <f>D355*3.6</f>
        <v>20.452363165279365</v>
      </c>
      <c r="F355" s="4">
        <f>Thiet_ke!$B$12*(Dau_vao!$B$22*(C355/Dau_vao!$B$19)+Dau_vao!$B$23*(C355/Dau_vao!$B$19)^2-Dau_vao!$B$24*(C355/Dau_vao!$B$19)^3)</f>
        <v>102.98211979524993</v>
      </c>
      <c r="G355" s="4">
        <f>60000*F355/(2*PI()*C355)</f>
        <v>453.6009247830928</v>
      </c>
      <c r="H355" s="4">
        <f>G355*Thiet_ke!$B$15*B355*Dau_vao!$B$10/Thiet_ke!$B$7</f>
        <v>16132.840452594897</v>
      </c>
      <c r="I355" s="4">
        <f>IF(D355&lt;=Dau_vao!$B$14,Dau_vao!$B$13,Dau_vao!$B$13*(1+D355^2/1500))</f>
        <v>0.015</v>
      </c>
      <c r="J355" s="4">
        <f>Thiet_ke!$B$8*D355^2</f>
        <v>94.40779631212136</v>
      </c>
      <c r="K355" s="4">
        <f>Thiet_ke!$B$3*I355+J355</f>
        <v>1225.9912963121214</v>
      </c>
      <c r="L355" s="4">
        <f>(H355-J355)/Thiet_ke!$B$3</f>
        <v>0.21260162404651678</v>
      </c>
      <c r="M355" s="4">
        <f>1.05+0.05*B355^2</f>
        <v>1.9760129588726065</v>
      </c>
      <c r="N355" s="4">
        <f>(MIN(H355,Thiet_ke!$B$16)-K355)/(Thiet_ke!$B$2*M355)</f>
        <v>0.9810016291605217</v>
      </c>
      <c r="O355" s="4">
        <f>IF(N355&gt;0,1/N355,"")</f>
        <v>1.019366298969081</v>
      </c>
    </row>
    <row r="356" spans="1:15">
      <c r="A356">
        <v>2</v>
      </c>
      <c r="B356" s="4">
        <f>Thiet_ke!$B$21</f>
        <v>4.30351707065885</v>
      </c>
      <c r="C356" s="4">
        <f>Dau_vao!$B$21+(Dau_vao!$B$19-Dau_vao!$B$21)*153/200</f>
        <v>2177.0</v>
      </c>
      <c r="D356" s="4">
        <f>2*PI()*C356*Thiet_ke!$B$7/(60*Thiet_ke!$B$15*B356)</f>
        <v>5.704796357474012</v>
      </c>
      <c r="E356" s="4">
        <f>D356*3.6</f>
        <v>20.537266886906444</v>
      </c>
      <c r="F356" s="4">
        <f>Thiet_ke!$B$12*(Dau_vao!$B$22*(C356/Dau_vao!$B$19)+Dau_vao!$B$23*(C356/Dau_vao!$B$19)^2-Dau_vao!$B$24*(C356/Dau_vao!$B$19)^3)</f>
        <v>103.35158277094412</v>
      </c>
      <c r="G356" s="4">
        <f>60000*F356/(2*PI()*C356)</f>
        <v>453.3463098125932</v>
      </c>
      <c r="H356" s="4">
        <f>G356*Thiet_ke!$B$15*B356*Dau_vao!$B$10/Thiet_ke!$B$7</f>
        <v>16123.78477728322</v>
      </c>
      <c r="I356" s="4">
        <f>IF(D356&lt;=Dau_vao!$B$14,Dau_vao!$B$13,Dau_vao!$B$13*(1+D356^2/1500))</f>
        <v>0.015</v>
      </c>
      <c r="J356" s="4">
        <f>Thiet_ke!$B$8*D356^2</f>
        <v>95.19325182972761</v>
      </c>
      <c r="K356" s="4">
        <f>Thiet_ke!$B$3*I356+J356</f>
        <v>1226.7767518297278</v>
      </c>
      <c r="L356" s="4">
        <f>(H356-J356)/Thiet_ke!$B$3</f>
        <v>0.2124711723719923</v>
      </c>
      <c r="M356" s="4">
        <f>1.05+0.05*B356^2</f>
        <v>1.9760129588726065</v>
      </c>
      <c r="N356" s="4">
        <f>(MIN(H356,Thiet_ke!$B$16)-K356)/(Thiet_ke!$B$2*M356)</f>
        <v>0.9803539962989359</v>
      </c>
      <c r="O356" s="4">
        <f>IF(N356&gt;0,1/N356,"")</f>
        <v>1.0200397037960087</v>
      </c>
    </row>
    <row r="357" spans="1:15">
      <c r="A357">
        <v>2</v>
      </c>
      <c r="B357" s="4">
        <f>Thiet_ke!$B$21</f>
        <v>4.30351707065885</v>
      </c>
      <c r="C357" s="4">
        <f>Dau_vao!$B$21+(Dau_vao!$B$19-Dau_vao!$B$21)*154/200</f>
        <v>2186.0</v>
      </c>
      <c r="D357" s="4">
        <f>2*PI()*C357*Thiet_ke!$B$7/(60*Thiet_ke!$B$15*B357)</f>
        <v>5.728380724592647</v>
      </c>
      <c r="E357" s="4">
        <f>D357*3.6</f>
        <v>20.62217060853353</v>
      </c>
      <c r="F357" s="4">
        <f>Thiet_ke!$B$12*(Dau_vao!$B$22*(C357/Dau_vao!$B$19)+Dau_vao!$B$23*(C357/Dau_vao!$B$19)^2-Dau_vao!$B$24*(C357/Dau_vao!$B$19)^3)</f>
        <v>103.71820818113765</v>
      </c>
      <c r="G357" s="4">
        <f>60000*F357/(2*PI()*C357)</f>
        <v>453.08139580957874</v>
      </c>
      <c r="H357" s="4">
        <f>G357*Thiet_ke!$B$15*B357*Dau_vao!$B$10/Thiet_ke!$B$7</f>
        <v>16114.362804992637</v>
      </c>
      <c r="I357" s="4">
        <f>IF(D357&lt;=Dau_vao!$B$14,Dau_vao!$B$13,Dau_vao!$B$13*(1+D357^2/1500))</f>
        <v>0.015</v>
      </c>
      <c r="J357" s="4">
        <f>Thiet_ke!$B$8*D357^2</f>
        <v>95.9819612482124</v>
      </c>
      <c r="K357" s="4">
        <f>Thiet_ke!$B$3*I357+J357</f>
        <v>1227.5654612482126</v>
      </c>
      <c r="L357" s="4">
        <f>(H357-J357)/Thiet_ke!$B$3</f>
        <v>0.21233582201946774</v>
      </c>
      <c r="M357" s="4">
        <f>1.05+0.05*B357^2</f>
        <v>1.9760129588726065</v>
      </c>
      <c r="N357" s="4">
        <f>(MIN(H357,Thiet_ke!$B$16)-K357)/(Thiet_ke!$B$2*M357)</f>
        <v>0.9796820437430055</v>
      </c>
      <c r="O357" s="4">
        <f>IF(N357&gt;0,1/N357,"")</f>
        <v>1.020739337203086</v>
      </c>
    </row>
    <row r="358" spans="1:15">
      <c r="A358">
        <v>2</v>
      </c>
      <c r="B358" s="4">
        <f>Thiet_ke!$B$21</f>
        <v>4.30351707065885</v>
      </c>
      <c r="C358" s="4">
        <f>Dau_vao!$B$21+(Dau_vao!$B$19-Dau_vao!$B$21)*155/200</f>
        <v>2195.0</v>
      </c>
      <c r="D358" s="4">
        <f>2*PI()*C358*Thiet_ke!$B$7/(60*Thiet_ke!$B$15*B358)</f>
        <v>5.751965091711281</v>
      </c>
      <c r="E358" s="4">
        <f>D358*3.6</f>
        <v>20.707074330160612</v>
      </c>
      <c r="F358" s="4">
        <f>Thiet_ke!$B$12*(Dau_vao!$B$22*(C358/Dau_vao!$B$19)+Dau_vao!$B$23*(C358/Dau_vao!$B$19)^2-Dau_vao!$B$24*(C358/Dau_vao!$B$19)^3)</f>
        <v>104.08196690600225</v>
      </c>
      <c r="G358" s="4">
        <f>60000*F358/(2*PI()*C358)</f>
        <v>452.80618277404983</v>
      </c>
      <c r="H358" s="4">
        <f>G358*Thiet_ke!$B$15*B358*Dau_vao!$B$10/Thiet_ke!$B$7</f>
        <v>16104.574535723155</v>
      </c>
      <c r="I358" s="4">
        <f>IF(D358&lt;=Dau_vao!$B$14,Dau_vao!$B$13,Dau_vao!$B$13*(1+D358^2/1500))</f>
        <v>0.015</v>
      </c>
      <c r="J358" s="4">
        <f>Thiet_ke!$B$8*D358^2</f>
        <v>96.77392456757559</v>
      </c>
      <c r="K358" s="4">
        <f>Thiet_ke!$B$3*I358+J358</f>
        <v>1228.357424567576</v>
      </c>
      <c r="L358" s="4">
        <f>(H358-J358)/Thiet_ke!$B$3</f>
        <v>0.2121955729889431</v>
      </c>
      <c r="M358" s="4">
        <f>1.05+0.05*B358^2</f>
        <v>1.9760129588726065</v>
      </c>
      <c r="N358" s="4">
        <f>(MIN(H358,Thiet_ke!$B$16)-K358)/(Thiet_ke!$B$2*M358)</f>
        <v>0.9789857714927305</v>
      </c>
      <c r="O358" s="4">
        <f>IF(N358&gt;0,1/N358,"")</f>
        <v>1.021465305338634</v>
      </c>
    </row>
    <row r="359" spans="1:15">
      <c r="A359">
        <v>2</v>
      </c>
      <c r="B359" s="4">
        <f>Thiet_ke!$B$21</f>
        <v>4.30351707065885</v>
      </c>
      <c r="C359" s="4">
        <f>Dau_vao!$B$21+(Dau_vao!$B$19-Dau_vao!$B$21)*156/200</f>
        <v>2204.0</v>
      </c>
      <c r="D359" s="4">
        <f>2*PI()*C359*Thiet_ke!$B$7/(60*Thiet_ke!$B$15*B359)</f>
        <v>5.775549458829914</v>
      </c>
      <c r="E359" s="4">
        <f>D359*3.6</f>
        <v>20.79197805178769</v>
      </c>
      <c r="F359" s="4">
        <f>Thiet_ke!$B$12*(Dau_vao!$B$22*(C359/Dau_vao!$B$19)+Dau_vao!$B$23*(C359/Dau_vao!$B$19)^2-Dau_vao!$B$24*(C359/Dau_vao!$B$19)^3)</f>
        <v>104.44282982570947</v>
      </c>
      <c r="G359" s="4">
        <f>60000*F359/(2*PI()*C359)</f>
        <v>452.52067070600634</v>
      </c>
      <c r="H359" s="4">
        <f>G359*Thiet_ke!$B$15*B359*Dau_vao!$B$10/Thiet_ke!$B$7</f>
        <v>16094.419969474775</v>
      </c>
      <c r="I359" s="4">
        <f>IF(D359&lt;=Dau_vao!$B$14,Dau_vao!$B$13,Dau_vao!$B$13*(1+D359^2/1500))</f>
        <v>0.015</v>
      </c>
      <c r="J359" s="4">
        <f>Thiet_ke!$B$8*D359^2</f>
        <v>97.56914178781727</v>
      </c>
      <c r="K359" s="4">
        <f>Thiet_ke!$B$3*I359+J359</f>
        <v>1229.1526417878174</v>
      </c>
      <c r="L359" s="4">
        <f>(H359-J359)/Thiet_ke!$B$3</f>
        <v>0.2120504252804184</v>
      </c>
      <c r="M359" s="4">
        <f>1.05+0.05*B359^2</f>
        <v>1.9760129588726065</v>
      </c>
      <c r="N359" s="4">
        <f>(MIN(H359,Thiet_ke!$B$16)-K359)/(Thiet_ke!$B$2*M359)</f>
        <v>0.9782651795481111</v>
      </c>
      <c r="O359" s="4">
        <f>IF(N359&gt;0,1/N359,"")</f>
        <v>1.0222177185759886</v>
      </c>
    </row>
    <row r="360" spans="1:15">
      <c r="A360">
        <v>2</v>
      </c>
      <c r="B360" s="4">
        <f>Thiet_ke!$B$21</f>
        <v>4.30351707065885</v>
      </c>
      <c r="C360" s="4">
        <f>Dau_vao!$B$21+(Dau_vao!$B$19-Dau_vao!$B$21)*157/200</f>
        <v>2213.0</v>
      </c>
      <c r="D360" s="4">
        <f>2*PI()*C360*Thiet_ke!$B$7/(60*Thiet_ke!$B$15*B360)</f>
        <v>5.799133825948549</v>
      </c>
      <c r="E360" s="4">
        <f>D360*3.6</f>
        <v>20.876881773414777</v>
      </c>
      <c r="F360" s="4">
        <f>Thiet_ke!$B$12*(Dau_vao!$B$22*(C360/Dau_vao!$B$19)+Dau_vao!$B$23*(C360/Dau_vao!$B$19)^2-Dau_vao!$B$24*(C360/Dau_vao!$B$19)^3)</f>
        <v>104.80076782043088</v>
      </c>
      <c r="G360" s="4">
        <f>60000*F360/(2*PI()*C360)</f>
        <v>452.22485960544816</v>
      </c>
      <c r="H360" s="4">
        <f>G360*Thiet_ke!$B$15*B360*Dau_vao!$B$10/Thiet_ke!$B$7</f>
        <v>16083.899106247492</v>
      </c>
      <c r="I360" s="4">
        <f>IF(D360&lt;=Dau_vao!$B$14,Dau_vao!$B$13,Dau_vao!$B$13*(1+D360^2/1500))</f>
        <v>0.015</v>
      </c>
      <c r="J360" s="4">
        <f>Thiet_ke!$B$8*D360^2</f>
        <v>98.36761290893743</v>
      </c>
      <c r="K360" s="4">
        <f>Thiet_ke!$B$3*I360+J360</f>
        <v>1229.9511129089376</v>
      </c>
      <c r="L360" s="4">
        <f>(H360-J360)/Thiet_ke!$B$3</f>
        <v>0.21190037889389363</v>
      </c>
      <c r="M360" s="4">
        <f>1.05+0.05*B360^2</f>
        <v>1.9760129588726065</v>
      </c>
      <c r="N360" s="4">
        <f>(MIN(H360,Thiet_ke!$B$16)-K360)/(Thiet_ke!$B$2*M360)</f>
        <v>0.9775202679091471</v>
      </c>
      <c r="O360" s="4">
        <f>IF(N360&gt;0,1/N360,"")</f>
        <v>1.0229966915560078</v>
      </c>
    </row>
    <row r="361" spans="1:15">
      <c r="A361">
        <v>2</v>
      </c>
      <c r="B361" s="4">
        <f>Thiet_ke!$B$21</f>
        <v>4.30351707065885</v>
      </c>
      <c r="C361" s="4">
        <f>Dau_vao!$B$21+(Dau_vao!$B$19-Dau_vao!$B$21)*158/200</f>
        <v>2222.0</v>
      </c>
      <c r="D361" s="4">
        <f>2*PI()*C361*Thiet_ke!$B$7/(60*Thiet_ke!$B$15*B361)</f>
        <v>5.822718193067183</v>
      </c>
      <c r="E361" s="4">
        <f>D361*3.6</f>
        <v>20.96178549504186</v>
      </c>
      <c r="F361" s="4">
        <f>Thiet_ke!$B$12*(Dau_vao!$B$22*(C361/Dau_vao!$B$19)+Dau_vao!$B$23*(C361/Dau_vao!$B$19)^2-Dau_vao!$B$24*(C361/Dau_vao!$B$19)^3)</f>
        <v>105.15575177033813</v>
      </c>
      <c r="G361" s="4">
        <f>60000*F361/(2*PI()*C361)</f>
        <v>451.9187494723755</v>
      </c>
      <c r="H361" s="4">
        <f>G361*Thiet_ke!$B$15*B361*Dau_vao!$B$10/Thiet_ke!$B$7</f>
        <v>16073.011946041315</v>
      </c>
      <c r="I361" s="4">
        <f>IF(D361&lt;=Dau_vao!$B$14,Dau_vao!$B$13,Dau_vao!$B$13*(1+D361^2/1500))</f>
        <v>0.015</v>
      </c>
      <c r="J361" s="4">
        <f>Thiet_ke!$B$8*D361^2</f>
        <v>99.16933793093602</v>
      </c>
      <c r="K361" s="4">
        <f>Thiet_ke!$B$3*I361+J361</f>
        <v>1230.7528379309363</v>
      </c>
      <c r="L361" s="4">
        <f>(H361-J361)/Thiet_ke!$B$3</f>
        <v>0.2117454338293689</v>
      </c>
      <c r="M361" s="4">
        <f>1.05+0.05*B361^2</f>
        <v>1.9760129588726065</v>
      </c>
      <c r="N361" s="4">
        <f>(MIN(H361,Thiet_ke!$B$16)-K361)/(Thiet_ke!$B$2*M361)</f>
        <v>0.976751036575839</v>
      </c>
      <c r="O361" s="4">
        <f>IF(N361&gt;0,1/N361,"")</f>
        <v>1.023802343231356</v>
      </c>
    </row>
    <row r="362" spans="1:15">
      <c r="A362">
        <v>2</v>
      </c>
      <c r="B362" s="4">
        <f>Thiet_ke!$B$21</f>
        <v>4.30351707065885</v>
      </c>
      <c r="C362" s="4">
        <f>Dau_vao!$B$21+(Dau_vao!$B$19-Dau_vao!$B$21)*159/200</f>
        <v>2231.0</v>
      </c>
      <c r="D362" s="4">
        <f>2*PI()*C362*Thiet_ke!$B$7/(60*Thiet_ke!$B$15*B362)</f>
        <v>5.846302560185817</v>
      </c>
      <c r="E362" s="4">
        <f>D362*3.6</f>
        <v>21.046689216668945</v>
      </c>
      <c r="F362" s="4">
        <f>Thiet_ke!$B$12*(Dau_vao!$B$22*(C362/Dau_vao!$B$19)+Dau_vao!$B$23*(C362/Dau_vao!$B$19)^2-Dau_vao!$B$24*(C362/Dau_vao!$B$19)^3)</f>
        <v>105.5077525556028</v>
      </c>
      <c r="G362" s="4">
        <f>60000*F362/(2*PI()*C362)</f>
        <v>451.60234030678816</v>
      </c>
      <c r="H362" s="4">
        <f>G362*Thiet_ke!$B$15*B362*Dau_vao!$B$10/Thiet_ke!$B$7</f>
        <v>16061.758488856236</v>
      </c>
      <c r="I362" s="4">
        <f>IF(D362&lt;=Dau_vao!$B$14,Dau_vao!$B$13,Dau_vao!$B$13*(1+D362^2/1500))</f>
        <v>0.015</v>
      </c>
      <c r="J362" s="4">
        <f>Thiet_ke!$B$8*D362^2</f>
        <v>99.9743168538131</v>
      </c>
      <c r="K362" s="4">
        <f>Thiet_ke!$B$3*I362+J362</f>
        <v>1231.5578168538132</v>
      </c>
      <c r="L362" s="4">
        <f>(H362-J362)/Thiet_ke!$B$3</f>
        <v>0.21158559008684408</v>
      </c>
      <c r="M362" s="4">
        <f>1.05+0.05*B362^2</f>
        <v>1.9760129588726065</v>
      </c>
      <c r="N362" s="4">
        <f>(MIN(H362,Thiet_ke!$B$16)-K362)/(Thiet_ke!$B$2*M362)</f>
        <v>0.9759574855481862</v>
      </c>
      <c r="O362" s="4">
        <f>IF(N362&gt;0,1/N362,"")</f>
        <v>1.0246347969126026</v>
      </c>
    </row>
    <row r="363" spans="1:15">
      <c r="A363">
        <v>2</v>
      </c>
      <c r="B363" s="4">
        <f>Thiet_ke!$B$21</f>
        <v>4.30351707065885</v>
      </c>
      <c r="C363" s="4">
        <f>Dau_vao!$B$21+(Dau_vao!$B$19-Dau_vao!$B$21)*160/200</f>
        <v>2240.0</v>
      </c>
      <c r="D363" s="4">
        <f>2*PI()*C363*Thiet_ke!$B$7/(60*Thiet_ke!$B$15*B363)</f>
        <v>5.86988692730445</v>
      </c>
      <c r="E363" s="4">
        <f>D363*3.6</f>
        <v>21.13159293829602</v>
      </c>
      <c r="F363" s="4">
        <f>Thiet_ke!$B$12*(Dau_vao!$B$22*(C363/Dau_vao!$B$19)+Dau_vao!$B$23*(C363/Dau_vao!$B$19)^2-Dau_vao!$B$24*(C363/Dau_vao!$B$19)^3)</f>
        <v>105.85674105639652</v>
      </c>
      <c r="G363" s="4">
        <f>60000*F363/(2*PI()*C363)</f>
        <v>451.2756321086863</v>
      </c>
      <c r="H363" s="4">
        <f>G363*Thiet_ke!$B$15*B363*Dau_vao!$B$10/Thiet_ke!$B$7</f>
        <v>16050.138734692264</v>
      </c>
      <c r="I363" s="4">
        <f>IF(D363&lt;=Dau_vao!$B$14,Dau_vao!$B$13,Dau_vao!$B$13*(1+D363^2/1500))</f>
        <v>0.015</v>
      </c>
      <c r="J363" s="4">
        <f>Thiet_ke!$B$8*D363^2</f>
        <v>100.78254967756858</v>
      </c>
      <c r="K363" s="4">
        <f>Thiet_ke!$B$3*I363+J363</f>
        <v>1232.3660496775688</v>
      </c>
      <c r="L363" s="4">
        <f>(H363-J363)/Thiet_ke!$B$3</f>
        <v>0.21142084766631927</v>
      </c>
      <c r="M363" s="4">
        <f>1.05+0.05*B363^2</f>
        <v>1.9760129588726065</v>
      </c>
      <c r="N363" s="4">
        <f>(MIN(H363,Thiet_ke!$B$16)-K363)/(Thiet_ke!$B$2*M363)</f>
        <v>0.9751396148261894</v>
      </c>
      <c r="O363" s="4">
        <f>IF(N363&gt;0,1/N363,"")</f>
        <v>1.025494180316161</v>
      </c>
    </row>
    <row r="364" spans="1:15">
      <c r="A364">
        <v>2</v>
      </c>
      <c r="B364" s="4">
        <f>Thiet_ke!$B$21</f>
        <v>4.30351707065885</v>
      </c>
      <c r="C364" s="4">
        <f>Dau_vao!$B$21+(Dau_vao!$B$19-Dau_vao!$B$21)*161/200</f>
        <v>2249.0</v>
      </c>
      <c r="D364" s="4">
        <f>2*PI()*C364*Thiet_ke!$B$7/(60*Thiet_ke!$B$15*B364)</f>
        <v>5.893471294423085</v>
      </c>
      <c r="E364" s="4">
        <f>D364*3.6</f>
        <v>21.216496659923106</v>
      </c>
      <c r="F364" s="4">
        <f>Thiet_ke!$B$12*(Dau_vao!$B$22*(C364/Dau_vao!$B$19)+Dau_vao!$B$23*(C364/Dau_vao!$B$19)^2-Dau_vao!$B$24*(C364/Dau_vao!$B$19)^3)</f>
        <v>106.20268815289084</v>
      </c>
      <c r="G364" s="4">
        <f>60000*F364/(2*PI()*C364)</f>
        <v>450.9386248780698</v>
      </c>
      <c r="H364" s="4">
        <f>G364*Thiet_ke!$B$15*B364*Dau_vao!$B$10/Thiet_ke!$B$7</f>
        <v>16038.15268354938</v>
      </c>
      <c r="I364" s="4">
        <f>IF(D364&lt;=Dau_vao!$B$14,Dau_vao!$B$13,Dau_vao!$B$13*(1+D364^2/1500))</f>
        <v>0.015</v>
      </c>
      <c r="J364" s="4">
        <f>Thiet_ke!$B$8*D364^2</f>
        <v>101.59403640220258</v>
      </c>
      <c r="K364" s="4">
        <f>Thiet_ke!$B$3*I364+J364</f>
        <v>1233.1775364022028</v>
      </c>
      <c r="L364" s="4">
        <f>(H364-J364)/Thiet_ke!$B$3</f>
        <v>0.21125120656779428</v>
      </c>
      <c r="M364" s="4">
        <f>1.05+0.05*B364^2</f>
        <v>1.9760129588726065</v>
      </c>
      <c r="N364" s="4">
        <f>(MIN(H364,Thiet_ke!$B$16)-K364)/(Thiet_ke!$B$2*M364)</f>
        <v>0.9742974244098473</v>
      </c>
      <c r="O364" s="4">
        <f>IF(N364&gt;0,1/N364,"")</f>
        <v>1.026380625614115</v>
      </c>
    </row>
    <row r="365" spans="1:15">
      <c r="A365">
        <v>2</v>
      </c>
      <c r="B365" s="4">
        <f>Thiet_ke!$B$21</f>
        <v>4.30351707065885</v>
      </c>
      <c r="C365" s="4">
        <f>Dau_vao!$B$21+(Dau_vao!$B$19-Dau_vao!$B$21)*162/200</f>
        <v>2258.0</v>
      </c>
      <c r="D365" s="4">
        <f>2*PI()*C365*Thiet_ke!$B$7/(60*Thiet_ke!$B$15*B365)</f>
        <v>5.91705566154172</v>
      </c>
      <c r="E365" s="4">
        <f>D365*3.6</f>
        <v>21.30140038155019</v>
      </c>
      <c r="F365" s="4">
        <f>Thiet_ke!$B$12*(Dau_vao!$B$22*(C365/Dau_vao!$B$19)+Dau_vao!$B$23*(C365/Dau_vao!$B$19)^2-Dau_vao!$B$24*(C365/Dau_vao!$B$19)^3)</f>
        <v>106.54556472525739</v>
      </c>
      <c r="G365" s="4">
        <f>60000*F365/(2*PI()*C365)</f>
        <v>450.59131861493864</v>
      </c>
      <c r="H365" s="4">
        <f>G365*Thiet_ke!$B$15*B365*Dau_vao!$B$10/Thiet_ke!$B$7</f>
        <v>16025.8003354276</v>
      </c>
      <c r="I365" s="4">
        <f>IF(D365&lt;=Dau_vao!$B$14,Dau_vao!$B$13,Dau_vao!$B$13*(1+D365^2/1500))</f>
        <v>0.015</v>
      </c>
      <c r="J365" s="4">
        <f>Thiet_ke!$B$8*D365^2</f>
        <v>102.40877702771505</v>
      </c>
      <c r="K365" s="4">
        <f>Thiet_ke!$B$3*I365+J365</f>
        <v>1233.9922770277153</v>
      </c>
      <c r="L365" s="4">
        <f>(H365-J365)/Thiet_ke!$B$3</f>
        <v>0.21107666679126927</v>
      </c>
      <c r="M365" s="4">
        <f>1.05+0.05*B365^2</f>
        <v>1.9760129588726065</v>
      </c>
      <c r="N365" s="4">
        <f>(MIN(H365,Thiet_ke!$B$16)-K365)/(Thiet_ke!$B$2*M365)</f>
        <v>0.9734309142991611</v>
      </c>
      <c r="O365" s="4">
        <f>IF(N365&gt;0,1/N365,"")</f>
        <v>1.027294269485953</v>
      </c>
    </row>
    <row r="366" spans="1:15">
      <c r="A366">
        <v>2</v>
      </c>
      <c r="B366" s="4">
        <f>Thiet_ke!$B$21</f>
        <v>4.30351707065885</v>
      </c>
      <c r="C366" s="4">
        <f>Dau_vao!$B$21+(Dau_vao!$B$19-Dau_vao!$B$21)*163/200</f>
        <v>2267.0</v>
      </c>
      <c r="D366" s="4">
        <f>2*PI()*C366*Thiet_ke!$B$7/(60*Thiet_ke!$B$15*B366)</f>
        <v>5.9406400286603525</v>
      </c>
      <c r="E366" s="4">
        <f>D366*3.6</f>
        <v>21.38630410317727</v>
      </c>
      <c r="F366" s="4">
        <f>Thiet_ke!$B$12*(Dau_vao!$B$22*(C366/Dau_vao!$B$19)+Dau_vao!$B$23*(C366/Dau_vao!$B$19)^2-Dau_vao!$B$24*(C366/Dau_vao!$B$19)^3)</f>
        <v>106.88534165366778</v>
      </c>
      <c r="G366" s="4">
        <f>60000*F366/(2*PI()*C366)</f>
        <v>450.23371331929303</v>
      </c>
      <c r="H366" s="4">
        <f>G366*Thiet_ke!$B$15*B366*Dau_vao!$B$10/Thiet_ke!$B$7</f>
        <v>16013.081690326928</v>
      </c>
      <c r="I366" s="4">
        <f>IF(D366&lt;=Dau_vao!$B$14,Dau_vao!$B$13,Dau_vao!$B$13*(1+D366^2/1500))</f>
        <v>0.015</v>
      </c>
      <c r="J366" s="4">
        <f>Thiet_ke!$B$8*D366^2</f>
        <v>103.22677155410591</v>
      </c>
      <c r="K366" s="4">
        <f>Thiet_ke!$B$3*I366+J366</f>
        <v>1234.810271554106</v>
      </c>
      <c r="L366" s="4">
        <f>(H366-J366)/Thiet_ke!$B$3</f>
        <v>0.21089722833674432</v>
      </c>
      <c r="M366" s="4">
        <f>1.05+0.05*B366^2</f>
        <v>1.9760129588726065</v>
      </c>
      <c r="N366" s="4">
        <f>(MIN(H366,Thiet_ke!$B$16)-K366)/(Thiet_ke!$B$2*M366)</f>
        <v>0.9725400844941307</v>
      </c>
      <c r="O366" s="4">
        <f>IF(N366&gt;0,1/N366,"")</f>
        <v>1.0282352531722667</v>
      </c>
    </row>
    <row r="367" spans="1:15">
      <c r="A367">
        <v>2</v>
      </c>
      <c r="B367" s="4">
        <f>Thiet_ke!$B$21</f>
        <v>4.30351707065885</v>
      </c>
      <c r="C367" s="4">
        <f>Dau_vao!$B$21+(Dau_vao!$B$19-Dau_vao!$B$21)*164/200</f>
        <v>2276.0</v>
      </c>
      <c r="D367" s="4">
        <f>2*PI()*C367*Thiet_ke!$B$7/(60*Thiet_ke!$B$15*B367)</f>
        <v>5.964224395778986</v>
      </c>
      <c r="E367" s="4">
        <f>D367*3.6</f>
        <v>21.471207824804353</v>
      </c>
      <c r="F367" s="4">
        <f>Thiet_ke!$B$12*(Dau_vao!$B$22*(C367/Dau_vao!$B$19)+Dau_vao!$B$23*(C367/Dau_vao!$B$19)^2-Dau_vao!$B$24*(C367/Dau_vao!$B$19)^3)</f>
        <v>107.22198981829357</v>
      </c>
      <c r="G367" s="4">
        <f>60000*F367/(2*PI()*C367)</f>
        <v>449.86580899113255</v>
      </c>
      <c r="H367" s="4">
        <f>G367*Thiet_ke!$B$15*B367*Dau_vao!$B$10/Thiet_ke!$B$7</f>
        <v>15999.996748247351</v>
      </c>
      <c r="I367" s="4">
        <f>IF(D367&lt;=Dau_vao!$B$14,Dau_vao!$B$13,Dau_vao!$B$13*(1+D367^2/1500))</f>
        <v>0.015</v>
      </c>
      <c r="J367" s="4">
        <f>Thiet_ke!$B$8*D367^2</f>
        <v>104.04801998137526</v>
      </c>
      <c r="K367" s="4">
        <f>Thiet_ke!$B$3*I367+J367</f>
        <v>1235.6315199813755</v>
      </c>
      <c r="L367" s="4">
        <f>(H367-J367)/Thiet_ke!$B$3</f>
        <v>0.21071289120421924</v>
      </c>
      <c r="M367" s="4">
        <f>1.05+0.05*B367^2</f>
        <v>1.9760129588726065</v>
      </c>
      <c r="N367" s="4">
        <f>(MIN(H367,Thiet_ke!$B$16)-K367)/(Thiet_ke!$B$2*M367)</f>
        <v>0.9716249349947556</v>
      </c>
      <c r="O367" s="4">
        <f>IF(N367&gt;0,1/N367,"")</f>
        <v>1.029203722530441</v>
      </c>
    </row>
    <row r="368" spans="1:15">
      <c r="A368">
        <v>2</v>
      </c>
      <c r="B368" s="4">
        <f>Thiet_ke!$B$21</f>
        <v>4.30351707065885</v>
      </c>
      <c r="C368" s="4">
        <f>Dau_vao!$B$21+(Dau_vao!$B$19-Dau_vao!$B$21)*165/200</f>
        <v>2285.0</v>
      </c>
      <c r="D368" s="4">
        <f>2*PI()*C368*Thiet_ke!$B$7/(60*Thiet_ke!$B$15*B368)</f>
        <v>5.98780876289762</v>
      </c>
      <c r="E368" s="4">
        <f>D368*3.6</f>
        <v>21.55611154643143</v>
      </c>
      <c r="F368" s="4">
        <f>Thiet_ke!$B$12*(Dau_vao!$B$22*(C368/Dau_vao!$B$19)+Dau_vao!$B$23*(C368/Dau_vao!$B$19)^2-Dau_vao!$B$24*(C368/Dau_vao!$B$19)^3)</f>
        <v>107.55548009930645</v>
      </c>
      <c r="G368" s="4">
        <f>60000*F368/(2*PI()*C368)</f>
        <v>449.4876056304578</v>
      </c>
      <c r="H368" s="4">
        <f>G368*Thiet_ke!$B$15*B368*Dau_vao!$B$10/Thiet_ke!$B$7</f>
        <v>15986.545509188874</v>
      </c>
      <c r="I368" s="4">
        <f>IF(D368&lt;=Dau_vao!$B$14,Dau_vao!$B$13,Dau_vao!$B$13*(1+D368^2/1500))</f>
        <v>0.015</v>
      </c>
      <c r="J368" s="4">
        <f>Thiet_ke!$B$8*D368^2</f>
        <v>104.87252230952308</v>
      </c>
      <c r="K368" s="4">
        <f>Thiet_ke!$B$3*I368+J368</f>
        <v>1236.4560223095232</v>
      </c>
      <c r="L368" s="4">
        <f>(H368-J368)/Thiet_ke!$B$3</f>
        <v>0.2105236553936941</v>
      </c>
      <c r="M368" s="4">
        <f>1.05+0.05*B368^2</f>
        <v>1.9760129588726065</v>
      </c>
      <c r="N368" s="4">
        <f>(MIN(H368,Thiet_ke!$B$16)-K368)/(Thiet_ke!$B$2*M368)</f>
        <v>0.9706854658010359</v>
      </c>
      <c r="O368" s="4">
        <f>IF(N368&gt;0,1/N368,"")</f>
        <v>1.030199828092381</v>
      </c>
    </row>
    <row r="369" spans="1:15">
      <c r="A369">
        <v>2</v>
      </c>
      <c r="B369" s="4">
        <f>Thiet_ke!$B$21</f>
        <v>4.30351707065885</v>
      </c>
      <c r="C369" s="4">
        <f>Dau_vao!$B$21+(Dau_vao!$B$19-Dau_vao!$B$21)*166/200</f>
        <v>2294.0</v>
      </c>
      <c r="D369" s="4">
        <f>2*PI()*C369*Thiet_ke!$B$7/(60*Thiet_ke!$B$15*B369)</f>
        <v>6.011393130016255</v>
      </c>
      <c r="E369" s="4">
        <f>D369*3.6</f>
        <v>21.641015268058517</v>
      </c>
      <c r="F369" s="4">
        <f>Thiet_ke!$B$12*(Dau_vao!$B$22*(C369/Dau_vao!$B$19)+Dau_vao!$B$23*(C369/Dau_vao!$B$19)^2-Dau_vao!$B$24*(C369/Dau_vao!$B$19)^3)</f>
        <v>107.88578337687797</v>
      </c>
      <c r="G369" s="4">
        <f>60000*F369/(2*PI()*C369)</f>
        <v>449.09910323726837</v>
      </c>
      <c r="H369" s="4">
        <f>G369*Thiet_ke!$B$15*B369*Dau_vao!$B$10/Thiet_ke!$B$7</f>
        <v>15972.727973151501</v>
      </c>
      <c r="I369" s="4">
        <f>IF(D369&lt;=Dau_vao!$B$14,Dau_vao!$B$13,Dau_vao!$B$13*(1+D369^2/1500))</f>
        <v>0.015</v>
      </c>
      <c r="J369" s="4">
        <f>Thiet_ke!$B$8*D369^2</f>
        <v>105.70027853854937</v>
      </c>
      <c r="K369" s="4">
        <f>Thiet_ke!$B$3*I369+J369</f>
        <v>1237.2837785385495</v>
      </c>
      <c r="L369" s="4">
        <f>(H369-J369)/Thiet_ke!$B$3</f>
        <v>0.21032952090516893</v>
      </c>
      <c r="M369" s="4">
        <f>1.05+0.05*B369^2</f>
        <v>1.9760129588726065</v>
      </c>
      <c r="N369" s="4">
        <f>(MIN(H369,Thiet_ke!$B$16)-K369)/(Thiet_ke!$B$2*M369)</f>
        <v>0.9697216769129721</v>
      </c>
      <c r="O369" s="4">
        <f>IF(N369&gt;0,1/N369,"")</f>
        <v>1.0312237251243228</v>
      </c>
    </row>
    <row r="370" spans="1:15">
      <c r="A370">
        <v>2</v>
      </c>
      <c r="B370" s="4">
        <f>Thiet_ke!$B$21</f>
        <v>4.30351707065885</v>
      </c>
      <c r="C370" s="4">
        <f>Dau_vao!$B$21+(Dau_vao!$B$19-Dau_vao!$B$21)*167/200</f>
        <v>2303.0</v>
      </c>
      <c r="D370" s="4">
        <f>2*PI()*C370*Thiet_ke!$B$7/(60*Thiet_ke!$B$15*B370)</f>
        <v>6.0349774971348875</v>
      </c>
      <c r="E370" s="4">
        <f>D370*3.6</f>
        <v>21.725918989685596</v>
      </c>
      <c r="F370" s="4">
        <f>Thiet_ke!$B$12*(Dau_vao!$B$22*(C370/Dau_vao!$B$19)+Dau_vao!$B$23*(C370/Dau_vao!$B$19)^2-Dau_vao!$B$24*(C370/Dau_vao!$B$19)^3)</f>
        <v>108.21287053117969</v>
      </c>
      <c r="G370" s="4">
        <f>60000*F370/(2*PI()*C370)</f>
        <v>448.7003018115643</v>
      </c>
      <c r="H370" s="4">
        <f>G370*Thiet_ke!$B$15*B370*Dau_vao!$B$10/Thiet_ke!$B$7</f>
        <v>15958.544140135225</v>
      </c>
      <c r="I370" s="4">
        <f>IF(D370&lt;=Dau_vao!$B$14,Dau_vao!$B$13,Dau_vao!$B$13*(1+D370^2/1500))</f>
        <v>0.015</v>
      </c>
      <c r="J370" s="4">
        <f>Thiet_ke!$B$8*D370^2</f>
        <v>106.5312886684541</v>
      </c>
      <c r="K370" s="4">
        <f>Thiet_ke!$B$3*I370+J370</f>
        <v>1238.1147886684544</v>
      </c>
      <c r="L370" s="4">
        <f>(H370-J370)/Thiet_ke!$B$3</f>
        <v>0.21013048773864373</v>
      </c>
      <c r="M370" s="4">
        <f>1.05+0.05*B370^2</f>
        <v>1.9760129588726065</v>
      </c>
      <c r="N370" s="4">
        <f>(MIN(H370,Thiet_ke!$B$16)-K370)/(Thiet_ke!$B$2*M370)</f>
        <v>0.9687335683305635</v>
      </c>
      <c r="O370" s="4">
        <f>IF(N370&gt;0,1/N370,"")</f>
        <v>1.0322755736887683</v>
      </c>
    </row>
    <row r="371" spans="1:15">
      <c r="A371">
        <v>2</v>
      </c>
      <c r="B371" s="4">
        <f>Thiet_ke!$B$21</f>
        <v>4.30351707065885</v>
      </c>
      <c r="C371" s="4">
        <f>Dau_vao!$B$21+(Dau_vao!$B$19-Dau_vao!$B$21)*168/200</f>
        <v>2312.0</v>
      </c>
      <c r="D371" s="4">
        <f>2*PI()*C371*Thiet_ke!$B$7/(60*Thiet_ke!$B$15*B371)</f>
        <v>6.058561864253522</v>
      </c>
      <c r="E371" s="4">
        <f>D371*3.6</f>
        <v>21.81082271131268</v>
      </c>
      <c r="F371" s="4">
        <f>Thiet_ke!$B$12*(Dau_vao!$B$22*(C371/Dau_vao!$B$19)+Dau_vao!$B$23*(C371/Dau_vao!$B$19)^2-Dau_vao!$B$24*(C371/Dau_vao!$B$19)^3)</f>
        <v>108.53671244238325</v>
      </c>
      <c r="G371" s="4">
        <f>60000*F371/(2*PI()*C371)</f>
        <v>448.29120135334557</v>
      </c>
      <c r="H371" s="4">
        <f>G371*Thiet_ke!$B$15*B371*Dau_vao!$B$10/Thiet_ke!$B$7</f>
        <v>15943.994010140052</v>
      </c>
      <c r="I371" s="4">
        <f>IF(D371&lt;=Dau_vao!$B$14,Dau_vao!$B$13,Dau_vao!$B$13*(1+D371^2/1500))</f>
        <v>0.015</v>
      </c>
      <c r="J371" s="4">
        <f>Thiet_ke!$B$8*D371^2</f>
        <v>107.36555269923731</v>
      </c>
      <c r="K371" s="4">
        <f>Thiet_ke!$B$3*I371+J371</f>
        <v>1238.9490526992374</v>
      </c>
      <c r="L371" s="4">
        <f>(H371-J371)/Thiet_ke!$B$3</f>
        <v>0.20992655589411846</v>
      </c>
      <c r="M371" s="4">
        <f>1.05+0.05*B371^2</f>
        <v>1.9760129588726065</v>
      </c>
      <c r="N371" s="4">
        <f>(MIN(H371,Thiet_ke!$B$16)-K371)/(Thiet_ke!$B$2*M371)</f>
        <v>0.9677211400538105</v>
      </c>
      <c r="O371" s="4">
        <f>IF(N371&gt;0,1/N371,"")</f>
        <v>1.033355538708594</v>
      </c>
    </row>
    <row r="372" spans="1:15">
      <c r="A372">
        <v>2</v>
      </c>
      <c r="B372" s="4">
        <f>Thiet_ke!$B$21</f>
        <v>4.30351707065885</v>
      </c>
      <c r="C372" s="4">
        <f>Dau_vao!$B$21+(Dau_vao!$B$19-Dau_vao!$B$21)*169/200</f>
        <v>2321.0</v>
      </c>
      <c r="D372" s="4">
        <f>2*PI()*C372*Thiet_ke!$B$7/(60*Thiet_ke!$B$15*B372)</f>
        <v>6.082146231372156</v>
      </c>
      <c r="E372" s="4">
        <f>D372*3.6</f>
        <v>21.89572643293976</v>
      </c>
      <c r="F372" s="4">
        <f>Thiet_ke!$B$12*(Dau_vao!$B$22*(C372/Dau_vao!$B$19)+Dau_vao!$B$23*(C372/Dau_vao!$B$19)^2-Dau_vao!$B$24*(C372/Dau_vao!$B$19)^3)</f>
        <v>108.8572799906603</v>
      </c>
      <c r="G372" s="4">
        <f>60000*F372/(2*PI()*C372)</f>
        <v>447.8718018626125</v>
      </c>
      <c r="H372" s="4">
        <f>G372*Thiet_ke!$B$15*B372*Dau_vao!$B$10/Thiet_ke!$B$7</f>
        <v>15929.07758316598</v>
      </c>
      <c r="I372" s="4">
        <f>IF(D372&lt;=Dau_vao!$B$14,Dau_vao!$B$13,Dau_vao!$B$13*(1+D372^2/1500))</f>
        <v>0.015</v>
      </c>
      <c r="J372" s="4">
        <f>Thiet_ke!$B$8*D372^2</f>
        <v>108.20307063089898</v>
      </c>
      <c r="K372" s="4">
        <f>Thiet_ke!$B$3*I372+J372</f>
        <v>1239.7865706308992</v>
      </c>
      <c r="L372" s="4">
        <f>(H372-J372)/Thiet_ke!$B$3</f>
        <v>0.20971772537159314</v>
      </c>
      <c r="M372" s="4">
        <f>1.05+0.05*B372^2</f>
        <v>1.9760129588726065</v>
      </c>
      <c r="N372" s="4">
        <f>(MIN(H372,Thiet_ke!$B$16)-K372)/(Thiet_ke!$B$2*M372)</f>
        <v>0.9666843920827133</v>
      </c>
      <c r="O372" s="4">
        <f>IF(N372&gt;0,1/N372,"")</f>
        <v>1.0344637900333826</v>
      </c>
    </row>
    <row r="373" spans="1:15">
      <c r="A373">
        <v>2</v>
      </c>
      <c r="B373" s="4">
        <f>Thiet_ke!$B$21</f>
        <v>4.30351707065885</v>
      </c>
      <c r="C373" s="4">
        <f>Dau_vao!$B$21+(Dau_vao!$B$19-Dau_vao!$B$21)*170/200</f>
        <v>2330.0</v>
      </c>
      <c r="D373" s="4">
        <f>2*PI()*C373*Thiet_ke!$B$7/(60*Thiet_ke!$B$15*B373)</f>
        <v>6.105730598490791</v>
      </c>
      <c r="E373" s="4">
        <f>D373*3.6</f>
        <v>21.980630154566846</v>
      </c>
      <c r="F373" s="4">
        <f>Thiet_ke!$B$12*(Dau_vao!$B$22*(C373/Dau_vao!$B$19)+Dau_vao!$B$23*(C373/Dau_vao!$B$19)^2-Dau_vao!$B$24*(C373/Dau_vao!$B$19)^3)</f>
        <v>109.17454405618234</v>
      </c>
      <c r="G373" s="4">
        <f>60000*F373/(2*PI()*C373)</f>
        <v>447.4421033393645</v>
      </c>
      <c r="H373" s="4">
        <f>G373*Thiet_ke!$B$15*B373*Dau_vao!$B$10/Thiet_ke!$B$7</f>
        <v>15913.794859213005</v>
      </c>
      <c r="I373" s="4">
        <f>IF(D373&lt;=Dau_vao!$B$14,Dau_vao!$B$13,Dau_vao!$B$13*(1+D373^2/1500))</f>
        <v>0.015</v>
      </c>
      <c r="J373" s="4">
        <f>Thiet_ke!$B$8*D373^2</f>
        <v>109.04384246343912</v>
      </c>
      <c r="K373" s="4">
        <f>Thiet_ke!$B$3*I373+J373</f>
        <v>1240.6273424634394</v>
      </c>
      <c r="L373" s="4">
        <f>(H373-J373)/Thiet_ke!$B$3</f>
        <v>0.20950399617106777</v>
      </c>
      <c r="M373" s="4">
        <f>1.05+0.05*B373^2</f>
        <v>1.9760129588726065</v>
      </c>
      <c r="N373" s="4">
        <f>(MIN(H373,Thiet_ke!$B$16)-K373)/(Thiet_ke!$B$2*M373)</f>
        <v>0.9656233244172712</v>
      </c>
      <c r="O373" s="4">
        <f>IF(N373&gt;0,1/N373,"")</f>
        <v>1.0356005025080295</v>
      </c>
    </row>
    <row r="374" spans="1:15">
      <c r="A374">
        <v>2</v>
      </c>
      <c r="B374" s="4">
        <f>Thiet_ke!$B$21</f>
        <v>4.30351707065885</v>
      </c>
      <c r="C374" s="4">
        <f>Dau_vao!$B$21+(Dau_vao!$B$19-Dau_vao!$B$21)*171/200</f>
        <v>2339.0</v>
      </c>
      <c r="D374" s="4">
        <f>2*PI()*C374*Thiet_ke!$B$7/(60*Thiet_ke!$B$15*B374)</f>
        <v>6.129314965609424</v>
      </c>
      <c r="E374" s="4">
        <f>D374*3.6</f>
        <v>22.06553387619393</v>
      </c>
      <c r="F374" s="4">
        <f>Thiet_ke!$B$12*(Dau_vao!$B$22*(C374/Dau_vao!$B$19)+Dau_vao!$B$23*(C374/Dau_vao!$B$19)^2-Dau_vao!$B$24*(C374/Dau_vao!$B$19)^3)</f>
        <v>109.48847551912104</v>
      </c>
      <c r="G374" s="4">
        <f>60000*F374/(2*PI()*C374)</f>
        <v>447.002105783602</v>
      </c>
      <c r="H374" s="4">
        <f>G374*Thiet_ke!$B$15*B374*Dau_vao!$B$10/Thiet_ke!$B$7</f>
        <v>15898.14583828113</v>
      </c>
      <c r="I374" s="4">
        <f>IF(D374&lt;=Dau_vao!$B$14,Dau_vao!$B$13,Dau_vao!$B$13*(1+D374^2/1500))</f>
        <v>0.015</v>
      </c>
      <c r="J374" s="4">
        <f>Thiet_ke!$B$8*D374^2</f>
        <v>109.88786819685772</v>
      </c>
      <c r="K374" s="4">
        <f>Thiet_ke!$B$3*I374+J374</f>
        <v>1241.4713681968578</v>
      </c>
      <c r="L374" s="4">
        <f>(H374-J374)/Thiet_ke!$B$3</f>
        <v>0.20928536829254232</v>
      </c>
      <c r="M374" s="4">
        <f>1.05+0.05*B374^2</f>
        <v>1.9760129588726065</v>
      </c>
      <c r="N374" s="4">
        <f>(MIN(H374,Thiet_ke!$B$16)-K374)/(Thiet_ke!$B$2*M374)</f>
        <v>0.9645379370574847</v>
      </c>
      <c r="O374" s="4">
        <f>IF(N374&gt;0,1/N374,"")</f>
        <v>1.0367658560436714</v>
      </c>
    </row>
    <row r="375" spans="1:15">
      <c r="A375">
        <v>2</v>
      </c>
      <c r="B375" s="4">
        <f>Thiet_ke!$B$21</f>
        <v>4.30351707065885</v>
      </c>
      <c r="C375" s="4">
        <f>Dau_vao!$B$21+(Dau_vao!$B$19-Dau_vao!$B$21)*172/200</f>
        <v>2348.0</v>
      </c>
      <c r="D375" s="4">
        <f>2*PI()*C375*Thiet_ke!$B$7/(60*Thiet_ke!$B$15*B375)</f>
        <v>6.152899332728058</v>
      </c>
      <c r="E375" s="4">
        <f>D375*3.6</f>
        <v>22.15043759782101</v>
      </c>
      <c r="F375" s="4">
        <f>Thiet_ke!$B$12*(Dau_vao!$B$22*(C375/Dau_vao!$B$19)+Dau_vao!$B$23*(C375/Dau_vao!$B$19)^2-Dau_vao!$B$24*(C375/Dau_vao!$B$19)^3)</f>
        <v>109.799045259648</v>
      </c>
      <c r="G375" s="4">
        <f>60000*F375/(2*PI()*C375)</f>
        <v>446.551809195325</v>
      </c>
      <c r="H375" s="4">
        <f>G375*Thiet_ke!$B$15*B375*Dau_vao!$B$10/Thiet_ke!$B$7</f>
        <v>15882.130520370367</v>
      </c>
      <c r="I375" s="4">
        <f>IF(D375&lt;=Dau_vao!$B$14,Dau_vao!$B$13,Dau_vao!$B$13*(1+D375^2/1500))</f>
        <v>0.015</v>
      </c>
      <c r="J375" s="4">
        <f>Thiet_ke!$B$8*D375^2</f>
        <v>110.73514783115476</v>
      </c>
      <c r="K375" s="4">
        <f>Thiet_ke!$B$3*I375+J375</f>
        <v>1242.318647831155</v>
      </c>
      <c r="L375" s="4">
        <f>(H375-J375)/Thiet_ke!$B$3</f>
        <v>0.20906184173601697</v>
      </c>
      <c r="M375" s="4">
        <f>1.05+0.05*B375^2</f>
        <v>1.9760129588726065</v>
      </c>
      <c r="N375" s="4">
        <f>(MIN(H375,Thiet_ke!$B$16)-K375)/(Thiet_ke!$B$2*M375)</f>
        <v>0.9634282300033545</v>
      </c>
      <c r="O375" s="4">
        <f>IF(N375&gt;0,1/N375,"")</f>
        <v>1.0379600356910013</v>
      </c>
    </row>
    <row r="376" spans="1:15">
      <c r="A376">
        <v>2</v>
      </c>
      <c r="B376" s="4">
        <f>Thiet_ke!$B$21</f>
        <v>4.30351707065885</v>
      </c>
      <c r="C376" s="4">
        <f>Dau_vao!$B$21+(Dau_vao!$B$19-Dau_vao!$B$21)*173/200</f>
        <v>2357.0</v>
      </c>
      <c r="D376" s="4">
        <f>2*PI()*C376*Thiet_ke!$B$7/(60*Thiet_ke!$B$15*B376)</f>
        <v>6.176483699846693</v>
      </c>
      <c r="E376" s="4">
        <f>D376*3.6</f>
        <v>22.235341319448093</v>
      </c>
      <c r="F376" s="4">
        <f>Thiet_ke!$B$12*(Dau_vao!$B$22*(C376/Dau_vao!$B$19)+Dau_vao!$B$23*(C376/Dau_vao!$B$19)^2-Dau_vao!$B$24*(C376/Dau_vao!$B$19)^3)</f>
        <v>110.1062241579348</v>
      </c>
      <c r="G376" s="4">
        <f>60000*F376/(2*PI()*C376)</f>
        <v>446.0912135745334</v>
      </c>
      <c r="H376" s="4">
        <f>G376*Thiet_ke!$B$15*B376*Dau_vao!$B$10/Thiet_ke!$B$7</f>
        <v>15865.748905480688</v>
      </c>
      <c r="I376" s="4">
        <f>IF(D376&lt;=Dau_vao!$B$14,Dau_vao!$B$13,Dau_vao!$B$13*(1+D376^2/1500))</f>
        <v>0.015</v>
      </c>
      <c r="J376" s="4">
        <f>Thiet_ke!$B$8*D376^2</f>
        <v>111.58568136633028</v>
      </c>
      <c r="K376" s="4">
        <f>Thiet_ke!$B$3*I376+J376</f>
        <v>1243.1691813663306</v>
      </c>
      <c r="L376" s="4">
        <f>(H376-J376)/Thiet_ke!$B$3</f>
        <v>0.20883341650149134</v>
      </c>
      <c r="M376" s="4">
        <f>1.05+0.05*B376^2</f>
        <v>1.9760129588726065</v>
      </c>
      <c r="N376" s="4">
        <f>(MIN(H376,Thiet_ke!$B$16)-K376)/(Thiet_ke!$B$2*M376)</f>
        <v>0.9622942032548787</v>
      </c>
      <c r="O376" s="4">
        <f>IF(N376&gt;0,1/N376,"")</f>
        <v>1.0391832317160226</v>
      </c>
    </row>
    <row r="377" spans="1:15">
      <c r="A377">
        <v>2</v>
      </c>
      <c r="B377" s="4">
        <f>Thiet_ke!$B$21</f>
        <v>4.30351707065885</v>
      </c>
      <c r="C377" s="4">
        <f>Dau_vao!$B$21+(Dau_vao!$B$19-Dau_vao!$B$21)*174/200</f>
        <v>2366.0</v>
      </c>
      <c r="D377" s="4">
        <f>2*PI()*C377*Thiet_ke!$B$7/(60*Thiet_ke!$B$15*B377)</f>
        <v>6.200068066965326</v>
      </c>
      <c r="E377" s="4">
        <f>D377*3.6</f>
        <v>22.32024504107517</v>
      </c>
      <c r="F377" s="4">
        <f>Thiet_ke!$B$12*(Dau_vao!$B$22*(C377/Dau_vao!$B$19)+Dau_vao!$B$23*(C377/Dau_vao!$B$19)^2-Dau_vao!$B$24*(C377/Dau_vao!$B$19)^3)</f>
        <v>110.40998309415305</v>
      </c>
      <c r="G377" s="4">
        <f>60000*F377/(2*PI()*C377)</f>
        <v>445.62031892122707</v>
      </c>
      <c r="H377" s="4">
        <f>G377*Thiet_ke!$B$15*B377*Dau_vao!$B$10/Thiet_ke!$B$7</f>
        <v>15849.000993612117</v>
      </c>
      <c r="I377" s="4">
        <f>IF(D377&lt;=Dau_vao!$B$14,Dau_vao!$B$13,Dau_vao!$B$13*(1+D377^2/1500))</f>
        <v>0.015</v>
      </c>
      <c r="J377" s="4">
        <f>Thiet_ke!$B$8*D377^2</f>
        <v>112.43946880238423</v>
      </c>
      <c r="K377" s="4">
        <f>Thiet_ke!$B$3*I377+J377</f>
        <v>1244.0229688023844</v>
      </c>
      <c r="L377" s="4">
        <f>(H377-J377)/Thiet_ke!$B$3</f>
        <v>0.20860009258896578</v>
      </c>
      <c r="M377" s="4">
        <f>1.05+0.05*B377^2</f>
        <v>1.9760129588726065</v>
      </c>
      <c r="N377" s="4">
        <f>(MIN(H377,Thiet_ke!$B$16)-K377)/(Thiet_ke!$B$2*M377)</f>
        <v>0.9611358568120589</v>
      </c>
      <c r="O377" s="4">
        <f>IF(N377&gt;0,1/N377,"")</f>
        <v>1.0404356396782943</v>
      </c>
    </row>
    <row r="378" spans="1:15">
      <c r="A378">
        <v>2</v>
      </c>
      <c r="B378" s="4">
        <f>Thiet_ke!$B$21</f>
        <v>4.30351707065885</v>
      </c>
      <c r="C378" s="4">
        <f>Dau_vao!$B$21+(Dau_vao!$B$19-Dau_vao!$B$21)*175/200</f>
        <v>2375.0</v>
      </c>
      <c r="D378" s="4">
        <f>2*PI()*C378*Thiet_ke!$B$7/(60*Thiet_ke!$B$15*B378)</f>
        <v>6.22365243408396</v>
      </c>
      <c r="E378" s="4">
        <f>D378*3.6</f>
        <v>22.405148762702257</v>
      </c>
      <c r="F378" s="4">
        <f>Thiet_ke!$B$12*(Dau_vao!$B$22*(C378/Dau_vao!$B$19)+Dau_vao!$B$23*(C378/Dau_vao!$B$19)^2-Dau_vao!$B$24*(C378/Dau_vao!$B$19)^3)</f>
        <v>110.71029294847435</v>
      </c>
      <c r="G378" s="4">
        <f>60000*F378/(2*PI()*C378)</f>
        <v>445.1391252354063</v>
      </c>
      <c r="H378" s="4">
        <f>G378*Thiet_ke!$B$15*B378*Dau_vao!$B$10/Thiet_ke!$B$7</f>
        <v>15831.88678476465</v>
      </c>
      <c r="I378" s="4">
        <f>IF(D378&lt;=Dau_vao!$B$14,Dau_vao!$B$13,Dau_vao!$B$13*(1+D378^2/1500))</f>
        <v>0.015</v>
      </c>
      <c r="J378" s="4">
        <f>Thiet_ke!$B$8*D378^2</f>
        <v>113.29651013931668</v>
      </c>
      <c r="K378" s="4">
        <f>Thiet_ke!$B$3*I378+J378</f>
        <v>1244.880010139317</v>
      </c>
      <c r="L378" s="4">
        <f>(H378-J378)/Thiet_ke!$B$3</f>
        <v>0.20836186999844022</v>
      </c>
      <c r="M378" s="4">
        <f>1.05+0.05*B378^2</f>
        <v>1.9760129588726065</v>
      </c>
      <c r="N378" s="4">
        <f>(MIN(H378,Thiet_ke!$B$16)-K378)/(Thiet_ke!$B$2*M378)</f>
        <v>0.959953190674895</v>
      </c>
      <c r="O378" s="4">
        <f>IF(N378&gt;0,1/N378,"")</f>
        <v>1.0417174605117465</v>
      </c>
    </row>
    <row r="379" spans="1:15">
      <c r="A379">
        <v>2</v>
      </c>
      <c r="B379" s="4">
        <f>Thiet_ke!$B$21</f>
        <v>4.30351707065885</v>
      </c>
      <c r="C379" s="4">
        <f>Dau_vao!$B$21+(Dau_vao!$B$19-Dau_vao!$B$21)*176/200</f>
        <v>2384.0</v>
      </c>
      <c r="D379" s="4">
        <f>2*PI()*C379*Thiet_ke!$B$7/(60*Thiet_ke!$B$15*B379)</f>
        <v>6.247236801202593</v>
      </c>
      <c r="E379" s="4">
        <f>D379*3.6</f>
        <v>22.490052484329336</v>
      </c>
      <c r="F379" s="4">
        <f>Thiet_ke!$B$12*(Dau_vao!$B$22*(C379/Dau_vao!$B$19)+Dau_vao!$B$23*(C379/Dau_vao!$B$19)^2-Dau_vao!$B$24*(C379/Dau_vao!$B$19)^3)</f>
        <v>111.0071246010703</v>
      </c>
      <c r="G379" s="4">
        <f>60000*F379/(2*PI()*C379)</f>
        <v>444.64763251707075</v>
      </c>
      <c r="H379" s="4">
        <f>G379*Thiet_ke!$B$15*B379*Dau_vao!$B$10/Thiet_ke!$B$7</f>
        <v>15814.406278938279</v>
      </c>
      <c r="I379" s="4">
        <f>IF(D379&lt;=Dau_vao!$B$14,Dau_vao!$B$13,Dau_vao!$B$13*(1+D379^2/1500))</f>
        <v>0.015</v>
      </c>
      <c r="J379" s="4">
        <f>Thiet_ke!$B$8*D379^2</f>
        <v>114.15680537712753</v>
      </c>
      <c r="K379" s="4">
        <f>Thiet_ke!$B$3*I379+J379</f>
        <v>1245.7403053771277</v>
      </c>
      <c r="L379" s="4">
        <f>(H379-J379)/Thiet_ke!$B$3</f>
        <v>0.20811874872991454</v>
      </c>
      <c r="M379" s="4">
        <f>1.05+0.05*B379^2</f>
        <v>1.9760129588726065</v>
      </c>
      <c r="N379" s="4">
        <f>(MIN(H379,Thiet_ke!$B$16)-K379)/(Thiet_ke!$B$2*M379)</f>
        <v>0.9587462048433862</v>
      </c>
      <c r="O379" s="4">
        <f>IF(N379&gt;0,1/N379,"")</f>
        <v>1.0430289006081153</v>
      </c>
    </row>
    <row r="380" spans="1:15">
      <c r="A380">
        <v>2</v>
      </c>
      <c r="B380" s="4">
        <f>Thiet_ke!$B$21</f>
        <v>4.30351707065885</v>
      </c>
      <c r="C380" s="4">
        <f>Dau_vao!$B$21+(Dau_vao!$B$19-Dau_vao!$B$21)*177/200</f>
        <v>2393.0</v>
      </c>
      <c r="D380" s="4">
        <f>2*PI()*C380*Thiet_ke!$B$7/(60*Thiet_ke!$B$15*B380)</f>
        <v>6.270821168321228</v>
      </c>
      <c r="E380" s="4">
        <f>D380*3.6</f>
        <v>22.574956205956422</v>
      </c>
      <c r="F380" s="4">
        <f>Thiet_ke!$B$12*(Dau_vao!$B$22*(C380/Dau_vao!$B$19)+Dau_vao!$B$23*(C380/Dau_vao!$B$19)^2-Dau_vao!$B$24*(C380/Dau_vao!$B$19)^3)</f>
        <v>111.30044893211249</v>
      </c>
      <c r="G380" s="4">
        <f>60000*F380/(2*PI()*C380)</f>
        <v>444.14584076622066</v>
      </c>
      <c r="H380" s="4">
        <f>G380*Thiet_ke!$B$15*B380*Dau_vao!$B$10/Thiet_ke!$B$7</f>
        <v>15796.559476133007</v>
      </c>
      <c r="I380" s="4">
        <f>IF(D380&lt;=Dau_vao!$B$14,Dau_vao!$B$13,Dau_vao!$B$13*(1+D380^2/1500))</f>
        <v>0.015</v>
      </c>
      <c r="J380" s="4">
        <f>Thiet_ke!$B$8*D380^2</f>
        <v>115.02035451581692</v>
      </c>
      <c r="K380" s="4">
        <f>Thiet_ke!$B$3*I380+J380</f>
        <v>1246.6038545158171</v>
      </c>
      <c r="L380" s="4">
        <f>(H380-J380)/Thiet_ke!$B$3</f>
        <v>0.20787072878338878</v>
      </c>
      <c r="M380" s="4">
        <f>1.05+0.05*B380^2</f>
        <v>1.9760129588726065</v>
      </c>
      <c r="N380" s="4">
        <f>(MIN(H380,Thiet_ke!$B$16)-K380)/(Thiet_ke!$B$2*M380)</f>
        <v>0.957514899317533</v>
      </c>
      <c r="O380" s="4">
        <f>IF(N380&gt;0,1/N380,"")</f>
        <v>1.0443701719030671</v>
      </c>
    </row>
    <row r="381" spans="1:15">
      <c r="A381">
        <v>2</v>
      </c>
      <c r="B381" s="4">
        <f>Thiet_ke!$B$21</f>
        <v>4.30351707065885</v>
      </c>
      <c r="C381" s="4">
        <f>Dau_vao!$B$21+(Dau_vao!$B$19-Dau_vao!$B$21)*178/200</f>
        <v>2402.0</v>
      </c>
      <c r="D381" s="4">
        <f>2*PI()*C381*Thiet_ke!$B$7/(60*Thiet_ke!$B$15*B381)</f>
        <v>6.294405535439861</v>
      </c>
      <c r="E381" s="4">
        <f>D381*3.6</f>
        <v>22.6598599275835</v>
      </c>
      <c r="F381" s="4">
        <f>Thiet_ke!$B$12*(Dau_vao!$B$22*(C381/Dau_vao!$B$19)+Dau_vao!$B$23*(C381/Dau_vao!$B$19)^2-Dau_vao!$B$24*(C381/Dau_vao!$B$19)^3)</f>
        <v>111.59023682177258</v>
      </c>
      <c r="G381" s="4">
        <f>60000*F381/(2*PI()*C381)</f>
        <v>443.63374998285605</v>
      </c>
      <c r="H381" s="4">
        <f>G381*Thiet_ke!$B$15*B381*Dau_vao!$B$10/Thiet_ke!$B$7</f>
        <v>15778.346376348836</v>
      </c>
      <c r="I381" s="4">
        <f>IF(D381&lt;=Dau_vao!$B$14,Dau_vao!$B$13,Dau_vao!$B$13*(1+D381^2/1500))</f>
        <v>0.015</v>
      </c>
      <c r="J381" s="4">
        <f>Thiet_ke!$B$8*D381^2</f>
        <v>115.88715755538469</v>
      </c>
      <c r="K381" s="4">
        <f>Thiet_ke!$B$3*I381+J381</f>
        <v>1247.4706575553848</v>
      </c>
      <c r="L381" s="4">
        <f>(H381-J381)/Thiet_ke!$B$3</f>
        <v>0.20761781015886302</v>
      </c>
      <c r="M381" s="4">
        <f>1.05+0.05*B381^2</f>
        <v>1.9760129588726065</v>
      </c>
      <c r="N381" s="4">
        <f>(MIN(H381,Thiet_ke!$B$16)-K381)/(Thiet_ke!$B$2*M381)</f>
        <v>0.9562592740973352</v>
      </c>
      <c r="O381" s="4">
        <f>IF(N381&gt;0,1/N381,"")</f>
        <v>1.0457414919650887</v>
      </c>
    </row>
    <row r="382" spans="1:15">
      <c r="A382">
        <v>2</v>
      </c>
      <c r="B382" s="4">
        <f>Thiet_ke!$B$21</f>
        <v>4.30351707065885</v>
      </c>
      <c r="C382" s="4">
        <f>Dau_vao!$B$21+(Dau_vao!$B$19-Dau_vao!$B$21)*179/200</f>
        <v>2411.0</v>
      </c>
      <c r="D382" s="4">
        <f>2*PI()*C382*Thiet_ke!$B$7/(60*Thiet_ke!$B$15*B382)</f>
        <v>6.317989902558495</v>
      </c>
      <c r="E382" s="4">
        <f>D382*3.6</f>
        <v>22.744763649210583</v>
      </c>
      <c r="F382" s="4">
        <f>Thiet_ke!$B$12*(Dau_vao!$B$22*(C382/Dau_vao!$B$19)+Dau_vao!$B$23*(C382/Dau_vao!$B$19)^2-Dau_vao!$B$24*(C382/Dau_vao!$B$19)^3)</f>
        <v>111.87645915022212</v>
      </c>
      <c r="G382" s="4">
        <f>60000*F382/(2*PI()*C382)</f>
        <v>443.11136016697697</v>
      </c>
      <c r="H382" s="4">
        <f>G382*Thiet_ke!$B$15*B382*Dau_vao!$B$10/Thiet_ke!$B$7</f>
        <v>15759.766979585771</v>
      </c>
      <c r="I382" s="4">
        <f>IF(D382&lt;=Dau_vao!$B$14,Dau_vao!$B$13,Dau_vao!$B$13*(1+D382^2/1500))</f>
        <v>0.015</v>
      </c>
      <c r="J382" s="4">
        <f>Thiet_ke!$B$8*D382^2</f>
        <v>116.757214495831</v>
      </c>
      <c r="K382" s="4">
        <f>Thiet_ke!$B$3*I382+J382</f>
        <v>1248.3407144958312</v>
      </c>
      <c r="L382" s="4">
        <f>(H382-J382)/Thiet_ke!$B$3</f>
        <v>0.20735999285633724</v>
      </c>
      <c r="M382" s="4">
        <f>1.05+0.05*B382^2</f>
        <v>1.9760129588726065</v>
      </c>
      <c r="N382" s="4">
        <f>(MIN(H382,Thiet_ke!$B$16)-K382)/(Thiet_ke!$B$2*M382)</f>
        <v>0.9549793291827934</v>
      </c>
      <c r="O382" s="4">
        <f>IF(N382&gt;0,1/N382,"")</f>
        <v>1.0471430840872045</v>
      </c>
    </row>
    <row r="383" spans="1:15">
      <c r="A383">
        <v>2</v>
      </c>
      <c r="B383" s="4">
        <f>Thiet_ke!$B$21</f>
        <v>4.30351707065885</v>
      </c>
      <c r="C383" s="4">
        <f>Dau_vao!$B$21+(Dau_vao!$B$19-Dau_vao!$B$21)*180/200</f>
        <v>2420.0</v>
      </c>
      <c r="D383" s="4">
        <f>2*PI()*C383*Thiet_ke!$B$7/(60*Thiet_ke!$B$15*B383)</f>
        <v>6.34157426967713</v>
      </c>
      <c r="E383" s="4">
        <f>D383*3.6</f>
        <v>22.82966737083767</v>
      </c>
      <c r="F383" s="4">
        <f>Thiet_ke!$B$12*(Dau_vao!$B$22*(C383/Dau_vao!$B$19)+Dau_vao!$B$23*(C383/Dau_vao!$B$19)^2-Dau_vao!$B$24*(C383/Dau_vao!$B$19)^3)</f>
        <v>112.1590867976327</v>
      </c>
      <c r="G383" s="4">
        <f>60000*F383/(2*PI()*C383)</f>
        <v>442.5786713185831</v>
      </c>
      <c r="H383" s="4">
        <f>G383*Thiet_ke!$B$15*B383*Dau_vao!$B$10/Thiet_ke!$B$7</f>
        <v>15740.821285843798</v>
      </c>
      <c r="I383" s="4">
        <f>IF(D383&lt;=Dau_vao!$B$14,Dau_vao!$B$13,Dau_vao!$B$13*(1+D383^2/1500))</f>
        <v>0.015</v>
      </c>
      <c r="J383" s="4">
        <f>Thiet_ke!$B$8*D383^2</f>
        <v>117.63052533715576</v>
      </c>
      <c r="K383" s="4">
        <f>Thiet_ke!$B$3*I383+J383</f>
        <v>1249.214025337156</v>
      </c>
      <c r="L383" s="4">
        <f>(H383-J383)/Thiet_ke!$B$3</f>
        <v>0.2070972768758113</v>
      </c>
      <c r="M383" s="4">
        <f>1.05+0.05*B383^2</f>
        <v>1.9760129588726065</v>
      </c>
      <c r="N383" s="4">
        <f>(MIN(H383,Thiet_ke!$B$16)-K383)/(Thiet_ke!$B$2*M383)</f>
        <v>0.9536750645739065</v>
      </c>
      <c r="O383" s="4">
        <f>IF(N383&gt;0,1/N383,"")</f>
        <v>1.0485751773816074</v>
      </c>
    </row>
    <row r="384" spans="1:15">
      <c r="A384">
        <v>2</v>
      </c>
      <c r="B384" s="4">
        <f>Thiet_ke!$B$21</f>
        <v>4.30351707065885</v>
      </c>
      <c r="C384" s="4">
        <f>Dau_vao!$B$21+(Dau_vao!$B$19-Dau_vao!$B$21)*181/200</f>
        <v>2429.0</v>
      </c>
      <c r="D384" s="4">
        <f>2*PI()*C384*Thiet_ke!$B$7/(60*Thiet_ke!$B$15*B384)</f>
        <v>6.365158636795764</v>
      </c>
      <c r="E384" s="4">
        <f>D384*3.6</f>
        <v>22.91457109246475</v>
      </c>
      <c r="F384" s="4">
        <f>Thiet_ke!$B$12*(Dau_vao!$B$22*(C384/Dau_vao!$B$19)+Dau_vao!$B$23*(C384/Dau_vao!$B$19)^2-Dau_vao!$B$24*(C384/Dau_vao!$B$19)^3)</f>
        <v>112.43809064417597</v>
      </c>
      <c r="G384" s="4">
        <f>60000*F384/(2*PI()*C384)</f>
        <v>442.0356834376747</v>
      </c>
      <c r="H384" s="4">
        <f>G384*Thiet_ke!$B$15*B384*Dau_vao!$B$10/Thiet_ke!$B$7</f>
        <v>15721.509295122933</v>
      </c>
      <c r="I384" s="4">
        <f>IF(D384&lt;=Dau_vao!$B$14,Dau_vao!$B$13,Dau_vao!$B$13*(1+D384^2/1500))</f>
        <v>0.015</v>
      </c>
      <c r="J384" s="4">
        <f>Thiet_ke!$B$8*D384^2</f>
        <v>118.50709007935895</v>
      </c>
      <c r="K384" s="4">
        <f>Thiet_ke!$B$3*I384+J384</f>
        <v>1250.0905900793591</v>
      </c>
      <c r="L384" s="4">
        <f>(H384-J384)/Thiet_ke!$B$3</f>
        <v>0.20682966221728538</v>
      </c>
      <c r="M384" s="4">
        <f>1.05+0.05*B384^2</f>
        <v>1.9760129588726065</v>
      </c>
      <c r="N384" s="4">
        <f>(MIN(H384,Thiet_ke!$B$16)-K384)/(Thiet_ke!$B$2*M384)</f>
        <v>0.9523464802706756</v>
      </c>
      <c r="O384" s="4">
        <f>IF(N384&gt;0,1/N384,"")</f>
        <v>1.0500380068772663</v>
      </c>
    </row>
    <row r="385" spans="1:15">
      <c r="A385">
        <v>2</v>
      </c>
      <c r="B385" s="4">
        <f>Thiet_ke!$B$21</f>
        <v>4.30351707065885</v>
      </c>
      <c r="C385" s="4">
        <f>Dau_vao!$B$21+(Dau_vao!$B$19-Dau_vao!$B$21)*182/200</f>
        <v>2438.0</v>
      </c>
      <c r="D385" s="4">
        <f>2*PI()*C385*Thiet_ke!$B$7/(60*Thiet_ke!$B$15*B385)</f>
        <v>6.3887430039143975</v>
      </c>
      <c r="E385" s="4">
        <f>D385*3.6</f>
        <v>22.999474814091833</v>
      </c>
      <c r="F385" s="4">
        <f>Thiet_ke!$B$12*(Dau_vao!$B$22*(C385/Dau_vao!$B$19)+Dau_vao!$B$23*(C385/Dau_vao!$B$19)^2-Dau_vao!$B$24*(C385/Dau_vao!$B$19)^3)</f>
        <v>112.71344157002348</v>
      </c>
      <c r="G385" s="4">
        <f>60000*F385/(2*PI()*C385)</f>
        <v>441.4823965242516</v>
      </c>
      <c r="H385" s="4">
        <f>G385*Thiet_ke!$B$15*B385*Dau_vao!$B$10/Thiet_ke!$B$7</f>
        <v>15701.831007423165</v>
      </c>
      <c r="I385" s="4">
        <f>IF(D385&lt;=Dau_vao!$B$14,Dau_vao!$B$13,Dau_vao!$B$13*(1+D385^2/1500))</f>
        <v>0.015</v>
      </c>
      <c r="J385" s="4">
        <f>Thiet_ke!$B$8*D385^2</f>
        <v>119.3869087224406</v>
      </c>
      <c r="K385" s="4">
        <f>Thiet_ke!$B$3*I385+J385</f>
        <v>1250.9704087224409</v>
      </c>
      <c r="L385" s="4">
        <f>(H385-J385)/Thiet_ke!$B$3</f>
        <v>0.20655714888075943</v>
      </c>
      <c r="M385" s="4">
        <f>1.05+0.05*B385^2</f>
        <v>1.9760129588726065</v>
      </c>
      <c r="N385" s="4">
        <f>(MIN(H385,Thiet_ke!$B$16)-K385)/(Thiet_ke!$B$2*M385)</f>
        <v>0.9509935762731001</v>
      </c>
      <c r="O385" s="4">
        <f>IF(N385&gt;0,1/N385,"")</f>
        <v>1.051531813620607</v>
      </c>
    </row>
    <row r="386" spans="1:15">
      <c r="A386">
        <v>2</v>
      </c>
      <c r="B386" s="4">
        <f>Thiet_ke!$B$21</f>
        <v>4.30351707065885</v>
      </c>
      <c r="C386" s="4">
        <f>Dau_vao!$B$21+(Dau_vao!$B$19-Dau_vao!$B$21)*183/200</f>
        <v>2447.0</v>
      </c>
      <c r="D386" s="4">
        <f>2*PI()*C386*Thiet_ke!$B$7/(60*Thiet_ke!$B$15*B386)</f>
        <v>6.412327371033031</v>
      </c>
      <c r="E386" s="4">
        <f>D386*3.6</f>
        <v>23.084378535718912</v>
      </c>
      <c r="F386" s="4">
        <f>Thiet_ke!$B$12*(Dau_vao!$B$22*(C386/Dau_vao!$B$19)+Dau_vao!$B$23*(C386/Dau_vao!$B$19)^2-Dau_vao!$B$24*(C386/Dau_vao!$B$19)^3)</f>
        <v>112.98511045534687</v>
      </c>
      <c r="G386" s="4">
        <f>60000*F386/(2*PI()*C386)</f>
        <v>440.91881057831404</v>
      </c>
      <c r="H386" s="4">
        <f>G386*Thiet_ke!$B$15*B386*Dau_vao!$B$10/Thiet_ke!$B$7</f>
        <v>15681.786422744499</v>
      </c>
      <c r="I386" s="4">
        <f>IF(D386&lt;=Dau_vao!$B$14,Dau_vao!$B$13,Dau_vao!$B$13*(1+D386^2/1500))</f>
        <v>0.015</v>
      </c>
      <c r="J386" s="4">
        <f>Thiet_ke!$B$8*D386^2</f>
        <v>120.26998126640072</v>
      </c>
      <c r="K386" s="4">
        <f>Thiet_ke!$B$3*I386+J386</f>
        <v>1251.8534812664009</v>
      </c>
      <c r="L386" s="4">
        <f>(H386-J386)/Thiet_ke!$B$3</f>
        <v>0.2062797368662334</v>
      </c>
      <c r="M386" s="4">
        <f>1.05+0.05*B386^2</f>
        <v>1.9760129588726065</v>
      </c>
      <c r="N386" s="4">
        <f>(MIN(H386,Thiet_ke!$B$16)-K386)/(Thiet_ke!$B$2*M386)</f>
        <v>0.9496163525811802</v>
      </c>
      <c r="O386" s="4">
        <f>IF(N386&gt;0,1/N386,"")</f>
        <v>1.053056844779337</v>
      </c>
    </row>
    <row r="387" spans="1:15">
      <c r="A387">
        <v>2</v>
      </c>
      <c r="B387" s="4">
        <f>Thiet_ke!$B$21</f>
        <v>4.30351707065885</v>
      </c>
      <c r="C387" s="4">
        <f>Dau_vao!$B$21+(Dau_vao!$B$19-Dau_vao!$B$21)*184/200</f>
        <v>2456.0</v>
      </c>
      <c r="D387" s="4">
        <f>2*PI()*C387*Thiet_ke!$B$7/(60*Thiet_ke!$B$15*B387)</f>
        <v>6.435911738151666</v>
      </c>
      <c r="E387" s="4">
        <f>D387*3.6</f>
        <v>23.169282257345998</v>
      </c>
      <c r="F387" s="4">
        <f>Thiet_ke!$B$12*(Dau_vao!$B$22*(C387/Dau_vao!$B$19)+Dau_vao!$B$23*(C387/Dau_vao!$B$19)^2-Dau_vao!$B$24*(C387/Dau_vao!$B$19)^3)</f>
        <v>113.25306818031773</v>
      </c>
      <c r="G387" s="4">
        <f>60000*F387/(2*PI()*C387)</f>
        <v>440.3449255998618</v>
      </c>
      <c r="H387" s="4">
        <f>G387*Thiet_ke!$B$15*B387*Dau_vao!$B$10/Thiet_ke!$B$7</f>
        <v>15661.375541086929</v>
      </c>
      <c r="I387" s="4">
        <f>IF(D387&lt;=Dau_vao!$B$14,Dau_vao!$B$13,Dau_vao!$B$13*(1+D387^2/1500))</f>
        <v>0.015</v>
      </c>
      <c r="J387" s="4">
        <f>Thiet_ke!$B$8*D387^2</f>
        <v>121.15630771123934</v>
      </c>
      <c r="K387" s="4">
        <f>Thiet_ke!$B$3*I387+J387</f>
        <v>1252.7398077112396</v>
      </c>
      <c r="L387" s="4">
        <f>(H387-J387)/Thiet_ke!$B$3</f>
        <v>0.2059974261737073</v>
      </c>
      <c r="M387" s="4">
        <f>1.05+0.05*B387^2</f>
        <v>1.9760129588726065</v>
      </c>
      <c r="N387" s="4">
        <f>(MIN(H387,Thiet_ke!$B$16)-K387)/(Thiet_ke!$B$2*M387)</f>
        <v>0.9482148091949154</v>
      </c>
      <c r="O387" s="4">
        <f>IF(N387&gt;0,1/N387,"")</f>
        <v>1.0546133537495084</v>
      </c>
    </row>
    <row r="388" spans="1:15">
      <c r="A388">
        <v>2</v>
      </c>
      <c r="B388" s="4">
        <f>Thiet_ke!$B$21</f>
        <v>4.30351707065885</v>
      </c>
      <c r="C388" s="4">
        <f>Dau_vao!$B$21+(Dau_vao!$B$19-Dau_vao!$B$21)*185/200</f>
        <v>2465.0</v>
      </c>
      <c r="D388" s="4">
        <f>2*PI()*C388*Thiet_ke!$B$7/(60*Thiet_ke!$B$15*B388)</f>
        <v>6.459496105270301</v>
      </c>
      <c r="E388" s="4">
        <f>D388*3.6</f>
        <v>23.254185978973084</v>
      </c>
      <c r="F388" s="4">
        <f>Thiet_ke!$B$12*(Dau_vao!$B$22*(C388/Dau_vao!$B$19)+Dau_vao!$B$23*(C388/Dau_vao!$B$19)^2-Dau_vao!$B$24*(C388/Dau_vao!$B$19)^3)</f>
        <v>113.51728562510766</v>
      </c>
      <c r="G388" s="4">
        <f>60000*F388/(2*PI()*C388)</f>
        <v>439.7607415888951</v>
      </c>
      <c r="H388" s="4">
        <f>G388*Thiet_ke!$B$15*B388*Dau_vao!$B$10/Thiet_ke!$B$7</f>
        <v>15640.598362450468</v>
      </c>
      <c r="I388" s="4">
        <f>IF(D388&lt;=Dau_vao!$B$14,Dau_vao!$B$13,Dau_vao!$B$13*(1+D388^2/1500))</f>
        <v>0.015</v>
      </c>
      <c r="J388" s="4">
        <f>Thiet_ke!$B$8*D388^2</f>
        <v>122.0458880569564</v>
      </c>
      <c r="K388" s="4">
        <f>Thiet_ke!$B$3*I388+J388</f>
        <v>1253.6293880569565</v>
      </c>
      <c r="L388" s="4">
        <f>(H388-J388)/Thiet_ke!$B$3</f>
        <v>0.20571021680318125</v>
      </c>
      <c r="M388" s="4">
        <f>1.05+0.05*B388^2</f>
        <v>1.9760129588726065</v>
      </c>
      <c r="N388" s="4">
        <f>(MIN(H388,Thiet_ke!$B$16)-K388)/(Thiet_ke!$B$2*M388)</f>
        <v>0.9467889461143069</v>
      </c>
      <c r="O388" s="4">
        <f>IF(N388&gt;0,1/N388,"")</f>
        <v>1.0562016002659043</v>
      </c>
    </row>
    <row r="389" spans="1:15">
      <c r="A389">
        <v>2</v>
      </c>
      <c r="B389" s="4">
        <f>Thiet_ke!$B$21</f>
        <v>4.30351707065885</v>
      </c>
      <c r="C389" s="4">
        <f>Dau_vao!$B$21+(Dau_vao!$B$19-Dau_vao!$B$21)*186/200</f>
        <v>2474.0</v>
      </c>
      <c r="D389" s="4">
        <f>2*PI()*C389*Thiet_ke!$B$7/(60*Thiet_ke!$B$15*B389)</f>
        <v>6.4830804723889335</v>
      </c>
      <c r="E389" s="4">
        <f>D389*3.6</f>
        <v>23.339089700600162</v>
      </c>
      <c r="F389" s="4">
        <f>Thiet_ke!$B$12*(Dau_vao!$B$22*(C389/Dau_vao!$B$19)+Dau_vao!$B$23*(C389/Dau_vao!$B$19)^2-Dau_vao!$B$24*(C389/Dau_vao!$B$19)^3)</f>
        <v>113.77773366988825</v>
      </c>
      <c r="G389" s="4">
        <f>60000*F389/(2*PI()*C389)</f>
        <v>439.1662585454136</v>
      </c>
      <c r="H389" s="4">
        <f>G389*Thiet_ke!$B$15*B389*Dau_vao!$B$10/Thiet_ke!$B$7</f>
        <v>15619.454886835103</v>
      </c>
      <c r="I389" s="4">
        <f>IF(D389&lt;=Dau_vao!$B$14,Dau_vao!$B$13,Dau_vao!$B$13*(1+D389^2/1500))</f>
        <v>0.015</v>
      </c>
      <c r="J389" s="4">
        <f>Thiet_ke!$B$8*D389^2</f>
        <v>122.93872230355186</v>
      </c>
      <c r="K389" s="4">
        <f>Thiet_ke!$B$3*I389+J389</f>
        <v>1254.522222303552</v>
      </c>
      <c r="L389" s="4">
        <f>(H389-J389)/Thiet_ke!$B$3</f>
        <v>0.20541810875465508</v>
      </c>
      <c r="M389" s="4">
        <f>1.05+0.05*B389^2</f>
        <v>1.9760129588726065</v>
      </c>
      <c r="N389" s="4">
        <f>(MIN(H389,Thiet_ke!$B$16)-K389)/(Thiet_ke!$B$2*M389)</f>
        <v>0.9453387633393534</v>
      </c>
      <c r="O389" s="4">
        <f>IF(N389&gt;0,1/N389,"")</f>
        <v>1.05782185051585</v>
      </c>
    </row>
    <row r="390" spans="1:15">
      <c r="A390">
        <v>2</v>
      </c>
      <c r="B390" s="4">
        <f>Thiet_ke!$B$21</f>
        <v>4.30351707065885</v>
      </c>
      <c r="C390" s="4">
        <f>Dau_vao!$B$21+(Dau_vao!$B$19-Dau_vao!$B$21)*187/200</f>
        <v>2483.0</v>
      </c>
      <c r="D390" s="4">
        <f>2*PI()*C390*Thiet_ke!$B$7/(60*Thiet_ke!$B$15*B390)</f>
        <v>6.506664839507567</v>
      </c>
      <c r="E390" s="4">
        <f>D390*3.6</f>
        <v>23.42399342222724</v>
      </c>
      <c r="F390" s="4">
        <f>Thiet_ke!$B$12*(Dau_vao!$B$22*(C390/Dau_vao!$B$19)+Dau_vao!$B$23*(C390/Dau_vao!$B$19)^2-Dau_vao!$B$24*(C390/Dau_vao!$B$19)^3)</f>
        <v>114.03438319483111</v>
      </c>
      <c r="G390" s="4">
        <f>60000*F390/(2*PI()*C390)</f>
        <v>438.56147646941764</v>
      </c>
      <c r="H390" s="4">
        <f>G390*Thiet_ke!$B$15*B390*Dau_vao!$B$10/Thiet_ke!$B$7</f>
        <v>15597.94511424084</v>
      </c>
      <c r="I390" s="4">
        <f>IF(D390&lt;=Dau_vao!$B$14,Dau_vao!$B$13,Dau_vao!$B$13*(1+D390^2/1500))</f>
        <v>0.015</v>
      </c>
      <c r="J390" s="4">
        <f>Thiet_ke!$B$8*D390^2</f>
        <v>123.8348104510258</v>
      </c>
      <c r="K390" s="4">
        <f>Thiet_ke!$B$3*I390+J390</f>
        <v>1255.418310451026</v>
      </c>
      <c r="L390" s="4">
        <f>(H390-J390)/Thiet_ke!$B$3</f>
        <v>0.2051211020281289</v>
      </c>
      <c r="M390" s="4">
        <f>1.05+0.05*B390^2</f>
        <v>1.9760129588726065</v>
      </c>
      <c r="N390" s="4">
        <f>(MIN(H390,Thiet_ke!$B$16)-K390)/(Thiet_ke!$B$2*M390)</f>
        <v>0.9438642608700557</v>
      </c>
      <c r="O390" s="4">
        <f>IF(N390&gt;0,1/N390,"")</f>
        <v>1.059474377256533</v>
      </c>
    </row>
    <row r="391" spans="1:15">
      <c r="A391">
        <v>2</v>
      </c>
      <c r="B391" s="4">
        <f>Thiet_ke!$B$21</f>
        <v>4.30351707065885</v>
      </c>
      <c r="C391" s="4">
        <f>Dau_vao!$B$21+(Dau_vao!$B$19-Dau_vao!$B$21)*188/200</f>
        <v>2492.0</v>
      </c>
      <c r="D391" s="4">
        <f>2*PI()*C391*Thiet_ke!$B$7/(60*Thiet_ke!$B$15*B391)</f>
        <v>6.530249206626201</v>
      </c>
      <c r="E391" s="4">
        <f>D391*3.6</f>
        <v>23.508897143854323</v>
      </c>
      <c r="F391" s="4">
        <f>Thiet_ke!$B$12*(Dau_vao!$B$22*(C391/Dau_vao!$B$19)+Dau_vao!$B$23*(C391/Dau_vao!$B$19)^2-Dau_vao!$B$24*(C391/Dau_vao!$B$19)^3)</f>
        <v>114.28720508010785</v>
      </c>
      <c r="G391" s="4">
        <f>60000*F391/(2*PI()*C391)</f>
        <v>437.94639536090705</v>
      </c>
      <c r="H391" s="4">
        <f>G391*Thiet_ke!$B$15*B391*Dau_vao!$B$10/Thiet_ke!$B$7</f>
        <v>15576.06904466767</v>
      </c>
      <c r="I391" s="4">
        <f>IF(D391&lt;=Dau_vao!$B$14,Dau_vao!$B$13,Dau_vao!$B$13*(1+D391^2/1500))</f>
        <v>0.015</v>
      </c>
      <c r="J391" s="4">
        <f>Thiet_ke!$B$8*D391^2</f>
        <v>124.73415249937823</v>
      </c>
      <c r="K391" s="4">
        <f>Thiet_ke!$B$3*I391+J391</f>
        <v>1256.3176524993785</v>
      </c>
      <c r="L391" s="4">
        <f>(H391-J391)/Thiet_ke!$B$3</f>
        <v>0.20481919662360254</v>
      </c>
      <c r="M391" s="4">
        <f>1.05+0.05*B391^2</f>
        <v>1.9760129588726065</v>
      </c>
      <c r="N391" s="4">
        <f>(MIN(H391,Thiet_ke!$B$16)-K391)/(Thiet_ke!$B$2*M391)</f>
        <v>0.9423654387064131</v>
      </c>
      <c r="O391" s="4">
        <f>IF(N391&gt;0,1/N391,"")</f>
        <v>1.061159459935948</v>
      </c>
    </row>
    <row r="392" spans="1:15">
      <c r="A392">
        <v>2</v>
      </c>
      <c r="B392" s="4">
        <f>Thiet_ke!$B$21</f>
        <v>4.30351707065885</v>
      </c>
      <c r="C392" s="4">
        <f>Dau_vao!$B$21+(Dau_vao!$B$19-Dau_vao!$B$21)*189/200</f>
        <v>2501.0</v>
      </c>
      <c r="D392" s="4">
        <f>2*PI()*C392*Thiet_ke!$B$7/(60*Thiet_ke!$B$15*B392)</f>
        <v>6.553833573744835</v>
      </c>
      <c r="E392" s="4">
        <f>D392*3.6</f>
        <v>23.593800865481406</v>
      </c>
      <c r="F392" s="4">
        <f>Thiet_ke!$B$12*(Dau_vao!$B$22*(C392/Dau_vao!$B$19)+Dau_vao!$B$23*(C392/Dau_vao!$B$19)^2-Dau_vao!$B$24*(C392/Dau_vao!$B$19)^3)</f>
        <v>114.5361702058901</v>
      </c>
      <c r="G392" s="4">
        <f>60000*F392/(2*PI()*C392)</f>
        <v>437.32101521988193</v>
      </c>
      <c r="H392" s="4">
        <f>G392*Thiet_ke!$B$15*B392*Dau_vao!$B$10/Thiet_ke!$B$7</f>
        <v>15553.826678115609</v>
      </c>
      <c r="I392" s="4">
        <f>IF(D392&lt;=Dau_vao!$B$14,Dau_vao!$B$13,Dau_vao!$B$13*(1+D392^2/1500))</f>
        <v>0.015</v>
      </c>
      <c r="J392" s="4">
        <f>Thiet_ke!$B$8*D392^2</f>
        <v>125.63674844860911</v>
      </c>
      <c r="K392" s="4">
        <f>Thiet_ke!$B$3*I392+J392</f>
        <v>1257.2202484486093</v>
      </c>
      <c r="L392" s="4">
        <f>(H392-J392)/Thiet_ke!$B$3</f>
        <v>0.20451239254107625</v>
      </c>
      <c r="M392" s="4">
        <f>1.05+0.05*B392^2</f>
        <v>1.9760129588726065</v>
      </c>
      <c r="N392" s="4">
        <f>(MIN(H392,Thiet_ke!$B$16)-K392)/(Thiet_ke!$B$2*M392)</f>
        <v>0.9408422968484265</v>
      </c>
      <c r="O392" s="4">
        <f>IF(N392&gt;0,1/N392,"")</f>
        <v>1.062877384817558</v>
      </c>
    </row>
    <row r="393" spans="1:15">
      <c r="A393">
        <v>2</v>
      </c>
      <c r="B393" s="4">
        <f>Thiet_ke!$B$21</f>
        <v>4.30351707065885</v>
      </c>
      <c r="C393" s="4">
        <f>Dau_vao!$B$21+(Dau_vao!$B$19-Dau_vao!$B$21)*190/200</f>
        <v>2510.0</v>
      </c>
      <c r="D393" s="4">
        <f>2*PI()*C393*Thiet_ke!$B$7/(60*Thiet_ke!$B$15*B393)</f>
        <v>6.5774179408634685</v>
      </c>
      <c r="E393" s="4">
        <f>D393*3.6</f>
        <v>23.678704587108488</v>
      </c>
      <c r="F393" s="4">
        <f>Thiet_ke!$B$12*(Dau_vao!$B$22*(C393/Dau_vao!$B$19)+Dau_vao!$B$23*(C393/Dau_vao!$B$19)^2-Dau_vao!$B$24*(C393/Dau_vao!$B$19)^3)</f>
        <v>114.78124945234941</v>
      </c>
      <c r="G393" s="4">
        <f>60000*F393/(2*PI()*C393)</f>
        <v>436.6853360463422</v>
      </c>
      <c r="H393" s="4">
        <f>G393*Thiet_ke!$B$15*B393*Dau_vao!$B$10/Thiet_ke!$B$7</f>
        <v>15531.218014584641</v>
      </c>
      <c r="I393" s="4">
        <f>IF(D393&lt;=Dau_vao!$B$14,Dau_vao!$B$13,Dau_vao!$B$13*(1+D393^2/1500))</f>
        <v>0.015</v>
      </c>
      <c r="J393" s="4">
        <f>Thiet_ke!$B$8*D393^2</f>
        <v>126.54259829871845</v>
      </c>
      <c r="K393" s="4">
        <f>Thiet_ke!$B$3*I393+J393</f>
        <v>1258.1260982987187</v>
      </c>
      <c r="L393" s="4">
        <f>(H393-J393)/Thiet_ke!$B$3</f>
        <v>0.20420068978054984</v>
      </c>
      <c r="M393" s="4">
        <f>1.05+0.05*B393^2</f>
        <v>1.9760129588726065</v>
      </c>
      <c r="N393" s="4">
        <f>(MIN(H393,Thiet_ke!$B$16)-K393)/(Thiet_ke!$B$2*M393)</f>
        <v>0.9392948352960949</v>
      </c>
      <c r="O393" s="4">
        <f>IF(N393&gt;0,1/N393,"")</f>
        <v>1.0646284451087915</v>
      </c>
    </row>
    <row r="394" spans="1:15">
      <c r="A394">
        <v>2</v>
      </c>
      <c r="B394" s="4">
        <f>Thiet_ke!$B$21</f>
        <v>4.30351707065885</v>
      </c>
      <c r="C394" s="4">
        <f>Dau_vao!$B$21+(Dau_vao!$B$19-Dau_vao!$B$21)*191/200</f>
        <v>2519.0</v>
      </c>
      <c r="D394" s="4">
        <f>2*PI()*C394*Thiet_ke!$B$7/(60*Thiet_ke!$B$15*B394)</f>
        <v>6.601002307982103</v>
      </c>
      <c r="E394" s="4">
        <f>D394*3.6</f>
        <v>23.763608308735574</v>
      </c>
      <c r="F394" s="4">
        <f>Thiet_ke!$B$12*(Dau_vao!$B$22*(C394/Dau_vao!$B$19)+Dau_vao!$B$23*(C394/Dau_vao!$B$19)^2-Dau_vao!$B$24*(C394/Dau_vao!$B$19)^3)</f>
        <v>115.02241369965739</v>
      </c>
      <c r="G394" s="4">
        <f>60000*F394/(2*PI()*C394)</f>
        <v>436.03935784028783</v>
      </c>
      <c r="H394" s="4">
        <f>G394*Thiet_ke!$B$15*B394*Dau_vao!$B$10/Thiet_ke!$B$7</f>
        <v>15508.243054074786</v>
      </c>
      <c r="I394" s="4">
        <f>IF(D394&lt;=Dau_vao!$B$14,Dau_vao!$B$13,Dau_vao!$B$13*(1+D394^2/1500))</f>
        <v>0.015</v>
      </c>
      <c r="J394" s="4">
        <f>Thiet_ke!$B$8*D394^2</f>
        <v>127.4517020497063</v>
      </c>
      <c r="K394" s="4">
        <f>Thiet_ke!$B$3*I394+J394</f>
        <v>1259.0352020497064</v>
      </c>
      <c r="L394" s="4">
        <f>(H394-J394)/Thiet_ke!$B$3</f>
        <v>0.20388408834202354</v>
      </c>
      <c r="M394" s="4">
        <f>1.05+0.05*B394^2</f>
        <v>1.9760129588726065</v>
      </c>
      <c r="N394" s="4">
        <f>(MIN(H394,Thiet_ke!$B$16)-K394)/(Thiet_ke!$B$2*M394)</f>
        <v>0.9377230540494197</v>
      </c>
      <c r="O394" s="4">
        <f>IF(N394&gt;0,1/N394,"")</f>
        <v>1.066412941093478</v>
      </c>
    </row>
    <row r="395" spans="1:15">
      <c r="A395">
        <v>2</v>
      </c>
      <c r="B395" s="4">
        <f>Thiet_ke!$B$21</f>
        <v>4.30351707065885</v>
      </c>
      <c r="C395" s="4">
        <f>Dau_vao!$B$21+(Dau_vao!$B$19-Dau_vao!$B$21)*192/200</f>
        <v>2528.0</v>
      </c>
      <c r="D395" s="4">
        <f>2*PI()*C395*Thiet_ke!$B$7/(60*Thiet_ke!$B$15*B395)</f>
        <v>6.624586675100737</v>
      </c>
      <c r="E395" s="4">
        <f>D395*3.6</f>
        <v>23.848512030362652</v>
      </c>
      <c r="F395" s="4">
        <f>Thiet_ke!$B$12*(Dau_vao!$B$22*(C395/Dau_vao!$B$19)+Dau_vao!$B$23*(C395/Dau_vao!$B$19)^2-Dau_vao!$B$24*(C395/Dau_vao!$B$19)^3)</f>
        <v>115.25963382798565</v>
      </c>
      <c r="G395" s="4">
        <f>60000*F395/(2*PI()*C395)</f>
        <v>435.3830806017188</v>
      </c>
      <c r="H395" s="4">
        <f>G395*Thiet_ke!$B$15*B395*Dau_vao!$B$10/Thiet_ke!$B$7</f>
        <v>15484.901796586026</v>
      </c>
      <c r="I395" s="4">
        <f>IF(D395&lt;=Dau_vao!$B$14,Dau_vao!$B$13,Dau_vao!$B$13*(1+D395^2/1500))</f>
        <v>0.015</v>
      </c>
      <c r="J395" s="4">
        <f>Thiet_ke!$B$8*D395^2</f>
        <v>128.36405970157256</v>
      </c>
      <c r="K395" s="4">
        <f>Thiet_ke!$B$3*I395+J395</f>
        <v>1259.9475597015728</v>
      </c>
      <c r="L395" s="4">
        <f>(H395-J395)/Thiet_ke!$B$3</f>
        <v>0.20356258822549708</v>
      </c>
      <c r="M395" s="4">
        <f>1.05+0.05*B395^2</f>
        <v>1.9760129588726065</v>
      </c>
      <c r="N395" s="4">
        <f>(MIN(H395,Thiet_ke!$B$16)-K395)/(Thiet_ke!$B$2*M395)</f>
        <v>0.9361269531083996</v>
      </c>
      <c r="O395" s="4">
        <f>IF(N395&gt;0,1/N395,"")</f>
        <v>1.06823118026835</v>
      </c>
    </row>
    <row r="396" spans="1:15">
      <c r="A396">
        <v>2</v>
      </c>
      <c r="B396" s="4">
        <f>Thiet_ke!$B$21</f>
        <v>4.30351707065885</v>
      </c>
      <c r="C396" s="4">
        <f>Dau_vao!$B$21+(Dau_vao!$B$19-Dau_vao!$B$21)*193/200</f>
        <v>2537.0</v>
      </c>
      <c r="D396" s="4">
        <f>2*PI()*C396*Thiet_ke!$B$7/(60*Thiet_ke!$B$15*B396)</f>
        <v>6.648171042219371</v>
      </c>
      <c r="E396" s="4">
        <f>D396*3.6</f>
        <v>23.933415751989735</v>
      </c>
      <c r="F396" s="4">
        <f>Thiet_ke!$B$12*(Dau_vao!$B$22*(C396/Dau_vao!$B$19)+Dau_vao!$B$23*(C396/Dau_vao!$B$19)^2-Dau_vao!$B$24*(C396/Dau_vao!$B$19)^3)</f>
        <v>115.49288071750577</v>
      </c>
      <c r="G396" s="4">
        <f>60000*F396/(2*PI()*C396)</f>
        <v>434.71650433063513</v>
      </c>
      <c r="H396" s="4">
        <f>G396*Thiet_ke!$B$15*B396*Dau_vao!$B$10/Thiet_ke!$B$7</f>
        <v>15461.194242118361</v>
      </c>
      <c r="I396" s="4">
        <f>IF(D396&lt;=Dau_vao!$B$14,Dau_vao!$B$13,Dau_vao!$B$13*(1+D396^2/1500))</f>
        <v>0.015</v>
      </c>
      <c r="J396" s="4">
        <f>Thiet_ke!$B$8*D396^2</f>
        <v>129.2796712543173</v>
      </c>
      <c r="K396" s="4">
        <f>Thiet_ke!$B$3*I396+J396</f>
        <v>1260.8631712543174</v>
      </c>
      <c r="L396" s="4">
        <f>(H396-J396)/Thiet_ke!$B$3</f>
        <v>0.20323618943097052</v>
      </c>
      <c r="M396" s="4">
        <f>1.05+0.05*B396^2</f>
        <v>1.9760129588726065</v>
      </c>
      <c r="N396" s="4">
        <f>(MIN(H396,Thiet_ke!$B$16)-K396)/(Thiet_ke!$B$2*M396)</f>
        <v>0.9345065324730348</v>
      </c>
      <c r="O396" s="4">
        <f>IF(N396&gt;0,1/N396,"")</f>
        <v>1.070083477483722</v>
      </c>
    </row>
    <row r="397" spans="1:15">
      <c r="A397">
        <v>2</v>
      </c>
      <c r="B397" s="4">
        <f>Thiet_ke!$B$21</f>
        <v>4.30351707065885</v>
      </c>
      <c r="C397" s="4">
        <f>Dau_vao!$B$21+(Dau_vao!$B$19-Dau_vao!$B$21)*194/200</f>
        <v>2546.0</v>
      </c>
      <c r="D397" s="4">
        <f>2*PI()*C397*Thiet_ke!$B$7/(60*Thiet_ke!$B$15*B397)</f>
        <v>6.671755409338005</v>
      </c>
      <c r="E397" s="4">
        <f>D397*3.6</f>
        <v>24.01831947361682</v>
      </c>
      <c r="F397" s="4">
        <f>Thiet_ke!$B$12*(Dau_vao!$B$22*(C397/Dau_vao!$B$19)+Dau_vao!$B$23*(C397/Dau_vao!$B$19)^2-Dau_vao!$B$24*(C397/Dau_vao!$B$19)^3)</f>
        <v>115.72212524838945</v>
      </c>
      <c r="G397" s="4">
        <f>60000*F397/(2*PI()*C397)</f>
        <v>434.0396290270371</v>
      </c>
      <c r="H397" s="4">
        <f>G397*Thiet_ke!$B$15*B397*Dau_vao!$B$10/Thiet_ke!$B$7</f>
        <v>15437.1203906718</v>
      </c>
      <c r="I397" s="4">
        <f>IF(D397&lt;=Dau_vao!$B$14,Dau_vao!$B$13,Dau_vao!$B$13*(1+D397^2/1500))</f>
        <v>0.015</v>
      </c>
      <c r="J397" s="4">
        <f>Thiet_ke!$B$8*D397^2</f>
        <v>130.19853670794052</v>
      </c>
      <c r="K397" s="4">
        <f>Thiet_ke!$B$3*I397+J397</f>
        <v>1261.7820367079407</v>
      </c>
      <c r="L397" s="4">
        <f>(H397-J397)/Thiet_ke!$B$3</f>
        <v>0.20290489195844397</v>
      </c>
      <c r="M397" s="4">
        <f>1.05+0.05*B397^2</f>
        <v>1.9760129588726065</v>
      </c>
      <c r="N397" s="4">
        <f>(MIN(H397,Thiet_ke!$B$16)-K397)/(Thiet_ke!$B$2*M397)</f>
        <v>0.9328617921433258</v>
      </c>
      <c r="O397" s="4">
        <f>IF(N397&gt;0,1/N397,"")</f>
        <v>1.0719701550884817</v>
      </c>
    </row>
    <row r="398" spans="1:15">
      <c r="A398">
        <v>2</v>
      </c>
      <c r="B398" s="4">
        <f>Thiet_ke!$B$21</f>
        <v>4.30351707065885</v>
      </c>
      <c r="C398" s="4">
        <f>Dau_vao!$B$21+(Dau_vao!$B$19-Dau_vao!$B$21)*195/200</f>
        <v>2555.0</v>
      </c>
      <c r="D398" s="4">
        <f>2*PI()*C398*Thiet_ke!$B$7/(60*Thiet_ke!$B$15*B398)</f>
        <v>6.695339776456639</v>
      </c>
      <c r="E398" s="4">
        <f>D398*3.6</f>
        <v>24.103223195243903</v>
      </c>
      <c r="F398" s="4">
        <f>Thiet_ke!$B$12*(Dau_vao!$B$22*(C398/Dau_vao!$B$19)+Dau_vao!$B$23*(C398/Dau_vao!$B$19)^2-Dau_vao!$B$24*(C398/Dau_vao!$B$19)^3)</f>
        <v>115.94733830080816</v>
      </c>
      <c r="G398" s="4">
        <f>60000*F398/(2*PI()*C398)</f>
        <v>433.3524546909243</v>
      </c>
      <c r="H398" s="4">
        <f>G398*Thiet_ke!$B$15*B398*Dau_vao!$B$10/Thiet_ke!$B$7</f>
        <v>15412.680242246339</v>
      </c>
      <c r="I398" s="4">
        <f>IF(D398&lt;=Dau_vao!$B$14,Dau_vao!$B$13,Dau_vao!$B$13*(1+D398^2/1500))</f>
        <v>0.015</v>
      </c>
      <c r="J398" s="4">
        <f>Thiet_ke!$B$8*D398^2</f>
        <v>131.12065606244212</v>
      </c>
      <c r="K398" s="4">
        <f>Thiet_ke!$B$3*I398+J398</f>
        <v>1262.7041560624423</v>
      </c>
      <c r="L398" s="4">
        <f>(H398-J398)/Thiet_ke!$B$3</f>
        <v>0.20256869580791734</v>
      </c>
      <c r="M398" s="4">
        <f>1.05+0.05*B398^2</f>
        <v>1.9760129588726065</v>
      </c>
      <c r="N398" s="4">
        <f>(MIN(H398,Thiet_ke!$B$16)-K398)/(Thiet_ke!$B$2*M398)</f>
        <v>0.9311927321192721</v>
      </c>
      <c r="O398" s="4">
        <f>IF(N398&gt;0,1/N398,"")</f>
        <v>1.0738915430795208</v>
      </c>
    </row>
    <row r="399" spans="1:15">
      <c r="A399">
        <v>2</v>
      </c>
      <c r="B399" s="4">
        <f>Thiet_ke!$B$21</f>
        <v>4.30351707065885</v>
      </c>
      <c r="C399" s="4">
        <f>Dau_vao!$B$21+(Dau_vao!$B$19-Dau_vao!$B$21)*196/200</f>
        <v>2564.0</v>
      </c>
      <c r="D399" s="4">
        <f>2*PI()*C399*Thiet_ke!$B$7/(60*Thiet_ke!$B$15*B399)</f>
        <v>6.718924143575274</v>
      </c>
      <c r="E399" s="4">
        <f>D399*3.6</f>
        <v>24.188126916870985</v>
      </c>
      <c r="F399" s="4">
        <f>Thiet_ke!$B$12*(Dau_vao!$B$22*(C399/Dau_vao!$B$19)+Dau_vao!$B$23*(C399/Dau_vao!$B$19)^2-Dau_vao!$B$24*(C399/Dau_vao!$B$19)^3)</f>
        <v>116.16849075493356</v>
      </c>
      <c r="G399" s="4">
        <f>60000*F399/(2*PI()*C399)</f>
        <v>432.654981322297</v>
      </c>
      <c r="H399" s="4">
        <f>G399*Thiet_ke!$B$15*B399*Dau_vao!$B$10/Thiet_ke!$B$7</f>
        <v>15387.87379684198</v>
      </c>
      <c r="I399" s="4">
        <f>IF(D399&lt;=Dau_vao!$B$14,Dau_vao!$B$13,Dau_vao!$B$13*(1+D399^2/1500))</f>
        <v>0.015</v>
      </c>
      <c r="J399" s="4">
        <f>Thiet_ke!$B$8*D399^2</f>
        <v>132.04602931782227</v>
      </c>
      <c r="K399" s="4">
        <f>Thiet_ke!$B$3*I399+J399</f>
        <v>1263.6295293178225</v>
      </c>
      <c r="L399" s="4">
        <f>(H399-J399)/Thiet_ke!$B$3</f>
        <v>0.2022276009793907</v>
      </c>
      <c r="M399" s="4">
        <f>1.05+0.05*B399^2</f>
        <v>1.9760129588726065</v>
      </c>
      <c r="N399" s="4">
        <f>(MIN(H399,Thiet_ke!$B$16)-K399)/(Thiet_ke!$B$2*M399)</f>
        <v>0.929499352400874</v>
      </c>
      <c r="O399" s="4">
        <f>IF(N399&gt;0,1/N399,"")</f>
        <v>1.0758479792557407</v>
      </c>
    </row>
    <row r="400" spans="1:15">
      <c r="A400">
        <v>2</v>
      </c>
      <c r="B400" s="4">
        <f>Thiet_ke!$B$21</f>
        <v>4.30351707065885</v>
      </c>
      <c r="C400" s="4">
        <f>Dau_vao!$B$21+(Dau_vao!$B$19-Dau_vao!$B$21)*197/200</f>
        <v>2573.0</v>
      </c>
      <c r="D400" s="4">
        <f>2*PI()*C400*Thiet_ke!$B$7/(60*Thiet_ke!$B$15*B400)</f>
        <v>6.742508510693907</v>
      </c>
      <c r="E400" s="4">
        <f>D400*3.6</f>
        <v>24.273030638498064</v>
      </c>
      <c r="F400" s="4">
        <f>Thiet_ke!$B$12*(Dau_vao!$B$22*(C400/Dau_vao!$B$19)+Dau_vao!$B$23*(C400/Dau_vao!$B$19)^2-Dau_vao!$B$24*(C400/Dau_vao!$B$19)^3)</f>
        <v>116.38555349093728</v>
      </c>
      <c r="G400" s="4">
        <f>60000*F400/(2*PI()*C400)</f>
        <v>431.94720892115504</v>
      </c>
      <c r="H400" s="4">
        <f>G400*Thiet_ke!$B$15*B400*Dau_vao!$B$10/Thiet_ke!$B$7</f>
        <v>15362.701054458723</v>
      </c>
      <c r="I400" s="4">
        <f>IF(D400&lt;=Dau_vao!$B$14,Dau_vao!$B$13,Dau_vao!$B$13*(1+D400^2/1500))</f>
        <v>0.015</v>
      </c>
      <c r="J400" s="4">
        <f>Thiet_ke!$B$8*D400^2</f>
        <v>132.97465647408083</v>
      </c>
      <c r="K400" s="4">
        <f>Thiet_ke!$B$3*I400+J400</f>
        <v>1264.558156474081</v>
      </c>
      <c r="L400" s="4">
        <f>(H400-J400)/Thiet_ke!$B$3</f>
        <v>0.201881607472864</v>
      </c>
      <c r="M400" s="4">
        <f>1.05+0.05*B400^2</f>
        <v>1.9760129588726065</v>
      </c>
      <c r="N400" s="4">
        <f>(MIN(H400,Thiet_ke!$B$16)-K400)/(Thiet_ke!$B$2*M400)</f>
        <v>0.9277816529881318</v>
      </c>
      <c r="O400" s="4">
        <f>IF(N400&gt;0,1/N400,"")</f>
        <v>1.077839809376778</v>
      </c>
    </row>
    <row r="401" spans="1:15">
      <c r="A401">
        <v>2</v>
      </c>
      <c r="B401" s="4">
        <f>Thiet_ke!$B$21</f>
        <v>4.30351707065885</v>
      </c>
      <c r="C401" s="4">
        <f>Dau_vao!$B$21+(Dau_vao!$B$19-Dau_vao!$B$21)*198/200</f>
        <v>2582.0</v>
      </c>
      <c r="D401" s="4">
        <f>2*PI()*C401*Thiet_ke!$B$7/(60*Thiet_ke!$B$15*B401)</f>
        <v>6.766092877812541</v>
      </c>
      <c r="E401" s="4">
        <f>D401*3.6</f>
        <v>24.35793436012515</v>
      </c>
      <c r="F401" s="4">
        <f>Thiet_ke!$B$12*(Dau_vao!$B$22*(C401/Dau_vao!$B$19)+Dau_vao!$B$23*(C401/Dau_vao!$B$19)^2-Dau_vao!$B$24*(C401/Dau_vao!$B$19)^3)</f>
        <v>116.59849738899089</v>
      </c>
      <c r="G401" s="4">
        <f>60000*F401/(2*PI()*C401)</f>
        <v>431.2291374874985</v>
      </c>
      <c r="H401" s="4">
        <f>G401*Thiet_ke!$B$15*B401*Dau_vao!$B$10/Thiet_ke!$B$7</f>
        <v>15337.162015096561</v>
      </c>
      <c r="I401" s="4">
        <f>IF(D401&lt;=Dau_vao!$B$14,Dau_vao!$B$13,Dau_vao!$B$13*(1+D401^2/1500))</f>
        <v>0.015</v>
      </c>
      <c r="J401" s="4">
        <f>Thiet_ke!$B$8*D401^2</f>
        <v>133.90653753121788</v>
      </c>
      <c r="K401" s="4">
        <f>Thiet_ke!$B$3*I401+J401</f>
        <v>1265.4900375312181</v>
      </c>
      <c r="L401" s="4">
        <f>(H401-J401)/Thiet_ke!$B$3</f>
        <v>0.2015307152883372</v>
      </c>
      <c r="M401" s="4">
        <f>1.05+0.05*B401^2</f>
        <v>1.9760129588726065</v>
      </c>
      <c r="N401" s="4">
        <f>(MIN(H401,Thiet_ke!$B$16)-K401)/(Thiet_ke!$B$2*M401)</f>
        <v>0.9260396338810446</v>
      </c>
      <c r="O401" s="4">
        <f>IF(N401&gt;0,1/N401,"")</f>
        <v>1.0798673873265947</v>
      </c>
    </row>
    <row r="402" spans="1:15">
      <c r="A402">
        <v>2</v>
      </c>
      <c r="B402" s="4">
        <f>Thiet_ke!$B$21</f>
        <v>4.30351707065885</v>
      </c>
      <c r="C402" s="4">
        <f>Dau_vao!$B$21+(Dau_vao!$B$19-Dau_vao!$B$21)*199/200</f>
        <v>2591.0</v>
      </c>
      <c r="D402" s="4">
        <f>2*PI()*C402*Thiet_ke!$B$7/(60*Thiet_ke!$B$15*B402)</f>
        <v>6.789677244931174</v>
      </c>
      <c r="E402" s="4">
        <f>D402*3.6</f>
        <v>24.442838081752228</v>
      </c>
      <c r="F402" s="4">
        <f>Thiet_ke!$B$12*(Dau_vao!$B$22*(C402/Dau_vao!$B$19)+Dau_vao!$B$23*(C402/Dau_vao!$B$19)^2-Dau_vao!$B$24*(C402/Dau_vao!$B$19)^3)</f>
        <v>116.80729332926596</v>
      </c>
      <c r="G402" s="4">
        <f>60000*F402/(2*PI()*C402)</f>
        <v>430.5007670213273</v>
      </c>
      <c r="H402" s="4">
        <f>G402*Thiet_ke!$B$15*B402*Dau_vao!$B$10/Thiet_ke!$B$7</f>
        <v>15311.2566787555</v>
      </c>
      <c r="I402" s="4">
        <f>IF(D402&lt;=Dau_vao!$B$14,Dau_vao!$B$13,Dau_vao!$B$13*(1+D402^2/1500))</f>
        <v>0.015</v>
      </c>
      <c r="J402" s="4">
        <f>Thiet_ke!$B$8*D402^2</f>
        <v>134.84167248923333</v>
      </c>
      <c r="K402" s="4">
        <f>Thiet_ke!$B$3*I402+J402</f>
        <v>1266.4251724892335</v>
      </c>
      <c r="L402" s="4">
        <f>(H402-J402)/Thiet_ke!$B$3</f>
        <v>0.20117492442581036</v>
      </c>
      <c r="M402" s="4">
        <f>1.05+0.05*B402^2</f>
        <v>1.9760129588726065</v>
      </c>
      <c r="N402" s="4">
        <f>(MIN(H402,Thiet_ke!$B$16)-K402)/(Thiet_ke!$B$2*M402)</f>
        <v>0.9242732950796131</v>
      </c>
      <c r="O402" s="4">
        <f>IF(N402&gt;0,1/N402,"")</f>
        <v>1.0819310752820832</v>
      </c>
    </row>
    <row r="403" spans="1:15">
      <c r="A403">
        <v>2</v>
      </c>
      <c r="B403" s="4">
        <f>Thiet_ke!$B$21</f>
        <v>4.30351707065885</v>
      </c>
      <c r="C403" s="4">
        <f>Dau_vao!$B$21+(Dau_vao!$B$19-Dau_vao!$B$21)*200/200</f>
        <v>2600.0</v>
      </c>
      <c r="D403" s="4">
        <f>2*PI()*C403*Thiet_ke!$B$7/(60*Thiet_ke!$B$15*B403)</f>
        <v>6.813261612049808</v>
      </c>
      <c r="E403" s="4">
        <f>D403*3.6</f>
        <v>24.52774180337931</v>
      </c>
      <c r="F403" s="4">
        <f>Thiet_ke!$B$12*(Dau_vao!$B$22*(C403/Dau_vao!$B$19)+Dau_vao!$B$23*(C403/Dau_vao!$B$19)^2-Dau_vao!$B$24*(C403/Dau_vao!$B$19)^3)</f>
        <v>117.01191219193416</v>
      </c>
      <c r="G403" s="4">
        <f>60000*F403/(2*PI()*C403)</f>
        <v>429.7620975226416</v>
      </c>
      <c r="H403" s="4">
        <f>G403*Thiet_ke!$B$15*B403*Dau_vao!$B$10/Thiet_ke!$B$7</f>
        <v>15284.985045435546</v>
      </c>
      <c r="I403" s="4">
        <f>IF(D403&lt;=Dau_vao!$B$14,Dau_vao!$B$13,Dau_vao!$B$13*(1+D403^2/1500))</f>
        <v>0.015</v>
      </c>
      <c r="J403" s="4">
        <f>Thiet_ke!$B$8*D403^2</f>
        <v>135.78006134812728</v>
      </c>
      <c r="K403" s="4">
        <f>Thiet_ke!$B$3*I403+J403</f>
        <v>1267.3635613481274</v>
      </c>
      <c r="L403" s="4">
        <f>(H403-J403)/Thiet_ke!$B$3</f>
        <v>0.20081423488528355</v>
      </c>
      <c r="M403" s="4">
        <f>1.05+0.05*B403^2</f>
        <v>1.9760129588726065</v>
      </c>
      <c r="N403" s="4">
        <f>(MIN(H403,Thiet_ke!$B$16)-K403)/(Thiet_ke!$B$2*M403)</f>
        <v>0.9224826365838373</v>
      </c>
      <c r="O403" s="4">
        <f>IF(N403&gt;0,1/N403,"")</f>
        <v>1.084031243886852</v>
      </c>
    </row>
    <row r="404" spans="1:15">
      <c r="A404">
        <v>3</v>
      </c>
      <c r="B404" s="4">
        <f>Thiet_ke!$B$22</f>
        <v>2.6457513110645907</v>
      </c>
      <c r="C404" s="4">
        <f>Dau_vao!$B$21+(Dau_vao!$B$19-Dau_vao!$B$21)*0/200</f>
        <v>800.0</v>
      </c>
      <c r="D404" s="4">
        <f>2*PI()*C404*Thiet_ke!$B$7/(60*Thiet_ke!$B$15*B404)</f>
        <v>3.4099358913463047</v>
      </c>
      <c r="E404" s="4">
        <f>D404*3.6</f>
        <v>12.275769208846697</v>
      </c>
      <c r="F404" s="4">
        <f>Thiet_ke!$B$12*(Dau_vao!$B$22*(C404/Dau_vao!$B$19)+Dau_vao!$B$23*(C404/Dau_vao!$B$19)^2-Dau_vao!$B$24*(C404/Dau_vao!$B$19)^3)</f>
        <v>31.210277899168606</v>
      </c>
      <c r="G404" s="4">
        <f>60000*F404/(2*PI()*C404)</f>
        <v>372.54525021933136</v>
      </c>
      <c r="H404" s="4">
        <f>G404*Thiet_ke!$B$15*B404*Dau_vao!$B$10/Thiet_ke!$B$7</f>
        <v>8145.944151252985</v>
      </c>
      <c r="I404" s="4">
        <f>IF(D404&lt;=Dau_vao!$B$14,Dau_vao!$B$13,Dau_vao!$B$13*(1+D404^2/1500))</f>
        <v>0.015</v>
      </c>
      <c r="J404" s="4">
        <f>Thiet_ke!$B$8*D404^2</f>
        <v>34.01091364054327</v>
      </c>
      <c r="K404" s="4">
        <f>Thiet_ke!$B$3*I404+J404</f>
        <v>1165.5944136405435</v>
      </c>
      <c r="L404" s="4">
        <f>(H404-J404)/Thiet_ke!$B$3</f>
        <v>0.10752984518083429</v>
      </c>
      <c r="M404" s="4">
        <f>1.05+0.05*B404^2</f>
        <v>1.4000000000000001</v>
      </c>
      <c r="N404" s="4">
        <f>(MIN(H404,Thiet_ke!$B$16)-K404)/(Thiet_ke!$B$2*M404)</f>
        <v>0.6483698437314175</v>
      </c>
      <c r="O404" s="4">
        <f>IF(N404&gt;0,1/N404,"")</f>
        <v>1.5423295973250766</v>
      </c>
    </row>
    <row r="405" spans="1:15">
      <c r="A405">
        <v>3</v>
      </c>
      <c r="B405" s="4">
        <f>Thiet_ke!$B$22</f>
        <v>2.6457513110645907</v>
      </c>
      <c r="C405" s="4">
        <f>Dau_vao!$B$21+(Dau_vao!$B$19-Dau_vao!$B$21)*1/200</f>
        <v>809.0</v>
      </c>
      <c r="D405" s="4">
        <f>2*PI()*C405*Thiet_ke!$B$7/(60*Thiet_ke!$B$15*B405)</f>
        <v>3.4482976701239503</v>
      </c>
      <c r="E405" s="4">
        <f>D405*3.6</f>
        <v>12.413871612446222</v>
      </c>
      <c r="F405" s="4">
        <f>Thiet_ke!$B$12*(Dau_vao!$B$22*(C405/Dau_vao!$B$19)+Dau_vao!$B$23*(C405/Dau_vao!$B$19)^2-Dau_vao!$B$24*(C405/Dau_vao!$B$19)^3)</f>
        <v>31.67244546633681</v>
      </c>
      <c r="G405" s="4">
        <f>60000*F405/(2*PI()*C405)</f>
        <v>373.8560881910502</v>
      </c>
      <c r="H405" s="4">
        <f>G405*Thiet_ke!$B$15*B405*Dau_vao!$B$10/Thiet_ke!$B$7</f>
        <v>8174.606475903954</v>
      </c>
      <c r="I405" s="4">
        <f>IF(D405&lt;=Dau_vao!$B$14,Dau_vao!$B$13,Dau_vao!$B$13*(1+D405^2/1500))</f>
        <v>0.015</v>
      </c>
      <c r="J405" s="4">
        <f>Thiet_ke!$B$8*D405^2</f>
        <v>34.780463703713124</v>
      </c>
      <c r="K405" s="4">
        <f>Thiet_ke!$B$3*I405+J405</f>
        <v>1166.3639637037134</v>
      </c>
      <c r="L405" s="4">
        <f>(H405-J405)/Thiet_ke!$B$3</f>
        <v>0.10789958512385837</v>
      </c>
      <c r="M405" s="4">
        <f>1.05+0.05*B405^2</f>
        <v>1.4000000000000001</v>
      </c>
      <c r="N405" s="4">
        <f>(MIN(H405,Thiet_ke!$B$16)-K405)/(Thiet_ke!$B$2*M405)</f>
        <v>0.650960664332179</v>
      </c>
      <c r="O405" s="4">
        <f>IF(N405&gt;0,1/N405,"")</f>
        <v>1.5361911322643444</v>
      </c>
    </row>
    <row r="406" spans="1:15">
      <c r="A406">
        <v>3</v>
      </c>
      <c r="B406" s="4">
        <f>Thiet_ke!$B$22</f>
        <v>2.6457513110645907</v>
      </c>
      <c r="C406" s="4">
        <f>Dau_vao!$B$21+(Dau_vao!$B$19-Dau_vao!$B$21)*2/200</f>
        <v>818.0</v>
      </c>
      <c r="D406" s="4">
        <f>2*PI()*C406*Thiet_ke!$B$7/(60*Thiet_ke!$B$15*B406)</f>
        <v>3.4866594489015963</v>
      </c>
      <c r="E406" s="4">
        <f>D406*3.6</f>
        <v>12.551974016045747</v>
      </c>
      <c r="F406" s="4">
        <f>Thiet_ke!$B$12*(Dau_vao!$B$22*(C406/Dau_vao!$B$19)+Dau_vao!$B$23*(C406/Dau_vao!$B$19)^2-Dau_vao!$B$24*(C406/Dau_vao!$B$19)^3)</f>
        <v>32.13620168192096</v>
      </c>
      <c r="G406" s="4">
        <f>60000*F406/(2*PI()*C406)</f>
        <v>375.15662713025444</v>
      </c>
      <c r="H406" s="4">
        <f>G406*Thiet_ke!$B$15*B406*Dau_vao!$B$10/Thiet_ke!$B$7</f>
        <v>8203.043605511835</v>
      </c>
      <c r="I406" s="4">
        <f>IF(D406&lt;=Dau_vao!$B$14,Dau_vao!$B$13,Dau_vao!$B$13*(1+D406^2/1500))</f>
        <v>0.015</v>
      </c>
      <c r="J406" s="4">
        <f>Thiet_ke!$B$8*D406^2</f>
        <v>35.55862277939824</v>
      </c>
      <c r="K406" s="4">
        <f>Thiet_ke!$B$3*I406+J406</f>
        <v>1167.1421227793985</v>
      </c>
      <c r="L406" s="4">
        <f>(H406-J406)/Thiet_ke!$B$3</f>
        <v>0.10826622581628889</v>
      </c>
      <c r="M406" s="4">
        <f>1.05+0.05*B406^2</f>
        <v>1.4000000000000001</v>
      </c>
      <c r="N406" s="4">
        <f>(MIN(H406,Thiet_ke!$B$16)-K406)/(Thiet_ke!$B$2*M406)</f>
        <v>0.6535297680412815</v>
      </c>
      <c r="O406" s="4">
        <f>IF(N406&gt;0,1/N406,"")</f>
        <v>1.5301521811273224</v>
      </c>
    </row>
    <row r="407" spans="1:15">
      <c r="A407">
        <v>3</v>
      </c>
      <c r="B407" s="4">
        <f>Thiet_ke!$B$22</f>
        <v>2.6457513110645907</v>
      </c>
      <c r="C407" s="4">
        <f>Dau_vao!$B$21+(Dau_vao!$B$19-Dau_vao!$B$21)*3/200</f>
        <v>827.0</v>
      </c>
      <c r="D407" s="4">
        <f>2*PI()*C407*Thiet_ke!$B$7/(60*Thiet_ke!$B$15*B407)</f>
        <v>3.525021227679242</v>
      </c>
      <c r="E407" s="4">
        <f>D407*3.6</f>
        <v>12.690076419645271</v>
      </c>
      <c r="F407" s="4">
        <f>Thiet_ke!$B$12*(Dau_vao!$B$22*(C407/Dau_vao!$B$19)+Dau_vao!$B$23*(C407/Dau_vao!$B$19)^2-Dau_vao!$B$24*(C407/Dau_vao!$B$19)^3)</f>
        <v>32.60151742609266</v>
      </c>
      <c r="G407" s="4">
        <f>60000*F407/(2*PI()*C407)</f>
        <v>376.44686703694407</v>
      </c>
      <c r="H407" s="4">
        <f>G407*Thiet_ke!$B$15*B407*Dau_vao!$B$10/Thiet_ke!$B$7</f>
        <v>8231.255540076627</v>
      </c>
      <c r="I407" s="4">
        <f>IF(D407&lt;=Dau_vao!$B$14,Dau_vao!$B$13,Dau_vao!$B$13*(1+D407^2/1500))</f>
        <v>0.015</v>
      </c>
      <c r="J407" s="4">
        <f>Thiet_ke!$B$8*D407^2</f>
        <v>36.34539086759862</v>
      </c>
      <c r="K407" s="4">
        <f>Thiet_ke!$B$3*I407+J407</f>
        <v>1167.9288908675987</v>
      </c>
      <c r="L407" s="4">
        <f>(H407-J407)/Thiet_ke!$B$3</f>
        <v>0.10862976725812581</v>
      </c>
      <c r="M407" s="4">
        <f>1.05+0.05*B407^2</f>
        <v>1.4000000000000001</v>
      </c>
      <c r="N407" s="4">
        <f>(MIN(H407,Thiet_ke!$B$16)-K407)/(Thiet_ke!$B$2*M407)</f>
        <v>0.6560771548587244</v>
      </c>
      <c r="O407" s="4">
        <f>IF(N407&gt;0,1/N407,"")</f>
        <v>1.5242109751791826</v>
      </c>
    </row>
    <row r="408" spans="1:15">
      <c r="A408">
        <v>3</v>
      </c>
      <c r="B408" s="4">
        <f>Thiet_ke!$B$22</f>
        <v>2.6457513110645907</v>
      </c>
      <c r="C408" s="4">
        <f>Dau_vao!$B$21+(Dau_vao!$B$19-Dau_vao!$B$21)*4/200</f>
        <v>836.0</v>
      </c>
      <c r="D408" s="4">
        <f>2*PI()*C408*Thiet_ke!$B$7/(60*Thiet_ke!$B$15*B408)</f>
        <v>3.5633830064568888</v>
      </c>
      <c r="E408" s="4">
        <f>D408*3.6</f>
        <v>12.8281788232448</v>
      </c>
      <c r="F408" s="4">
        <f>Thiet_ke!$B$12*(Dau_vao!$B$22*(C408/Dau_vao!$B$19)+Dau_vao!$B$23*(C408/Dau_vao!$B$19)^2-Dau_vao!$B$24*(C408/Dau_vao!$B$19)^3)</f>
        <v>33.068363579023526</v>
      </c>
      <c r="G408" s="4">
        <f>60000*F408/(2*PI()*C408)</f>
        <v>377.7268079111192</v>
      </c>
      <c r="H408" s="4">
        <f>G408*Thiet_ke!$B$15*B408*Dau_vao!$B$10/Thiet_ke!$B$7</f>
        <v>8259.242279598331</v>
      </c>
      <c r="I408" s="4">
        <f>IF(D408&lt;=Dau_vao!$B$14,Dau_vao!$B$13,Dau_vao!$B$13*(1+D408^2/1500))</f>
        <v>0.015</v>
      </c>
      <c r="J408" s="4">
        <f>Thiet_ke!$B$8*D408^2</f>
        <v>37.14076796831428</v>
      </c>
      <c r="K408" s="4">
        <f>Thiet_ke!$B$3*I408+J408</f>
        <v>1168.7242679683145</v>
      </c>
      <c r="L408" s="4">
        <f>(H408-J408)/Thiet_ke!$B$3</f>
        <v>0.10899020944936917</v>
      </c>
      <c r="M408" s="4">
        <f>1.05+0.05*B408^2</f>
        <v>1.4000000000000001</v>
      </c>
      <c r="N408" s="4">
        <f>(MIN(H408,Thiet_ke!$B$16)-K408)/(Thiet_ke!$B$2*M408)</f>
        <v>0.6586028247845082</v>
      </c>
      <c r="O408" s="4">
        <f>IF(N408&gt;0,1/N408,"")</f>
        <v>1.5183657925050587</v>
      </c>
    </row>
    <row r="409" spans="1:15">
      <c r="A409">
        <v>3</v>
      </c>
      <c r="B409" s="4">
        <f>Thiet_ke!$B$22</f>
        <v>2.6457513110645907</v>
      </c>
      <c r="C409" s="4">
        <f>Dau_vao!$B$21+(Dau_vao!$B$19-Dau_vao!$B$21)*5/200</f>
        <v>845.0</v>
      </c>
      <c r="D409" s="4">
        <f>2*PI()*C409*Thiet_ke!$B$7/(60*Thiet_ke!$B$15*B409)</f>
        <v>3.6017447852345343</v>
      </c>
      <c r="E409" s="4">
        <f>D409*3.6</f>
        <v>12.966281226844323</v>
      </c>
      <c r="F409" s="4">
        <f>Thiet_ke!$B$12*(Dau_vao!$B$22*(C409/Dau_vao!$B$19)+Dau_vao!$B$23*(C409/Dau_vao!$B$19)^2-Dau_vao!$B$24*(C409/Dau_vao!$B$19)^3)</f>
        <v>33.53671102088513</v>
      </c>
      <c r="G409" s="4">
        <f>60000*F409/(2*PI()*C409)</f>
        <v>378.9964497527796</v>
      </c>
      <c r="H409" s="4">
        <f>G409*Thiet_ke!$B$15*B409*Dau_vao!$B$10/Thiet_ke!$B$7</f>
        <v>8287.003824076943</v>
      </c>
      <c r="I409" s="4">
        <f>IF(D409&lt;=Dau_vao!$B$14,Dau_vao!$B$13,Dau_vao!$B$13*(1+D409^2/1500))</f>
        <v>0.015</v>
      </c>
      <c r="J409" s="4">
        <f>Thiet_ke!$B$8*D409^2</f>
        <v>37.94475408154518</v>
      </c>
      <c r="K409" s="4">
        <f>Thiet_ke!$B$3*I409+J409</f>
        <v>1169.5282540815454</v>
      </c>
      <c r="L409" s="4">
        <f>(H409-J409)/Thiet_ke!$B$3</f>
        <v>0.10934755239001889</v>
      </c>
      <c r="M409" s="4">
        <f>1.05+0.05*B409^2</f>
        <v>1.4000000000000001</v>
      </c>
      <c r="N409" s="4">
        <f>(MIN(H409,Thiet_ke!$B$16)-K409)/(Thiet_ke!$B$2*M409)</f>
        <v>0.6611067778186324</v>
      </c>
      <c r="O409" s="4">
        <f>IF(N409&gt;0,1/N409,"")</f>
        <v>1.5126149565423748</v>
      </c>
    </row>
    <row r="410" spans="1:15">
      <c r="A410">
        <v>3</v>
      </c>
      <c r="B410" s="4">
        <f>Thiet_ke!$B$22</f>
        <v>2.6457513110645907</v>
      </c>
      <c r="C410" s="4">
        <f>Dau_vao!$B$21+(Dau_vao!$B$19-Dau_vao!$B$21)*6/200</f>
        <v>854.0</v>
      </c>
      <c r="D410" s="4">
        <f>2*PI()*C410*Thiet_ke!$B$7/(60*Thiet_ke!$B$15*B410)</f>
        <v>3.64010656401218</v>
      </c>
      <c r="E410" s="4">
        <f>D410*3.6</f>
        <v>13.104383630443849</v>
      </c>
      <c r="F410" s="4">
        <f>Thiet_ke!$B$12*(Dau_vao!$B$22*(C410/Dau_vao!$B$19)+Dau_vao!$B$23*(C410/Dau_vao!$B$19)^2-Dau_vao!$B$24*(C410/Dau_vao!$B$19)^3)</f>
        <v>34.006530631849095</v>
      </c>
      <c r="G410" s="4">
        <f>60000*F410/(2*PI()*C410)</f>
        <v>380.25579256192543</v>
      </c>
      <c r="H410" s="4">
        <f>G410*Thiet_ke!$B$15*B410*Dau_vao!$B$10/Thiet_ke!$B$7</f>
        <v>8314.540173512467</v>
      </c>
      <c r="I410" s="4">
        <f>IF(D410&lt;=Dau_vao!$B$14,Dau_vao!$B$13,Dau_vao!$B$13*(1+D410^2/1500))</f>
        <v>0.015</v>
      </c>
      <c r="J410" s="4">
        <f>Thiet_ke!$B$8*D410^2</f>
        <v>38.757349207291334</v>
      </c>
      <c r="K410" s="4">
        <f>Thiet_ke!$B$3*I410+J410</f>
        <v>1170.3408492072915</v>
      </c>
      <c r="L410" s="4">
        <f>(H410-J410)/Thiet_ke!$B$3</f>
        <v>0.10970179608007506</v>
      </c>
      <c r="M410" s="4">
        <f>1.05+0.05*B410^2</f>
        <v>1.4000000000000001</v>
      </c>
      <c r="N410" s="4">
        <f>(MIN(H410,Thiet_ke!$B$16)-K410)/(Thiet_ke!$B$2*M410)</f>
        <v>0.6635890139610974</v>
      </c>
      <c r="O410" s="4">
        <f>IF(N410&gt;0,1/N410,"")</f>
        <v>1.5069568346690931</v>
      </c>
    </row>
    <row r="411" spans="1:15">
      <c r="A411">
        <v>3</v>
      </c>
      <c r="B411" s="4">
        <f>Thiet_ke!$B$22</f>
        <v>2.6457513110645907</v>
      </c>
      <c r="C411" s="4">
        <f>Dau_vao!$B$21+(Dau_vao!$B$19-Dau_vao!$B$21)*7/200</f>
        <v>863.0</v>
      </c>
      <c r="D411" s="4">
        <f>2*PI()*C411*Thiet_ke!$B$7/(60*Thiet_ke!$B$15*B411)</f>
        <v>3.6784683427898255</v>
      </c>
      <c r="E411" s="4">
        <f>D411*3.6</f>
        <v>13.242486034043372</v>
      </c>
      <c r="F411" s="4">
        <f>Thiet_ke!$B$12*(Dau_vao!$B$22*(C411/Dau_vao!$B$19)+Dau_vao!$B$23*(C411/Dau_vao!$B$19)^2-Dau_vao!$B$24*(C411/Dau_vao!$B$19)^3)</f>
        <v>34.47779329208702</v>
      </c>
      <c r="G411" s="4">
        <f>60000*F411/(2*PI()*C411)</f>
        <v>381.50483633855674</v>
      </c>
      <c r="H411" s="4">
        <f>G411*Thiet_ke!$B$15*B411*Dau_vao!$B$10/Thiet_ke!$B$7</f>
        <v>8341.8513279049</v>
      </c>
      <c r="I411" s="4">
        <f>IF(D411&lt;=Dau_vao!$B$14,Dau_vao!$B$13,Dau_vao!$B$13*(1+D411^2/1500))</f>
        <v>0.015</v>
      </c>
      <c r="J411" s="4">
        <f>Thiet_ke!$B$8*D411^2</f>
        <v>39.578553345552756</v>
      </c>
      <c r="K411" s="4">
        <f>Thiet_ke!$B$3*I411+J411</f>
        <v>1171.162053345553</v>
      </c>
      <c r="L411" s="4">
        <f>(H411-J411)/Thiet_ke!$B$3</f>
        <v>0.11005294051953762</v>
      </c>
      <c r="M411" s="4">
        <f>1.05+0.05*B411^2</f>
        <v>1.4000000000000001</v>
      </c>
      <c r="N411" s="4">
        <f>(MIN(H411,Thiet_ke!$B$16)-K411)/(Thiet_ke!$B$2*M411)</f>
        <v>0.6660495332119029</v>
      </c>
      <c r="O411" s="4">
        <f>IF(N411&gt;0,1/N411,"")</f>
        <v>1.5013898368454395</v>
      </c>
    </row>
    <row r="412" spans="1:15">
      <c r="A412">
        <v>3</v>
      </c>
      <c r="B412" s="4">
        <f>Thiet_ke!$B$22</f>
        <v>2.6457513110645907</v>
      </c>
      <c r="C412" s="4">
        <f>Dau_vao!$B$21+(Dau_vao!$B$19-Dau_vao!$B$21)*8/200</f>
        <v>872.0</v>
      </c>
      <c r="D412" s="4">
        <f>2*PI()*C412*Thiet_ke!$B$7/(60*Thiet_ke!$B$15*B412)</f>
        <v>3.7168301215674715</v>
      </c>
      <c r="E412" s="4">
        <f>D412*3.6</f>
        <v>13.380588437642897</v>
      </c>
      <c r="F412" s="4">
        <f>Thiet_ke!$B$12*(Dau_vao!$B$22*(C412/Dau_vao!$B$19)+Dau_vao!$B$23*(C412/Dau_vao!$B$19)^2-Dau_vao!$B$24*(C412/Dau_vao!$B$19)^3)</f>
        <v>34.9504698817705</v>
      </c>
      <c r="G412" s="4">
        <f>60000*F412/(2*PI()*C412)</f>
        <v>382.7435810826734</v>
      </c>
      <c r="H412" s="4">
        <f>G412*Thiet_ke!$B$15*B412*Dau_vao!$B$10/Thiet_ke!$B$7</f>
        <v>8368.937287254248</v>
      </c>
      <c r="I412" s="4">
        <f>IF(D412&lt;=Dau_vao!$B$14,Dau_vao!$B$13,Dau_vao!$B$13*(1+D412^2/1500))</f>
        <v>0.015</v>
      </c>
      <c r="J412" s="4">
        <f>Thiet_ke!$B$8*D412^2</f>
        <v>40.40836649632945</v>
      </c>
      <c r="K412" s="4">
        <f>Thiet_ke!$B$3*I412+J412</f>
        <v>1171.9918664963297</v>
      </c>
      <c r="L412" s="4">
        <f>(H412-J412)/Thiet_ke!$B$3</f>
        <v>0.11040098570840665</v>
      </c>
      <c r="M412" s="4">
        <f>1.05+0.05*B412^2</f>
        <v>1.4000000000000001</v>
      </c>
      <c r="N412" s="4">
        <f>(MIN(H412,Thiet_ke!$B$16)-K412)/(Thiet_ke!$B$2*M412)</f>
        <v>0.6684883355710494</v>
      </c>
      <c r="O412" s="4">
        <f>IF(N412&gt;0,1/N412,"")</f>
        <v>1.495912414306766</v>
      </c>
    </row>
    <row r="413" spans="1:15">
      <c r="A413">
        <v>3</v>
      </c>
      <c r="B413" s="4">
        <f>Thiet_ke!$B$22</f>
        <v>2.6457513110645907</v>
      </c>
      <c r="C413" s="4">
        <f>Dau_vao!$B$21+(Dau_vao!$B$19-Dau_vao!$B$21)*9/200</f>
        <v>881.0</v>
      </c>
      <c r="D413" s="4">
        <f>2*PI()*C413*Thiet_ke!$B$7/(60*Thiet_ke!$B$15*B413)</f>
        <v>3.755191900345118</v>
      </c>
      <c r="E413" s="4">
        <f>D413*3.6</f>
        <v>13.518690841242424</v>
      </c>
      <c r="F413" s="4">
        <f>Thiet_ke!$B$12*(Dau_vao!$B$22*(C413/Dau_vao!$B$19)+Dau_vao!$B$23*(C413/Dau_vao!$B$19)^2-Dau_vao!$B$24*(C413/Dau_vao!$B$19)^3)</f>
        <v>35.42453128107114</v>
      </c>
      <c r="G413" s="4">
        <f>60000*F413/(2*PI()*C413)</f>
        <v>383.9720267942754</v>
      </c>
      <c r="H413" s="4">
        <f>G413*Thiet_ke!$B$15*B413*Dau_vao!$B$10/Thiet_ke!$B$7</f>
        <v>8395.798051560503</v>
      </c>
      <c r="I413" s="4">
        <f>IF(D413&lt;=Dau_vao!$B$14,Dau_vao!$B$13,Dau_vao!$B$13*(1+D413^2/1500))</f>
        <v>0.015</v>
      </c>
      <c r="J413" s="4">
        <f>Thiet_ke!$B$8*D413^2</f>
        <v>41.24678865962142</v>
      </c>
      <c r="K413" s="4">
        <f>Thiet_ke!$B$3*I413+J413</f>
        <v>1172.8302886596216</v>
      </c>
      <c r="L413" s="4">
        <f>(H413-J413)/Thiet_ke!$B$3</f>
        <v>0.11074593164668202</v>
      </c>
      <c r="M413" s="4">
        <f>1.05+0.05*B413^2</f>
        <v>1.4000000000000001</v>
      </c>
      <c r="N413" s="4">
        <f>(MIN(H413,Thiet_ke!$B$16)-K413)/(Thiet_ke!$B$2*M413)</f>
        <v>0.6709054210385362</v>
      </c>
      <c r="O413" s="4">
        <f>IF(N413&gt;0,1/N413,"")</f>
        <v>1.4905230583053537</v>
      </c>
    </row>
    <row r="414" spans="1:15">
      <c r="A414">
        <v>3</v>
      </c>
      <c r="B414" s="4">
        <f>Thiet_ke!$B$22</f>
        <v>2.6457513110645907</v>
      </c>
      <c r="C414" s="4">
        <f>Dau_vao!$B$21+(Dau_vao!$B$19-Dau_vao!$B$21)*10/200</f>
        <v>890.0</v>
      </c>
      <c r="D414" s="4">
        <f>2*PI()*C414*Thiet_ke!$B$7/(60*Thiet_ke!$B$15*B414)</f>
        <v>3.7935536791227635</v>
      </c>
      <c r="E414" s="4">
        <f>D414*3.6</f>
        <v>13.65679324484195</v>
      </c>
      <c r="F414" s="4">
        <f>Thiet_ke!$B$12*(Dau_vao!$B$22*(C414/Dau_vao!$B$19)+Dau_vao!$B$23*(C414/Dau_vao!$B$19)^2-Dau_vao!$B$24*(C414/Dau_vao!$B$19)^3)</f>
        <v>35.89994837016054</v>
      </c>
      <c r="G414" s="4">
        <f>60000*F414/(2*PI()*C414)</f>
        <v>385.1901734733628</v>
      </c>
      <c r="H414" s="4">
        <f>G414*Thiet_ke!$B$15*B414*Dau_vao!$B$10/Thiet_ke!$B$7</f>
        <v>8422.43362082367</v>
      </c>
      <c r="I414" s="4">
        <f>IF(D414&lt;=Dau_vao!$B$14,Dau_vao!$B$13,Dau_vao!$B$13*(1+D414^2/1500))</f>
        <v>0.015</v>
      </c>
      <c r="J414" s="4">
        <f>Thiet_ke!$B$8*D414^2</f>
        <v>42.09381983542863</v>
      </c>
      <c r="K414" s="4">
        <f>Thiet_ke!$B$3*I414+J414</f>
        <v>1173.6773198354288</v>
      </c>
      <c r="L414" s="4">
        <f>(H414-J414)/Thiet_ke!$B$3</f>
        <v>0.11108777833436383</v>
      </c>
      <c r="M414" s="4">
        <f>1.05+0.05*B414^2</f>
        <v>1.4000000000000001</v>
      </c>
      <c r="N414" s="4">
        <f>(MIN(H414,Thiet_ke!$B$16)-K414)/(Thiet_ke!$B$2*M414)</f>
        <v>0.6733007896143637</v>
      </c>
      <c r="O414" s="4">
        <f>IF(N414&gt;0,1/N414,"")</f>
        <v>1.4852202988990328</v>
      </c>
    </row>
    <row r="415" spans="1:15">
      <c r="A415">
        <v>3</v>
      </c>
      <c r="B415" s="4">
        <f>Thiet_ke!$B$22</f>
        <v>2.6457513110645907</v>
      </c>
      <c r="C415" s="4">
        <f>Dau_vao!$B$21+(Dau_vao!$B$19-Dau_vao!$B$21)*11/200</f>
        <v>899.0</v>
      </c>
      <c r="D415" s="4">
        <f>2*PI()*C415*Thiet_ke!$B$7/(60*Thiet_ke!$B$15*B415)</f>
        <v>3.83191545790041</v>
      </c>
      <c r="E415" s="4">
        <f>D415*3.6</f>
        <v>13.794895648441477</v>
      </c>
      <c r="F415" s="4">
        <f>Thiet_ke!$B$12*(Dau_vao!$B$22*(C415/Dau_vao!$B$19)+Dau_vao!$B$23*(C415/Dau_vao!$B$19)^2-Dau_vao!$B$24*(C415/Dau_vao!$B$19)^3)</f>
        <v>36.37669202921032</v>
      </c>
      <c r="G415" s="4">
        <f>60000*F415/(2*PI()*C415)</f>
        <v>386.3980211199358</v>
      </c>
      <c r="H415" s="4">
        <f>G415*Thiet_ke!$B$15*B415*Dau_vao!$B$10/Thiet_ke!$B$7</f>
        <v>8448.843995043751</v>
      </c>
      <c r="I415" s="4">
        <f>IF(D415&lt;=Dau_vao!$B$14,Dau_vao!$B$13,Dau_vao!$B$13*(1+D415^2/1500))</f>
        <v>0.015</v>
      </c>
      <c r="J415" s="4">
        <f>Thiet_ke!$B$8*D415^2</f>
        <v>42.94946002375112</v>
      </c>
      <c r="K415" s="4">
        <f>Thiet_ke!$B$3*I415+J415</f>
        <v>1174.5329600237512</v>
      </c>
      <c r="L415" s="4">
        <f>(H415-J415)/Thiet_ke!$B$3</f>
        <v>0.11142652577145214</v>
      </c>
      <c r="M415" s="4">
        <f>1.05+0.05*B415^2</f>
        <v>1.4000000000000001</v>
      </c>
      <c r="N415" s="4">
        <f>(MIN(H415,Thiet_ke!$B$16)-K415)/(Thiet_ke!$B$2*M415)</f>
        <v>0.6756744412985324</v>
      </c>
      <c r="O415" s="4">
        <f>IF(N415&gt;0,1/N415,"")</f>
        <v>1.4800027037846342</v>
      </c>
    </row>
    <row r="416" spans="1:15">
      <c r="A416">
        <v>3</v>
      </c>
      <c r="B416" s="4">
        <f>Thiet_ke!$B$22</f>
        <v>2.6457513110645907</v>
      </c>
      <c r="C416" s="4">
        <f>Dau_vao!$B$21+(Dau_vao!$B$19-Dau_vao!$B$21)*12/200</f>
        <v>908.0</v>
      </c>
      <c r="D416" s="4">
        <f>2*PI()*C416*Thiet_ke!$B$7/(60*Thiet_ke!$B$15*B416)</f>
        <v>3.8702772366780556</v>
      </c>
      <c r="E416" s="4">
        <f>D416*3.6</f>
        <v>13.932998052041</v>
      </c>
      <c r="F416" s="4">
        <f>Thiet_ke!$B$12*(Dau_vao!$B$22*(C416/Dau_vao!$B$19)+Dau_vao!$B$23*(C416/Dau_vao!$B$19)^2-Dau_vao!$B$24*(C416/Dau_vao!$B$19)^3)</f>
        <v>36.854733138392056</v>
      </c>
      <c r="G416" s="4">
        <f>60000*F416/(2*PI()*C416)</f>
        <v>387.59556973399407</v>
      </c>
      <c r="H416" s="4">
        <f>G416*Thiet_ke!$B$15*B416*Dau_vao!$B$10/Thiet_ke!$B$7</f>
        <v>8475.029174220736</v>
      </c>
      <c r="I416" s="4">
        <f>IF(D416&lt;=Dau_vao!$B$14,Dau_vao!$B$13,Dau_vao!$B$13*(1+D416^2/1500))</f>
        <v>0.015</v>
      </c>
      <c r="J416" s="4">
        <f>Thiet_ke!$B$8*D416^2</f>
        <v>43.813709224588855</v>
      </c>
      <c r="K416" s="4">
        <f>Thiet_ke!$B$3*I416+J416</f>
        <v>1175.397209224589</v>
      </c>
      <c r="L416" s="4">
        <f>(H416-J416)/Thiet_ke!$B$3</f>
        <v>0.1117621739579467</v>
      </c>
      <c r="M416" s="4">
        <f>1.05+0.05*B416^2</f>
        <v>1.4000000000000001</v>
      </c>
      <c r="N416" s="4">
        <f>(MIN(H416,Thiet_ke!$B$16)-K416)/(Thiet_ke!$B$2*M416)</f>
        <v>0.6780263760910408</v>
      </c>
      <c r="O416" s="4">
        <f>IF(N416&gt;0,1/N416,"")</f>
        <v>1.4748688771743694</v>
      </c>
    </row>
    <row r="417" spans="1:15">
      <c r="A417">
        <v>3</v>
      </c>
      <c r="B417" s="4">
        <f>Thiet_ke!$B$22</f>
        <v>2.6457513110645907</v>
      </c>
      <c r="C417" s="4">
        <f>Dau_vao!$B$21+(Dau_vao!$B$19-Dau_vao!$B$21)*13/200</f>
        <v>917.0</v>
      </c>
      <c r="D417" s="4">
        <f>2*PI()*C417*Thiet_ke!$B$7/(60*Thiet_ke!$B$15*B417)</f>
        <v>3.9086390154557016</v>
      </c>
      <c r="E417" s="4">
        <f>D417*3.6</f>
        <v>14.071100455640526</v>
      </c>
      <c r="F417" s="4">
        <f>Thiet_ke!$B$12*(Dau_vao!$B$22*(C417/Dau_vao!$B$19)+Dau_vao!$B$23*(C417/Dau_vao!$B$19)^2-Dau_vao!$B$24*(C417/Dau_vao!$B$19)^3)</f>
        <v>37.33404257787736</v>
      </c>
      <c r="G417" s="4">
        <f>60000*F417/(2*PI()*C417)</f>
        <v>388.7828193155378</v>
      </c>
      <c r="H417" s="4">
        <f>G417*Thiet_ke!$B$15*B417*Dau_vao!$B$10/Thiet_ke!$B$7</f>
        <v>8500.989158354634</v>
      </c>
      <c r="I417" s="4">
        <f>IF(D417&lt;=Dau_vao!$B$14,Dau_vao!$B$13,Dau_vao!$B$13*(1+D417^2/1500))</f>
        <v>0.015</v>
      </c>
      <c r="J417" s="4">
        <f>Thiet_ke!$B$8*D417^2</f>
        <v>44.68656743794186</v>
      </c>
      <c r="K417" s="4">
        <f>Thiet_ke!$B$3*I417+J417</f>
        <v>1176.270067437942</v>
      </c>
      <c r="L417" s="4">
        <f>(H417-J417)/Thiet_ke!$B$3</f>
        <v>0.11209472289384775</v>
      </c>
      <c r="M417" s="4">
        <f>1.05+0.05*B417^2</f>
        <v>1.4000000000000001</v>
      </c>
      <c r="N417" s="4">
        <f>(MIN(H417,Thiet_ke!$B$16)-K417)/(Thiet_ke!$B$2*M417)</f>
        <v>0.6803565939918903</v>
      </c>
      <c r="O417" s="4">
        <f>IF(N417&gt;0,1/N417,"")</f>
        <v>1.469817458713305</v>
      </c>
    </row>
    <row r="418" spans="1:15">
      <c r="A418">
        <v>3</v>
      </c>
      <c r="B418" s="4">
        <f>Thiet_ke!$B$22</f>
        <v>2.6457513110645907</v>
      </c>
      <c r="C418" s="4">
        <f>Dau_vao!$B$21+(Dau_vao!$B$19-Dau_vao!$B$21)*14/200</f>
        <v>926.0</v>
      </c>
      <c r="D418" s="4">
        <f>2*PI()*C418*Thiet_ke!$B$7/(60*Thiet_ke!$B$15*B418)</f>
        <v>3.947000794233347</v>
      </c>
      <c r="E418" s="4">
        <f>D418*3.6</f>
        <v>14.20920285924005</v>
      </c>
      <c r="F418" s="4">
        <f>Thiet_ke!$B$12*(Dau_vao!$B$22*(C418/Dau_vao!$B$19)+Dau_vao!$B$23*(C418/Dau_vao!$B$19)^2-Dau_vao!$B$24*(C418/Dau_vao!$B$19)^3)</f>
        <v>37.81459122783783</v>
      </c>
      <c r="G418" s="4">
        <f>60000*F418/(2*PI()*C418)</f>
        <v>389.9597698645668</v>
      </c>
      <c r="H418" s="4">
        <f>G418*Thiet_ke!$B$15*B418*Dau_vao!$B$10/Thiet_ke!$B$7</f>
        <v>8526.723947445444</v>
      </c>
      <c r="I418" s="4">
        <f>IF(D418&lt;=Dau_vao!$B$14,Dau_vao!$B$13,Dau_vao!$B$13*(1+D418^2/1500))</f>
        <v>0.015</v>
      </c>
      <c r="J418" s="4">
        <f>Thiet_ke!$B$8*D418^2</f>
        <v>45.568034663810124</v>
      </c>
      <c r="K418" s="4">
        <f>Thiet_ke!$B$3*I418+J418</f>
        <v>1177.1515346638103</v>
      </c>
      <c r="L418" s="4">
        <f>(H418-J418)/Thiet_ke!$B$3</f>
        <v>0.11242417257915521</v>
      </c>
      <c r="M418" s="4">
        <f>1.05+0.05*B418^2</f>
        <v>1.4000000000000001</v>
      </c>
      <c r="N418" s="4">
        <f>(MIN(H418,Thiet_ke!$B$16)-K418)/(Thiet_ke!$B$2*M418)</f>
        <v>0.6826650950010805</v>
      </c>
      <c r="O418" s="4">
        <f>IF(N418&gt;0,1/N418,"")</f>
        <v>1.464847122436247</v>
      </c>
    </row>
    <row r="419" spans="1:15">
      <c r="A419">
        <v>3</v>
      </c>
      <c r="B419" s="4">
        <f>Thiet_ke!$B$22</f>
        <v>2.6457513110645907</v>
      </c>
      <c r="C419" s="4">
        <f>Dau_vao!$B$21+(Dau_vao!$B$19-Dau_vao!$B$21)*15/200</f>
        <v>935.0</v>
      </c>
      <c r="D419" s="4">
        <f>2*PI()*C419*Thiet_ke!$B$7/(60*Thiet_ke!$B$15*B419)</f>
        <v>3.9853625730109936</v>
      </c>
      <c r="E419" s="4">
        <f>D419*3.6</f>
        <v>14.347305262839578</v>
      </c>
      <c r="F419" s="4">
        <f>Thiet_ke!$B$12*(Dau_vao!$B$22*(C419/Dau_vao!$B$19)+Dau_vao!$B$23*(C419/Dau_vao!$B$19)^2-Dau_vao!$B$24*(C419/Dau_vao!$B$19)^3)</f>
        <v>38.29634996844507</v>
      </c>
      <c r="G419" s="4">
        <f>60000*F419/(2*PI()*C419)</f>
        <v>391.1264213810813</v>
      </c>
      <c r="H419" s="4">
        <f>G419*Thiet_ke!$B$15*B419*Dau_vao!$B$10/Thiet_ke!$B$7</f>
        <v>8552.233541493164</v>
      </c>
      <c r="I419" s="4">
        <f>IF(D419&lt;=Dau_vao!$B$14,Dau_vao!$B$13,Dau_vao!$B$13*(1+D419^2/1500))</f>
        <v>0.015</v>
      </c>
      <c r="J419" s="4">
        <f>Thiet_ke!$B$8*D419^2</f>
        <v>46.45811090219367</v>
      </c>
      <c r="K419" s="4">
        <f>Thiet_ke!$B$3*I419+J419</f>
        <v>1178.041610902194</v>
      </c>
      <c r="L419" s="4">
        <f>(H419-J419)/Thiet_ke!$B$3</f>
        <v>0.1127505230138691</v>
      </c>
      <c r="M419" s="4">
        <f>1.05+0.05*B419^2</f>
        <v>1.4000000000000001</v>
      </c>
      <c r="N419" s="4">
        <f>(MIN(H419,Thiet_ke!$B$16)-K419)/(Thiet_ke!$B$2*M419)</f>
        <v>0.6849518791186113</v>
      </c>
      <c r="O419" s="4">
        <f>IF(N419&gt;0,1/N419,"")</f>
        <v>1.4599565757623574</v>
      </c>
    </row>
    <row r="420" spans="1:15">
      <c r="A420">
        <v>3</v>
      </c>
      <c r="B420" s="4">
        <f>Thiet_ke!$B$22</f>
        <v>2.6457513110645907</v>
      </c>
      <c r="C420" s="4">
        <f>Dau_vao!$B$21+(Dau_vao!$B$19-Dau_vao!$B$21)*16/200</f>
        <v>944.0</v>
      </c>
      <c r="D420" s="4">
        <f>2*PI()*C420*Thiet_ke!$B$7/(60*Thiet_ke!$B$15*B420)</f>
        <v>4.02372435178864</v>
      </c>
      <c r="E420" s="4">
        <f>D420*3.6</f>
        <v>14.485407666439103</v>
      </c>
      <c r="F420" s="4">
        <f>Thiet_ke!$B$12*(Dau_vao!$B$22*(C420/Dau_vao!$B$19)+Dau_vao!$B$23*(C420/Dau_vao!$B$19)^2-Dau_vao!$B$24*(C420/Dau_vao!$B$19)^3)</f>
        <v>38.7792896798707</v>
      </c>
      <c r="G420" s="4">
        <f>60000*F420/(2*PI()*C420)</f>
        <v>392.2827738650813</v>
      </c>
      <c r="H420" s="4">
        <f>G420*Thiet_ke!$B$15*B420*Dau_vao!$B$10/Thiet_ke!$B$7</f>
        <v>8577.517940497797</v>
      </c>
      <c r="I420" s="4">
        <f>IF(D420&lt;=Dau_vao!$B$14,Dau_vao!$B$13,Dau_vao!$B$13*(1+D420^2/1500))</f>
        <v>0.015</v>
      </c>
      <c r="J420" s="4">
        <f>Thiet_ke!$B$8*D420^2</f>
        <v>47.35679615309246</v>
      </c>
      <c r="K420" s="4">
        <f>Thiet_ke!$B$3*I420+J420</f>
        <v>1178.9402961530927</v>
      </c>
      <c r="L420" s="4">
        <f>(H420-J420)/Thiet_ke!$B$3</f>
        <v>0.11307377419798943</v>
      </c>
      <c r="M420" s="4">
        <f>1.05+0.05*B420^2</f>
        <v>1.4000000000000001</v>
      </c>
      <c r="N420" s="4">
        <f>(MIN(H420,Thiet_ke!$B$16)-K420)/(Thiet_ke!$B$2*M420)</f>
        <v>0.6872169463444829</v>
      </c>
      <c r="O420" s="4">
        <f>IF(N420&gt;0,1/N420,"")</f>
        <v>1.4551445585259586</v>
      </c>
    </row>
    <row r="421" spans="1:15">
      <c r="A421">
        <v>3</v>
      </c>
      <c r="B421" s="4">
        <f>Thiet_ke!$B$22</f>
        <v>2.6457513110645907</v>
      </c>
      <c r="C421" s="4">
        <f>Dau_vao!$B$21+(Dau_vao!$B$19-Dau_vao!$B$21)*17/200</f>
        <v>953.0</v>
      </c>
      <c r="D421" s="4">
        <f>2*PI()*C421*Thiet_ke!$B$7/(60*Thiet_ke!$B$15*B421)</f>
        <v>4.062086130566286</v>
      </c>
      <c r="E421" s="4">
        <f>D421*3.6</f>
        <v>14.623510070038629</v>
      </c>
      <c r="F421" s="4">
        <f>Thiet_ke!$B$12*(Dau_vao!$B$22*(C421/Dau_vao!$B$19)+Dau_vao!$B$23*(C421/Dau_vao!$B$19)^2-Dau_vao!$B$24*(C421/Dau_vao!$B$19)^3)</f>
        <v>39.26338124228629</v>
      </c>
      <c r="G421" s="4">
        <f>60000*F421/(2*PI()*C421)</f>
        <v>393.4288273165666</v>
      </c>
      <c r="H421" s="4">
        <f>G421*Thiet_ke!$B$15*B421*Dau_vao!$B$10/Thiet_ke!$B$7</f>
        <v>8602.57714445934</v>
      </c>
      <c r="I421" s="4">
        <f>IF(D421&lt;=Dau_vao!$B$14,Dau_vao!$B$13,Dau_vao!$B$13*(1+D421^2/1500))</f>
        <v>0.015</v>
      </c>
      <c r="J421" s="4">
        <f>Thiet_ke!$B$8*D421^2</f>
        <v>48.26409041650652</v>
      </c>
      <c r="K421" s="4">
        <f>Thiet_ke!$B$3*I421+J421</f>
        <v>1179.8475904165066</v>
      </c>
      <c r="L421" s="4">
        <f>(H421-J421)/Thiet_ke!$B$3</f>
        <v>0.11339392613151611</v>
      </c>
      <c r="M421" s="4">
        <f>1.05+0.05*B421^2</f>
        <v>1.4000000000000001</v>
      </c>
      <c r="N421" s="4">
        <f>(MIN(H421,Thiet_ke!$B$16)-K421)/(Thiet_ke!$B$2*M421)</f>
        <v>0.6894602966786951</v>
      </c>
      <c r="O421" s="4">
        <f>IF(N421&gt;0,1/N421,"")</f>
        <v>1.450409842042034</v>
      </c>
    </row>
    <row r="422" spans="1:15">
      <c r="A422">
        <v>3</v>
      </c>
      <c r="B422" s="4">
        <f>Thiet_ke!$B$22</f>
        <v>2.6457513110645907</v>
      </c>
      <c r="C422" s="4">
        <f>Dau_vao!$B$21+(Dau_vao!$B$19-Dau_vao!$B$21)*18/200</f>
        <v>962.0</v>
      </c>
      <c r="D422" s="4">
        <f>2*PI()*C422*Thiet_ke!$B$7/(60*Thiet_ke!$B$15*B422)</f>
        <v>4.100447909343932</v>
      </c>
      <c r="E422" s="4">
        <f>D422*3.6</f>
        <v>14.761612473638154</v>
      </c>
      <c r="F422" s="4">
        <f>Thiet_ke!$B$12*(Dau_vao!$B$22*(C422/Dau_vao!$B$19)+Dau_vao!$B$23*(C422/Dau_vao!$B$19)^2-Dau_vao!$B$24*(C422/Dau_vao!$B$19)^3)</f>
        <v>39.74859553586345</v>
      </c>
      <c r="G422" s="4">
        <f>60000*F422/(2*PI()*C422)</f>
        <v>394.5645817355372</v>
      </c>
      <c r="H422" s="4">
        <f>G422*Thiet_ke!$B$15*B422*Dau_vao!$B$10/Thiet_ke!$B$7</f>
        <v>8627.411153377792</v>
      </c>
      <c r="I422" s="4">
        <f>IF(D422&lt;=Dau_vao!$B$14,Dau_vao!$B$13,Dau_vao!$B$13*(1+D422^2/1500))</f>
        <v>0.015</v>
      </c>
      <c r="J422" s="4">
        <f>Thiet_ke!$B$8*D422^2</f>
        <v>49.179993692435836</v>
      </c>
      <c r="K422" s="4">
        <f>Thiet_ke!$B$3*I422+J422</f>
        <v>1180.763493692436</v>
      </c>
      <c r="L422" s="4">
        <f>(H422-J422)/Thiet_ke!$B$3</f>
        <v>0.11371097881444925</v>
      </c>
      <c r="M422" s="4">
        <f>1.05+0.05*B422^2</f>
        <v>1.4000000000000001</v>
      </c>
      <c r="N422" s="4">
        <f>(MIN(H422,Thiet_ke!$B$16)-K422)/(Thiet_ke!$B$2*M422)</f>
        <v>0.6916819301212479</v>
      </c>
      <c r="O422" s="4">
        <f>IF(N422&gt;0,1/N422,"")</f>
        <v>1.4457512282050013</v>
      </c>
    </row>
    <row r="423" spans="1:15">
      <c r="A423">
        <v>3</v>
      </c>
      <c r="B423" s="4">
        <f>Thiet_ke!$B$22</f>
        <v>2.6457513110645907</v>
      </c>
      <c r="C423" s="4">
        <f>Dau_vao!$B$21+(Dau_vao!$B$19-Dau_vao!$B$21)*19/200</f>
        <v>971.0</v>
      </c>
      <c r="D423" s="4">
        <f>2*PI()*C423*Thiet_ke!$B$7/(60*Thiet_ke!$B$15*B423)</f>
        <v>4.138809688121577</v>
      </c>
      <c r="E423" s="4">
        <f>D423*3.6</f>
        <v>14.899714877237678</v>
      </c>
      <c r="F423" s="4">
        <f>Thiet_ke!$B$12*(Dau_vao!$B$22*(C423/Dau_vao!$B$19)+Dau_vao!$B$23*(C423/Dau_vao!$B$19)^2-Dau_vao!$B$24*(C423/Dau_vao!$B$19)^3)</f>
        <v>40.234903440773806</v>
      </c>
      <c r="G423" s="4">
        <f>60000*F423/(2*PI()*C423)</f>
        <v>395.6900371219933</v>
      </c>
      <c r="H423" s="4">
        <f>G423*Thiet_ke!$B$15*B423*Dau_vao!$B$10/Thiet_ke!$B$7</f>
        <v>8652.019967253154</v>
      </c>
      <c r="I423" s="4">
        <f>IF(D423&lt;=Dau_vao!$B$14,Dau_vao!$B$13,Dau_vao!$B$13*(1+D423^2/1500))</f>
        <v>0.015</v>
      </c>
      <c r="J423" s="4">
        <f>Thiet_ke!$B$8*D423^2</f>
        <v>50.1045059808804</v>
      </c>
      <c r="K423" s="4">
        <f>Thiet_ke!$B$3*I423+J423</f>
        <v>1181.6880059808807</v>
      </c>
      <c r="L423" s="4">
        <f>(H423-J423)/Thiet_ke!$B$3</f>
        <v>0.11402493224678877</v>
      </c>
      <c r="M423" s="4">
        <f>1.05+0.05*B423^2</f>
        <v>1.4000000000000001</v>
      </c>
      <c r="N423" s="4">
        <f>(MIN(H423,Thiet_ke!$B$16)-K423)/(Thiet_ke!$B$2*M423)</f>
        <v>0.6938818466721413</v>
      </c>
      <c r="O423" s="4">
        <f>IF(N423&gt;0,1/N423,"")</f>
        <v>1.4411675486194113</v>
      </c>
    </row>
    <row r="424" spans="1:15">
      <c r="A424">
        <v>3</v>
      </c>
      <c r="B424" s="4">
        <f>Thiet_ke!$B$22</f>
        <v>2.6457513110645907</v>
      </c>
      <c r="C424" s="4">
        <f>Dau_vao!$B$21+(Dau_vao!$B$19-Dau_vao!$B$21)*20/200</f>
        <v>980.0</v>
      </c>
      <c r="D424" s="4">
        <f>2*PI()*C424*Thiet_ke!$B$7/(60*Thiet_ke!$B$15*B424)</f>
        <v>4.177171466899223</v>
      </c>
      <c r="E424" s="4">
        <f>D424*3.6</f>
        <v>15.037817280837203</v>
      </c>
      <c r="F424" s="4">
        <f>Thiet_ke!$B$12*(Dau_vao!$B$22*(C424/Dau_vao!$B$19)+Dau_vao!$B$23*(C424/Dau_vao!$B$19)^2-Dau_vao!$B$24*(C424/Dau_vao!$B$19)^3)</f>
        <v>40.72227583718894</v>
      </c>
      <c r="G424" s="4">
        <f>60000*F424/(2*PI()*C424)</f>
        <v>396.8051934759349</v>
      </c>
      <c r="H424" s="4">
        <f>G424*Thiet_ke!$B$15*B424*Dau_vao!$B$10/Thiet_ke!$B$7</f>
        <v>8676.403586085431</v>
      </c>
      <c r="I424" s="4">
        <f>IF(D424&lt;=Dau_vao!$B$14,Dau_vao!$B$13,Dau_vao!$B$13*(1+D424^2/1500))</f>
        <v>0.015</v>
      </c>
      <c r="J424" s="4">
        <f>Thiet_ke!$B$8*D424^2</f>
        <v>51.037627281840244</v>
      </c>
      <c r="K424" s="4">
        <f>Thiet_ke!$B$3*I424+J424</f>
        <v>1182.6211272818405</v>
      </c>
      <c r="L424" s="4">
        <f>(H424-J424)/Thiet_ke!$B$3</f>
        <v>0.11433578642853476</v>
      </c>
      <c r="M424" s="4">
        <f>1.05+0.05*B424^2</f>
        <v>1.4000000000000001</v>
      </c>
      <c r="N424" s="4">
        <f>(MIN(H424,Thiet_ke!$B$16)-K424)/(Thiet_ke!$B$2*M424)</f>
        <v>0.6960600463313756</v>
      </c>
      <c r="O424" s="4">
        <f>IF(N424&gt;0,1/N424,"")</f>
        <v>1.4366576637612765</v>
      </c>
    </row>
    <row r="425" spans="1:15">
      <c r="A425">
        <v>3</v>
      </c>
      <c r="B425" s="4">
        <f>Thiet_ke!$B$22</f>
        <v>2.6457513110645907</v>
      </c>
      <c r="C425" s="4">
        <f>Dau_vao!$B$21+(Dau_vao!$B$19-Dau_vao!$B$21)*21/200</f>
        <v>989.0</v>
      </c>
      <c r="D425" s="4">
        <f>2*PI()*C425*Thiet_ke!$B$7/(60*Thiet_ke!$B$15*B425)</f>
        <v>4.215533245676869</v>
      </c>
      <c r="E425" s="4">
        <f>D425*3.6</f>
        <v>15.175919684436728</v>
      </c>
      <c r="F425" s="4">
        <f>Thiet_ke!$B$12*(Dau_vao!$B$22*(C425/Dau_vao!$B$19)+Dau_vao!$B$23*(C425/Dau_vao!$B$19)^2-Dau_vao!$B$24*(C425/Dau_vao!$B$19)^3)</f>
        <v>41.210683605280444</v>
      </c>
      <c r="G425" s="4">
        <f>60000*F425/(2*PI()*C425)</f>
        <v>397.91005079736175</v>
      </c>
      <c r="H425" s="4">
        <f>G425*Thiet_ke!$B$15*B425*Dau_vao!$B$10/Thiet_ke!$B$7</f>
        <v>8700.562009874617</v>
      </c>
      <c r="I425" s="4">
        <f>IF(D425&lt;=Dau_vao!$B$14,Dau_vao!$B$13,Dau_vao!$B$13*(1+D425^2/1500))</f>
        <v>0.015</v>
      </c>
      <c r="J425" s="4">
        <f>Thiet_ke!$B$8*D425^2</f>
        <v>51.97935759531535</v>
      </c>
      <c r="K425" s="4">
        <f>Thiet_ke!$B$3*I425+J425</f>
        <v>1183.5628575953156</v>
      </c>
      <c r="L425" s="4">
        <f>(H425-J425)/Thiet_ke!$B$3</f>
        <v>0.11464354135968712</v>
      </c>
      <c r="M425" s="4">
        <f>1.05+0.05*B425^2</f>
        <v>1.4000000000000001</v>
      </c>
      <c r="N425" s="4">
        <f>(MIN(H425,Thiet_ke!$B$16)-K425)/(Thiet_ke!$B$2*M425)</f>
        <v>0.6982165290989504</v>
      </c>
      <c r="O425" s="4">
        <f>IF(N425&gt;0,1/N425,"")</f>
        <v>1.4322204621688084</v>
      </c>
    </row>
    <row r="426" spans="1:15">
      <c r="A426">
        <v>3</v>
      </c>
      <c r="B426" s="4">
        <f>Thiet_ke!$B$22</f>
        <v>2.6457513110645907</v>
      </c>
      <c r="C426" s="4">
        <f>Dau_vao!$B$21+(Dau_vao!$B$19-Dau_vao!$B$21)*22/200</f>
        <v>998.0</v>
      </c>
      <c r="D426" s="4">
        <f>2*PI()*C426*Thiet_ke!$B$7/(60*Thiet_ke!$B$15*B426)</f>
        <v>4.253895024454515</v>
      </c>
      <c r="E426" s="4">
        <f>D426*3.6</f>
        <v>15.314022088036253</v>
      </c>
      <c r="F426" s="4">
        <f>Thiet_ke!$B$12*(Dau_vao!$B$22*(C426/Dau_vao!$B$19)+Dau_vao!$B$23*(C426/Dau_vao!$B$19)^2-Dau_vao!$B$24*(C426/Dau_vao!$B$19)^3)</f>
        <v>41.70009762521995</v>
      </c>
      <c r="G426" s="4">
        <f>60000*F426/(2*PI()*C426)</f>
        <v>399.0046090862742</v>
      </c>
      <c r="H426" s="4">
        <f>G426*Thiet_ke!$B$15*B426*Dau_vao!$B$10/Thiet_ke!$B$7</f>
        <v>8724.495238620713</v>
      </c>
      <c r="I426" s="4">
        <f>IF(D426&lt;=Dau_vao!$B$14,Dau_vao!$B$13,Dau_vao!$B$13*(1+D426^2/1500))</f>
        <v>0.015</v>
      </c>
      <c r="J426" s="4">
        <f>Thiet_ke!$B$8*D426^2</f>
        <v>52.92969692130572</v>
      </c>
      <c r="K426" s="4">
        <f>Thiet_ke!$B$3*I426+J426</f>
        <v>1184.513196921306</v>
      </c>
      <c r="L426" s="4">
        <f>(H426-J426)/Thiet_ke!$B$3</f>
        <v>0.11494819704024589</v>
      </c>
      <c r="M426" s="4">
        <f>1.05+0.05*B426^2</f>
        <v>1.4000000000000001</v>
      </c>
      <c r="N426" s="4">
        <f>(MIN(H426,Thiet_ke!$B$16)-K426)/(Thiet_ke!$B$2*M426)</f>
        <v>0.7003512949748658</v>
      </c>
      <c r="O426" s="4">
        <f>IF(N426&gt;0,1/N426,"")</f>
        <v>1.427854859661376</v>
      </c>
    </row>
    <row r="427" spans="1:15">
      <c r="A427">
        <v>3</v>
      </c>
      <c r="B427" s="4">
        <f>Thiet_ke!$B$22</f>
        <v>2.6457513110645907</v>
      </c>
      <c r="C427" s="4">
        <f>Dau_vao!$B$21+(Dau_vao!$B$19-Dau_vao!$B$21)*23/200</f>
        <v>1007.0</v>
      </c>
      <c r="D427" s="4">
        <f>2*PI()*C427*Thiet_ke!$B$7/(60*Thiet_ke!$B$15*B427)</f>
        <v>4.292256803232161</v>
      </c>
      <c r="E427" s="4">
        <f>D427*3.6</f>
        <v>15.452124491635779</v>
      </c>
      <c r="F427" s="4">
        <f>Thiet_ke!$B$12*(Dau_vao!$B$22*(C427/Dau_vao!$B$19)+Dau_vao!$B$23*(C427/Dau_vao!$B$19)^2-Dau_vao!$B$24*(C427/Dau_vao!$B$19)^3)</f>
        <v>42.19048877717902</v>
      </c>
      <c r="G427" s="4">
        <f>60000*F427/(2*PI()*C427)</f>
        <v>400.0888683426719</v>
      </c>
      <c r="H427" s="4">
        <f>G427*Thiet_ke!$B$15*B427*Dau_vao!$B$10/Thiet_ke!$B$7</f>
        <v>8748.203272323719</v>
      </c>
      <c r="I427" s="4">
        <f>IF(D427&lt;=Dau_vao!$B$14,Dau_vao!$B$13,Dau_vao!$B$13*(1+D427^2/1500))</f>
        <v>0.015</v>
      </c>
      <c r="J427" s="4">
        <f>Thiet_ke!$B$8*D427^2</f>
        <v>53.88864525981135</v>
      </c>
      <c r="K427" s="4">
        <f>Thiet_ke!$B$3*I427+J427</f>
        <v>1185.4721452598114</v>
      </c>
      <c r="L427" s="4">
        <f>(H427-J427)/Thiet_ke!$B$3</f>
        <v>0.11524975347021109</v>
      </c>
      <c r="M427" s="4">
        <f>1.05+0.05*B427^2</f>
        <v>1.4000000000000001</v>
      </c>
      <c r="N427" s="4">
        <f>(MIN(H427,Thiet_ke!$B$16)-K427)/(Thiet_ke!$B$2*M427)</f>
        <v>0.7024643439591218</v>
      </c>
      <c r="O427" s="4">
        <f>IF(N427&gt;0,1/N427,"")</f>
        <v>1.4235597985855812</v>
      </c>
    </row>
    <row r="428" spans="1:15">
      <c r="A428">
        <v>3</v>
      </c>
      <c r="B428" s="4">
        <f>Thiet_ke!$B$22</f>
        <v>2.6457513110645907</v>
      </c>
      <c r="C428" s="4">
        <f>Dau_vao!$B$21+(Dau_vao!$B$19-Dau_vao!$B$21)*24/200</f>
        <v>1016.0</v>
      </c>
      <c r="D428" s="4">
        <f>2*PI()*C428*Thiet_ke!$B$7/(60*Thiet_ke!$B$15*B428)</f>
        <v>4.330618582009806</v>
      </c>
      <c r="E428" s="4">
        <f>D428*3.6</f>
        <v>15.590226895235302</v>
      </c>
      <c r="F428" s="4">
        <f>Thiet_ke!$B$12*(Dau_vao!$B$22*(C428/Dau_vao!$B$19)+Dau_vao!$B$23*(C428/Dau_vao!$B$19)^2-Dau_vao!$B$24*(C428/Dau_vao!$B$19)^3)</f>
        <v>42.681827941329296</v>
      </c>
      <c r="G428" s="4">
        <f>60000*F428/(2*PI()*C428)</f>
        <v>401.1628285665551</v>
      </c>
      <c r="H428" s="4">
        <f>G428*Thiet_ke!$B$15*B428*Dau_vao!$B$10/Thiet_ke!$B$7</f>
        <v>8771.686110983635</v>
      </c>
      <c r="I428" s="4">
        <f>IF(D428&lt;=Dau_vao!$B$14,Dau_vao!$B$13,Dau_vao!$B$13*(1+D428^2/1500))</f>
        <v>0.015</v>
      </c>
      <c r="J428" s="4">
        <f>Thiet_ke!$B$8*D428^2</f>
        <v>54.85620261083222</v>
      </c>
      <c r="K428" s="4">
        <f>Thiet_ke!$B$3*I428+J428</f>
        <v>1186.4397026108325</v>
      </c>
      <c r="L428" s="4">
        <f>(H428-J428)/Thiet_ke!$B$3</f>
        <v>0.11554821064958268</v>
      </c>
      <c r="M428" s="4">
        <f>1.05+0.05*B428^2</f>
        <v>1.4000000000000001</v>
      </c>
      <c r="N428" s="4">
        <f>(MIN(H428,Thiet_ke!$B$16)-K428)/(Thiet_ke!$B$2*M428)</f>
        <v>0.7045556760517185</v>
      </c>
      <c r="O428" s="4">
        <f>IF(N428&gt;0,1/N428,"")</f>
        <v>1.4193342470873715</v>
      </c>
    </row>
    <row r="429" spans="1:15">
      <c r="A429">
        <v>3</v>
      </c>
      <c r="B429" s="4">
        <f>Thiet_ke!$B$22</f>
        <v>2.6457513110645907</v>
      </c>
      <c r="C429" s="4">
        <f>Dau_vao!$B$21+(Dau_vao!$B$19-Dau_vao!$B$21)*25/200</f>
        <v>1025.0</v>
      </c>
      <c r="D429" s="4">
        <f>2*PI()*C429*Thiet_ke!$B$7/(60*Thiet_ke!$B$15*B429)</f>
        <v>4.368980360787452</v>
      </c>
      <c r="E429" s="4">
        <f>D429*3.6</f>
        <v>15.728329298834828</v>
      </c>
      <c r="F429" s="4">
        <f>Thiet_ke!$B$12*(Dau_vao!$B$22*(C429/Dau_vao!$B$19)+Dau_vao!$B$23*(C429/Dau_vao!$B$19)^2-Dau_vao!$B$24*(C429/Dau_vao!$B$19)^3)</f>
        <v>43.17408599784235</v>
      </c>
      <c r="G429" s="4">
        <f>60000*F429/(2*PI()*C429)</f>
        <v>402.22648975792356</v>
      </c>
      <c r="H429" s="4">
        <f>G429*Thiet_ke!$B$15*B429*Dau_vao!$B$10/Thiet_ke!$B$7</f>
        <v>8794.943754600465</v>
      </c>
      <c r="I429" s="4">
        <f>IF(D429&lt;=Dau_vao!$B$14,Dau_vao!$B$13,Dau_vao!$B$13*(1+D429^2/1500))</f>
        <v>0.015</v>
      </c>
      <c r="J429" s="4">
        <f>Thiet_ke!$B$8*D429^2</f>
        <v>55.832368974368386</v>
      </c>
      <c r="K429" s="4">
        <f>Thiet_ke!$B$3*I429+J429</f>
        <v>1187.4158689743685</v>
      </c>
      <c r="L429" s="4">
        <f>(H429-J429)/Thiet_ke!$B$3</f>
        <v>0.1158435685783607</v>
      </c>
      <c r="M429" s="4">
        <f>1.05+0.05*B429^2</f>
        <v>1.4000000000000001</v>
      </c>
      <c r="N429" s="4">
        <f>(MIN(H429,Thiet_ke!$B$16)-K429)/(Thiet_ke!$B$2*M429)</f>
        <v>0.7066252912526559</v>
      </c>
      <c r="O429" s="4">
        <f>IF(N429&gt;0,1/N429,"")</f>
        <v>1.4151771984091737</v>
      </c>
    </row>
    <row r="430" spans="1:15">
      <c r="A430">
        <v>3</v>
      </c>
      <c r="B430" s="4">
        <f>Thiet_ke!$B$22</f>
        <v>2.6457513110645907</v>
      </c>
      <c r="C430" s="4">
        <f>Dau_vao!$B$21+(Dau_vao!$B$19-Dau_vao!$B$21)*26/200</f>
        <v>1034.0</v>
      </c>
      <c r="D430" s="4">
        <f>2*PI()*C430*Thiet_ke!$B$7/(60*Thiet_ke!$B$15*B430)</f>
        <v>4.407342139565099</v>
      </c>
      <c r="E430" s="4">
        <f>D430*3.6</f>
        <v>15.866431702434356</v>
      </c>
      <c r="F430" s="4">
        <f>Thiet_ke!$B$12*(Dau_vao!$B$22*(C430/Dau_vao!$B$19)+Dau_vao!$B$23*(C430/Dau_vao!$B$19)^2-Dau_vao!$B$24*(C430/Dau_vao!$B$19)^3)</f>
        <v>43.667233826889785</v>
      </c>
      <c r="G430" s="4">
        <f>60000*F430/(2*PI()*C430)</f>
        <v>403.27985191677743</v>
      </c>
      <c r="H430" s="4">
        <f>G430*Thiet_ke!$B$15*B430*Dau_vao!$B$10/Thiet_ke!$B$7</f>
        <v>8817.976203174201</v>
      </c>
      <c r="I430" s="4">
        <f>IF(D430&lt;=Dau_vao!$B$14,Dau_vao!$B$13,Dau_vao!$B$13*(1+D430^2/1500))</f>
        <v>0.015</v>
      </c>
      <c r="J430" s="4">
        <f>Thiet_ke!$B$8*D430^2</f>
        <v>56.817144350419824</v>
      </c>
      <c r="K430" s="4">
        <f>Thiet_ke!$B$3*I430+J430</f>
        <v>1188.40064435042</v>
      </c>
      <c r="L430" s="4">
        <f>(H430-J430)/Thiet_ke!$B$3</f>
        <v>0.1161358272565451</v>
      </c>
      <c r="M430" s="4">
        <f>1.05+0.05*B430^2</f>
        <v>1.4000000000000001</v>
      </c>
      <c r="N430" s="4">
        <f>(MIN(H430,Thiet_ke!$B$16)-K430)/(Thiet_ke!$B$2*M430)</f>
        <v>0.7086731895619338</v>
      </c>
      <c r="O430" s="4">
        <f>IF(N430&gt;0,1/N430,"")</f>
        <v>1.411087670211074</v>
      </c>
    </row>
    <row r="431" spans="1:15">
      <c r="A431">
        <v>3</v>
      </c>
      <c r="B431" s="4">
        <f>Thiet_ke!$B$22</f>
        <v>2.6457513110645907</v>
      </c>
      <c r="C431" s="4">
        <f>Dau_vao!$B$21+(Dau_vao!$B$19-Dau_vao!$B$21)*27/200</f>
        <v>1043.0</v>
      </c>
      <c r="D431" s="4">
        <f>2*PI()*C431*Thiet_ke!$B$7/(60*Thiet_ke!$B$15*B431)</f>
        <v>4.445703918342744</v>
      </c>
      <c r="E431" s="4">
        <f>D431*3.6</f>
        <v>16.00453410603388</v>
      </c>
      <c r="F431" s="4">
        <f>Thiet_ke!$B$12*(Dau_vao!$B$22*(C431/Dau_vao!$B$19)+Dau_vao!$B$23*(C431/Dau_vao!$B$19)^2-Dau_vao!$B$24*(C431/Dau_vao!$B$19)^3)</f>
        <v>44.161242308643224</v>
      </c>
      <c r="G431" s="4">
        <f>60000*F431/(2*PI()*C431)</f>
        <v>404.3229150431168</v>
      </c>
      <c r="H431" s="4">
        <f>G431*Thiet_ke!$B$15*B431*Dau_vao!$B$10/Thiet_ke!$B$7</f>
        <v>8840.783456704852</v>
      </c>
      <c r="I431" s="4">
        <f>IF(D431&lt;=Dau_vao!$B$14,Dau_vao!$B$13,Dau_vao!$B$13*(1+D431^2/1500))</f>
        <v>0.015</v>
      </c>
      <c r="J431" s="4">
        <f>Thiet_ke!$B$8*D431^2</f>
        <v>57.810528738986484</v>
      </c>
      <c r="K431" s="4">
        <f>Thiet_ke!$B$3*I431+J431</f>
        <v>1189.3940287389867</v>
      </c>
      <c r="L431" s="4">
        <f>(H431-J431)/Thiet_ke!$B$3</f>
        <v>0.11642498668413596</v>
      </c>
      <c r="M431" s="4">
        <f>1.05+0.05*B431^2</f>
        <v>1.4000000000000001</v>
      </c>
      <c r="N431" s="4">
        <f>(MIN(H431,Thiet_ke!$B$16)-K431)/(Thiet_ke!$B$2*M431)</f>
        <v>0.7106993709795527</v>
      </c>
      <c r="O431" s="4">
        <f>IF(N431&gt;0,1/N431,"")</f>
        <v>1.407064703915111</v>
      </c>
    </row>
    <row r="432" spans="1:15">
      <c r="A432">
        <v>3</v>
      </c>
      <c r="B432" s="4">
        <f>Thiet_ke!$B$22</f>
        <v>2.6457513110645907</v>
      </c>
      <c r="C432" s="4">
        <f>Dau_vao!$B$21+(Dau_vao!$B$19-Dau_vao!$B$21)*28/200</f>
        <v>1052.0</v>
      </c>
      <c r="D432" s="4">
        <f>2*PI()*C432*Thiet_ke!$B$7/(60*Thiet_ke!$B$15*B432)</f>
        <v>4.484065697120391</v>
      </c>
      <c r="E432" s="4">
        <f>D432*3.6</f>
        <v>16.14263650963341</v>
      </c>
      <c r="F432" s="4">
        <f>Thiet_ke!$B$12*(Dau_vao!$B$22*(C432/Dau_vao!$B$19)+Dau_vao!$B$23*(C432/Dau_vao!$B$19)^2-Dau_vao!$B$24*(C432/Dau_vao!$B$19)^3)</f>
        <v>44.65608232327426</v>
      </c>
      <c r="G432" s="4">
        <f>60000*F432/(2*PI()*C432)</f>
        <v>405.35567913694155</v>
      </c>
      <c r="H432" s="4">
        <f>G432*Thiet_ke!$B$15*B432*Dau_vao!$B$10/Thiet_ke!$B$7</f>
        <v>8863.365515192416</v>
      </c>
      <c r="I432" s="4">
        <f>IF(D432&lt;=Dau_vao!$B$14,Dau_vao!$B$13,Dau_vao!$B$13*(1+D432^2/1500))</f>
        <v>0.015</v>
      </c>
      <c r="J432" s="4">
        <f>Thiet_ke!$B$8*D432^2</f>
        <v>58.81252214006845</v>
      </c>
      <c r="K432" s="4">
        <f>Thiet_ke!$B$3*I432+J432</f>
        <v>1190.3960221400687</v>
      </c>
      <c r="L432" s="4">
        <f>(H432-J432)/Thiet_ke!$B$3</f>
        <v>0.11671104686113327</v>
      </c>
      <c r="M432" s="4">
        <f>1.05+0.05*B432^2</f>
        <v>1.4000000000000001</v>
      </c>
      <c r="N432" s="4">
        <f>(MIN(H432,Thiet_ke!$B$16)-K432)/(Thiet_ke!$B$2*M432)</f>
        <v>0.7127038355055124</v>
      </c>
      <c r="O432" s="4">
        <f>IF(N432&gt;0,1/N432,"")</f>
        <v>1.4031073640717981</v>
      </c>
    </row>
    <row r="433" spans="1:15">
      <c r="A433">
        <v>3</v>
      </c>
      <c r="B433" s="4">
        <f>Thiet_ke!$B$22</f>
        <v>2.6457513110645907</v>
      </c>
      <c r="C433" s="4">
        <f>Dau_vao!$B$21+(Dau_vao!$B$19-Dau_vao!$B$21)*29/200</f>
        <v>1061.0</v>
      </c>
      <c r="D433" s="4">
        <f>2*PI()*C433*Thiet_ke!$B$7/(60*Thiet_ke!$B$15*B433)</f>
        <v>4.522427475898036</v>
      </c>
      <c r="E433" s="4">
        <f>D433*3.6</f>
        <v>16.28073891323293</v>
      </c>
      <c r="F433" s="4">
        <f>Thiet_ke!$B$12*(Dau_vao!$B$22*(C433/Dau_vao!$B$19)+Dau_vao!$B$23*(C433/Dau_vao!$B$19)^2-Dau_vao!$B$24*(C433/Dau_vao!$B$19)^3)</f>
        <v>45.151724750954486</v>
      </c>
      <c r="G433" s="4">
        <f>60000*F433/(2*PI()*C433)</f>
        <v>406.3781441982517</v>
      </c>
      <c r="H433" s="4">
        <f>G433*Thiet_ke!$B$15*B433*Dau_vao!$B$10/Thiet_ke!$B$7</f>
        <v>8885.722378636883</v>
      </c>
      <c r="I433" s="4">
        <f>IF(D433&lt;=Dau_vao!$B$14,Dau_vao!$B$13,Dau_vao!$B$13*(1+D433^2/1500))</f>
        <v>0.015</v>
      </c>
      <c r="J433" s="4">
        <f>Thiet_ke!$B$8*D433^2</f>
        <v>59.823124553665636</v>
      </c>
      <c r="K433" s="4">
        <f>Thiet_ke!$B$3*I433+J433</f>
        <v>1191.4066245536658</v>
      </c>
      <c r="L433" s="4">
        <f>(H433-J433)/Thiet_ke!$B$3</f>
        <v>0.11699400778753688</v>
      </c>
      <c r="M433" s="4">
        <f>1.05+0.05*B433^2</f>
        <v>1.4000000000000001</v>
      </c>
      <c r="N433" s="4">
        <f>(MIN(H433,Thiet_ke!$B$16)-K433)/(Thiet_ke!$B$2*M433)</f>
        <v>0.714686583139812</v>
      </c>
      <c r="O433" s="4">
        <f>IF(N433&gt;0,1/N433,"")</f>
        <v>1.399214737748019</v>
      </c>
    </row>
    <row r="434" spans="1:15">
      <c r="A434">
        <v>3</v>
      </c>
      <c r="B434" s="4">
        <f>Thiet_ke!$B$22</f>
        <v>2.6457513110645907</v>
      </c>
      <c r="C434" s="4">
        <f>Dau_vao!$B$21+(Dau_vao!$B$19-Dau_vao!$B$21)*30/200</f>
        <v>1070.0</v>
      </c>
      <c r="D434" s="4">
        <f>2*PI()*C434*Thiet_ke!$B$7/(60*Thiet_ke!$B$15*B434)</f>
        <v>4.560789254675682</v>
      </c>
      <c r="E434" s="4">
        <f>D434*3.6</f>
        <v>16.418841316832456</v>
      </c>
      <c r="F434" s="4">
        <f>Thiet_ke!$B$12*(Dau_vao!$B$22*(C434/Dau_vao!$B$19)+Dau_vao!$B$23*(C434/Dau_vao!$B$19)^2-Dau_vao!$B$24*(C434/Dau_vao!$B$19)^3)</f>
        <v>45.64814047185552</v>
      </c>
      <c r="G434" s="4">
        <f>60000*F434/(2*PI()*C434)</f>
        <v>407.3903102270473</v>
      </c>
      <c r="H434" s="4">
        <f>G434*Thiet_ke!$B$15*B434*Dau_vao!$B$10/Thiet_ke!$B$7</f>
        <v>8907.854047038267</v>
      </c>
      <c r="I434" s="4">
        <f>IF(D434&lt;=Dau_vao!$B$14,Dau_vao!$B$13,Dau_vao!$B$13*(1+D434^2/1500))</f>
        <v>0.015</v>
      </c>
      <c r="J434" s="4">
        <f>Thiet_ke!$B$8*D434^2</f>
        <v>60.84233597977811</v>
      </c>
      <c r="K434" s="4">
        <f>Thiet_ke!$B$3*I434+J434</f>
        <v>1192.4258359797782</v>
      </c>
      <c r="L434" s="4">
        <f>(H434-J434)/Thiet_ke!$B$3</f>
        <v>0.117273869463347</v>
      </c>
      <c r="M434" s="4">
        <f>1.05+0.05*B434^2</f>
        <v>1.4000000000000001</v>
      </c>
      <c r="N434" s="4">
        <f>(MIN(H434,Thiet_ke!$B$16)-K434)/(Thiet_ke!$B$2*M434)</f>
        <v>0.7166476138824528</v>
      </c>
      <c r="O434" s="4">
        <f>IF(N434&gt;0,1/N434,"")</f>
        <v>1.3953859339354804</v>
      </c>
    </row>
    <row r="435" spans="1:15">
      <c r="A435">
        <v>3</v>
      </c>
      <c r="B435" s="4">
        <f>Thiet_ke!$B$22</f>
        <v>2.6457513110645907</v>
      </c>
      <c r="C435" s="4">
        <f>Dau_vao!$B$21+(Dau_vao!$B$19-Dau_vao!$B$21)*31/200</f>
        <v>1079.0</v>
      </c>
      <c r="D435" s="4">
        <f>2*PI()*C435*Thiet_ke!$B$7/(60*Thiet_ke!$B$15*B435)</f>
        <v>4.599151033453328</v>
      </c>
      <c r="E435" s="4">
        <f>D435*3.6</f>
        <v>16.55694372043198</v>
      </c>
      <c r="F435" s="4">
        <f>Thiet_ke!$B$12*(Dau_vao!$B$22*(C435/Dau_vao!$B$19)+Dau_vao!$B$23*(C435/Dau_vao!$B$19)^2-Dau_vao!$B$24*(C435/Dau_vao!$B$19)^3)</f>
        <v>46.14530036614894</v>
      </c>
      <c r="G435" s="4">
        <f>60000*F435/(2*PI()*C435)</f>
        <v>408.3921772233282</v>
      </c>
      <c r="H435" s="4">
        <f>G435*Thiet_ke!$B$15*B435*Dau_vao!$B$10/Thiet_ke!$B$7</f>
        <v>8929.76052039656</v>
      </c>
      <c r="I435" s="4">
        <f>IF(D435&lt;=Dau_vao!$B$14,Dau_vao!$B$13,Dau_vao!$B$13*(1+D435^2/1500))</f>
        <v>0.015</v>
      </c>
      <c r="J435" s="4">
        <f>Thiet_ke!$B$8*D435^2</f>
        <v>61.87015641840584</v>
      </c>
      <c r="K435" s="4">
        <f>Thiet_ke!$B$3*I435+J435</f>
        <v>1193.4536564184061</v>
      </c>
      <c r="L435" s="4">
        <f>(H435-J435)/Thiet_ke!$B$3</f>
        <v>0.11755063188856349</v>
      </c>
      <c r="M435" s="4">
        <f>1.05+0.05*B435^2</f>
        <v>1.4000000000000001</v>
      </c>
      <c r="N435" s="4">
        <f>(MIN(H435,Thiet_ke!$B$16)-K435)/(Thiet_ke!$B$2*M435)</f>
        <v>0.7185869277334341</v>
      </c>
      <c r="O435" s="4">
        <f>IF(N435&gt;0,1/N435,"")</f>
        <v>1.3916200829789633</v>
      </c>
    </row>
    <row r="436" spans="1:15">
      <c r="A436">
        <v>3</v>
      </c>
      <c r="B436" s="4">
        <f>Thiet_ke!$B$22</f>
        <v>2.6457513110645907</v>
      </c>
      <c r="C436" s="4">
        <f>Dau_vao!$B$21+(Dau_vao!$B$19-Dau_vao!$B$21)*32/200</f>
        <v>1088.0</v>
      </c>
      <c r="D436" s="4">
        <f>2*PI()*C436*Thiet_ke!$B$7/(60*Thiet_ke!$B$15*B436)</f>
        <v>4.637512812230974</v>
      </c>
      <c r="E436" s="4">
        <f>D436*3.6</f>
        <v>16.695046124031506</v>
      </c>
      <c r="F436" s="4">
        <f>Thiet_ke!$B$12*(Dau_vao!$B$22*(C436/Dau_vao!$B$19)+Dau_vao!$B$23*(C436/Dau_vao!$B$19)^2-Dau_vao!$B$24*(C436/Dau_vao!$B$19)^3)</f>
        <v>46.64317531400637</v>
      </c>
      <c r="G436" s="4">
        <f>60000*F436/(2*PI()*C436)</f>
        <v>409.3837451870946</v>
      </c>
      <c r="H436" s="4">
        <f>G436*Thiet_ke!$B$15*B436*Dau_vao!$B$10/Thiet_ke!$B$7</f>
        <v>8951.441798711761</v>
      </c>
      <c r="I436" s="4">
        <f>IF(D436&lt;=Dau_vao!$B$14,Dau_vao!$B$13,Dau_vao!$B$13*(1+D436^2/1500))</f>
        <v>0.015</v>
      </c>
      <c r="J436" s="4">
        <f>Thiet_ke!$B$8*D436^2</f>
        <v>62.906585869548834</v>
      </c>
      <c r="K436" s="4">
        <f>Thiet_ke!$B$3*I436+J436</f>
        <v>1194.490085869549</v>
      </c>
      <c r="L436" s="4">
        <f>(H436-J436)/Thiet_ke!$B$3</f>
        <v>0.1178242950631864</v>
      </c>
      <c r="M436" s="4">
        <f>1.05+0.05*B436^2</f>
        <v>1.4000000000000001</v>
      </c>
      <c r="N436" s="4">
        <f>(MIN(H436,Thiet_ke!$B$16)-K436)/(Thiet_ke!$B$2*M436)</f>
        <v>0.7205045246927559</v>
      </c>
      <c r="O436" s="4">
        <f>IF(N436&gt;0,1/N436,"")</f>
        <v>1.3879163360236066</v>
      </c>
    </row>
    <row r="437" spans="1:15">
      <c r="A437">
        <v>3</v>
      </c>
      <c r="B437" s="4">
        <f>Thiet_ke!$B$22</f>
        <v>2.6457513110645907</v>
      </c>
      <c r="C437" s="4">
        <f>Dau_vao!$B$21+(Dau_vao!$B$19-Dau_vao!$B$21)*33/200</f>
        <v>1097.0</v>
      </c>
      <c r="D437" s="4">
        <f>2*PI()*C437*Thiet_ke!$B$7/(60*Thiet_ke!$B$15*B437)</f>
        <v>4.67587459100862</v>
      </c>
      <c r="E437" s="4">
        <f>D437*3.6</f>
        <v>16.83314852763103</v>
      </c>
      <c r="F437" s="4">
        <f>Thiet_ke!$B$12*(Dau_vao!$B$22*(C437/Dau_vao!$B$19)+Dau_vao!$B$23*(C437/Dau_vao!$B$19)^2-Dau_vao!$B$24*(C437/Dau_vao!$B$19)^3)</f>
        <v>47.1417361955994</v>
      </c>
      <c r="G437" s="4">
        <f>60000*F437/(2*PI()*C437)</f>
        <v>410.3650141183463</v>
      </c>
      <c r="H437" s="4">
        <f>G437*Thiet_ke!$B$15*B437*Dau_vao!$B$10/Thiet_ke!$B$7</f>
        <v>8972.897881983876</v>
      </c>
      <c r="I437" s="4">
        <f>IF(D437&lt;=Dau_vao!$B$14,Dau_vao!$B$13,Dau_vao!$B$13*(1+D437^2/1500))</f>
        <v>0.015</v>
      </c>
      <c r="J437" s="4">
        <f>Thiet_ke!$B$8*D437^2</f>
        <v>63.95162433320709</v>
      </c>
      <c r="K437" s="4">
        <f>Thiet_ke!$B$3*I437+J437</f>
        <v>1195.5351243332072</v>
      </c>
      <c r="L437" s="4">
        <f>(H437-J437)/Thiet_ke!$B$3</f>
        <v>0.11809485898721571</v>
      </c>
      <c r="M437" s="4">
        <f>1.05+0.05*B437^2</f>
        <v>1.4000000000000001</v>
      </c>
      <c r="N437" s="4">
        <f>(MIN(H437,Thiet_ke!$B$16)-K437)/(Thiet_ke!$B$2*M437)</f>
        <v>0.7224004047604187</v>
      </c>
      <c r="O437" s="4">
        <f>IF(N437&gt;0,1/N437,"")</f>
        <v>1.3842738644805248</v>
      </c>
    </row>
    <row r="438" spans="1:15">
      <c r="A438">
        <v>3</v>
      </c>
      <c r="B438" s="4">
        <f>Thiet_ke!$B$22</f>
        <v>2.6457513110645907</v>
      </c>
      <c r="C438" s="4">
        <f>Dau_vao!$B$21+(Dau_vao!$B$19-Dau_vao!$B$21)*34/200</f>
        <v>1106.0</v>
      </c>
      <c r="D438" s="4">
        <f>2*PI()*C438*Thiet_ke!$B$7/(60*Thiet_ke!$B$15*B438)</f>
        <v>4.714236369786265</v>
      </c>
      <c r="E438" s="4">
        <f>D438*3.6</f>
        <v>16.971250931230557</v>
      </c>
      <c r="F438" s="4">
        <f>Thiet_ke!$B$12*(Dau_vao!$B$22*(C438/Dau_vao!$B$19)+Dau_vao!$B$23*(C438/Dau_vao!$B$19)^2-Dau_vao!$B$24*(C438/Dau_vao!$B$19)^3)</f>
        <v>47.64095389109963</v>
      </c>
      <c r="G438" s="4">
        <f>60000*F438/(2*PI()*C438)</f>
        <v>411.33598401708343</v>
      </c>
      <c r="H438" s="4">
        <f>G438*Thiet_ke!$B$15*B438*Dau_vao!$B$10/Thiet_ke!$B$7</f>
        <v>8994.1287702129</v>
      </c>
      <c r="I438" s="4">
        <f>IF(D438&lt;=Dau_vao!$B$14,Dau_vao!$B$13,Dau_vao!$B$13*(1+D438^2/1500))</f>
        <v>0.015</v>
      </c>
      <c r="J438" s="4">
        <f>Thiet_ke!$B$8*D438^2</f>
        <v>65.00527180938059</v>
      </c>
      <c r="K438" s="4">
        <f>Thiet_ke!$B$3*I438+J438</f>
        <v>1196.588771809381</v>
      </c>
      <c r="L438" s="4">
        <f>(H438-J438)/Thiet_ke!$B$3</f>
        <v>0.11836232366065143</v>
      </c>
      <c r="M438" s="4">
        <f>1.05+0.05*B438^2</f>
        <v>1.4000000000000001</v>
      </c>
      <c r="N438" s="4">
        <f>(MIN(H438,Thiet_ke!$B$16)-K438)/(Thiet_ke!$B$2*M438)</f>
        <v>0.7242745679364218</v>
      </c>
      <c r="O438" s="4">
        <f>IF(N438&gt;0,1/N438,"")</f>
        <v>1.3806918595100828</v>
      </c>
    </row>
    <row r="439" spans="1:15">
      <c r="A439">
        <v>3</v>
      </c>
      <c r="B439" s="4">
        <f>Thiet_ke!$B$22</f>
        <v>2.6457513110645907</v>
      </c>
      <c r="C439" s="4">
        <f>Dau_vao!$B$21+(Dau_vao!$B$19-Dau_vao!$B$21)*35/200</f>
        <v>1115.0</v>
      </c>
      <c r="D439" s="4">
        <f>2*PI()*C439*Thiet_ke!$B$7/(60*Thiet_ke!$B$15*B439)</f>
        <v>4.752598148563912</v>
      </c>
      <c r="E439" s="4">
        <f>D439*3.6</f>
        <v>17.109353334830086</v>
      </c>
      <c r="F439" s="4">
        <f>Thiet_ke!$B$12*(Dau_vao!$B$22*(C439/Dau_vao!$B$19)+Dau_vao!$B$23*(C439/Dau_vao!$B$19)^2-Dau_vao!$B$24*(C439/Dau_vao!$B$19)^3)</f>
        <v>48.14079928067868</v>
      </c>
      <c r="G439" s="4">
        <f>60000*F439/(2*PI()*C439)</f>
        <v>412.29665488330613</v>
      </c>
      <c r="H439" s="4">
        <f>G439*Thiet_ke!$B$15*B439*Dau_vao!$B$10/Thiet_ke!$B$7</f>
        <v>9015.134463398837</v>
      </c>
      <c r="I439" s="4">
        <f>IF(D439&lt;=Dau_vao!$B$14,Dau_vao!$B$13,Dau_vao!$B$13*(1+D439^2/1500))</f>
        <v>0.015</v>
      </c>
      <c r="J439" s="4">
        <f>Thiet_ke!$B$8*D439^2</f>
        <v>66.06752829806939</v>
      </c>
      <c r="K439" s="4">
        <f>Thiet_ke!$B$3*I439+J439</f>
        <v>1197.6510282980696</v>
      </c>
      <c r="L439" s="4">
        <f>(H439-J439)/Thiet_ke!$B$3</f>
        <v>0.11862668908349361</v>
      </c>
      <c r="M439" s="4">
        <f>1.05+0.05*B439^2</f>
        <v>1.4000000000000001</v>
      </c>
      <c r="N439" s="4">
        <f>(MIN(H439,Thiet_ke!$B$16)-K439)/(Thiet_ke!$B$2*M439)</f>
        <v>0.726127014220766</v>
      </c>
      <c r="O439" s="4">
        <f>IF(N439&gt;0,1/N439,"")</f>
        <v>1.377169531522164</v>
      </c>
    </row>
    <row r="440" spans="1:15">
      <c r="A440">
        <v>3</v>
      </c>
      <c r="B440" s="4">
        <f>Thiet_ke!$B$22</f>
        <v>2.6457513110645907</v>
      </c>
      <c r="C440" s="4">
        <f>Dau_vao!$B$21+(Dau_vao!$B$19-Dau_vao!$B$21)*36/200</f>
        <v>1124.0</v>
      </c>
      <c r="D440" s="4">
        <f>2*PI()*C440*Thiet_ke!$B$7/(60*Thiet_ke!$B$15*B440)</f>
        <v>4.790959927341558</v>
      </c>
      <c r="E440" s="4">
        <f>D440*3.6</f>
        <v>17.24745573842961</v>
      </c>
      <c r="F440" s="4">
        <f>Thiet_ke!$B$12*(Dau_vao!$B$22*(C440/Dau_vao!$B$19)+Dau_vao!$B$23*(C440/Dau_vao!$B$19)^2-Dau_vao!$B$24*(C440/Dau_vao!$B$19)^3)</f>
        <v>48.64124324450813</v>
      </c>
      <c r="G440" s="4">
        <f>60000*F440/(2*PI()*C440)</f>
        <v>413.2470267170141</v>
      </c>
      <c r="H440" s="4">
        <f>G440*Thiet_ke!$B$15*B440*Dau_vao!$B$10/Thiet_ke!$B$7</f>
        <v>9035.914961541683</v>
      </c>
      <c r="I440" s="4">
        <f>IF(D440&lt;=Dau_vao!$B$14,Dau_vao!$B$13,Dau_vao!$B$13*(1+D440^2/1500))</f>
        <v>0.015</v>
      </c>
      <c r="J440" s="4">
        <f>Thiet_ke!$B$8*D440^2</f>
        <v>67.13839379927344</v>
      </c>
      <c r="K440" s="4">
        <f>Thiet_ke!$B$3*I440+J440</f>
        <v>1198.7218937992736</v>
      </c>
      <c r="L440" s="4">
        <f>(H440-J440)/Thiet_ke!$B$3</f>
        <v>0.11888795525574217</v>
      </c>
      <c r="M440" s="4">
        <f>1.05+0.05*B440^2</f>
        <v>1.4000000000000001</v>
      </c>
      <c r="N440" s="4">
        <f>(MIN(H440,Thiet_ke!$B$16)-K440)/(Thiet_ke!$B$2*M440)</f>
        <v>0.7279577436134504</v>
      </c>
      <c r="O440" s="4">
        <f>IF(N440&gt;0,1/N440,"")</f>
        <v>1.3737061096928251</v>
      </c>
    </row>
    <row r="441" spans="1:15">
      <c r="A441">
        <v>3</v>
      </c>
      <c r="B441" s="4">
        <f>Thiet_ke!$B$22</f>
        <v>2.6457513110645907</v>
      </c>
      <c r="C441" s="4">
        <f>Dau_vao!$B$21+(Dau_vao!$B$19-Dau_vao!$B$21)*37/200</f>
        <v>1133.0</v>
      </c>
      <c r="D441" s="4">
        <f>2*PI()*C441*Thiet_ke!$B$7/(60*Thiet_ke!$B$15*B441)</f>
        <v>4.829321706119203</v>
      </c>
      <c r="E441" s="4">
        <f>D441*3.6</f>
        <v>17.385558142029133</v>
      </c>
      <c r="F441" s="4">
        <f>Thiet_ke!$B$12*(Dau_vao!$B$22*(C441/Dau_vao!$B$19)+Dau_vao!$B$23*(C441/Dau_vao!$B$19)^2-Dau_vao!$B$24*(C441/Dau_vao!$B$19)^3)</f>
        <v>49.1422566627596</v>
      </c>
      <c r="G441" s="4">
        <f>60000*F441/(2*PI()*C441)</f>
        <v>414.18709951820756</v>
      </c>
      <c r="H441" s="4">
        <f>G441*Thiet_ke!$B$15*B441*Dau_vao!$B$10/Thiet_ke!$B$7</f>
        <v>9056.47026464144</v>
      </c>
      <c r="I441" s="4">
        <f>IF(D441&lt;=Dau_vao!$B$14,Dau_vao!$B$13,Dau_vao!$B$13*(1+D441^2/1500))</f>
        <v>0.015</v>
      </c>
      <c r="J441" s="4">
        <f>Thiet_ke!$B$8*D441^2</f>
        <v>68.21786831299272</v>
      </c>
      <c r="K441" s="4">
        <f>Thiet_ke!$B$3*I441+J441</f>
        <v>1199.801368312993</v>
      </c>
      <c r="L441" s="4">
        <f>(H441-J441)/Thiet_ke!$B$3</f>
        <v>0.11914612217739716</v>
      </c>
      <c r="M441" s="4">
        <f>1.05+0.05*B441^2</f>
        <v>1.4000000000000001</v>
      </c>
      <c r="N441" s="4">
        <f>(MIN(H441,Thiet_ke!$B$16)-K441)/(Thiet_ke!$B$2*M441)</f>
        <v>0.7297667561144758</v>
      </c>
      <c r="O441" s="4">
        <f>IF(N441&gt;0,1/N441,"")</f>
        <v>1.3703008414967228</v>
      </c>
    </row>
    <row r="442" spans="1:15">
      <c r="A442">
        <v>3</v>
      </c>
      <c r="B442" s="4">
        <f>Thiet_ke!$B$22</f>
        <v>2.6457513110645907</v>
      </c>
      <c r="C442" s="4">
        <f>Dau_vao!$B$21+(Dau_vao!$B$19-Dau_vao!$B$21)*38/200</f>
        <v>1142.0</v>
      </c>
      <c r="D442" s="4">
        <f>2*PI()*C442*Thiet_ke!$B$7/(60*Thiet_ke!$B$15*B442)</f>
        <v>4.867683484896849</v>
      </c>
      <c r="E442" s="4">
        <f>D442*3.6</f>
        <v>17.52366054562866</v>
      </c>
      <c r="F442" s="4">
        <f>Thiet_ke!$B$12*(Dau_vao!$B$22*(C442/Dau_vao!$B$19)+Dau_vao!$B$23*(C442/Dau_vao!$B$19)^2-Dau_vao!$B$24*(C442/Dau_vao!$B$19)^3)</f>
        <v>49.643810415604676</v>
      </c>
      <c r="G442" s="4">
        <f>60000*F442/(2*PI()*C442)</f>
        <v>415.11687328688635</v>
      </c>
      <c r="H442" s="4">
        <f>G442*Thiet_ke!$B$15*B442*Dau_vao!$B$10/Thiet_ke!$B$7</f>
        <v>9076.800372698111</v>
      </c>
      <c r="I442" s="4">
        <f>IF(D442&lt;=Dau_vao!$B$14,Dau_vao!$B$13,Dau_vao!$B$13*(1+D442^2/1500))</f>
        <v>0.015</v>
      </c>
      <c r="J442" s="4">
        <f>Thiet_ke!$B$8*D442^2</f>
        <v>69.30595183922729</v>
      </c>
      <c r="K442" s="4">
        <f>Thiet_ke!$B$3*I442+J442</f>
        <v>1200.8894518392274</v>
      </c>
      <c r="L442" s="4">
        <f>(H442-J442)/Thiet_ke!$B$3</f>
        <v>0.1194011898484586</v>
      </c>
      <c r="M442" s="4">
        <f>1.05+0.05*B442^2</f>
        <v>1.4000000000000001</v>
      </c>
      <c r="N442" s="4">
        <f>(MIN(H442,Thiet_ke!$B$16)-K442)/(Thiet_ke!$B$2*M442)</f>
        <v>0.731554051723842</v>
      </c>
      <c r="O442" s="4">
        <f>IF(N442&gt;0,1/N442,"")</f>
        <v>1.366952992254761</v>
      </c>
    </row>
    <row r="443" spans="1:15">
      <c r="A443">
        <v>3</v>
      </c>
      <c r="B443" s="4">
        <f>Thiet_ke!$B$22</f>
        <v>2.6457513110645907</v>
      </c>
      <c r="C443" s="4">
        <f>Dau_vao!$B$21+(Dau_vao!$B$19-Dau_vao!$B$21)*39/200</f>
        <v>1151.0</v>
      </c>
      <c r="D443" s="4">
        <f>2*PI()*C443*Thiet_ke!$B$7/(60*Thiet_ke!$B$15*B443)</f>
        <v>4.906045263674495</v>
      </c>
      <c r="E443" s="4">
        <f>D443*3.6</f>
        <v>17.661762949228184</v>
      </c>
      <c r="F443" s="4">
        <f>Thiet_ke!$B$12*(Dau_vao!$B$22*(C443/Dau_vao!$B$19)+Dau_vao!$B$23*(C443/Dau_vao!$B$19)^2-Dau_vao!$B$24*(C443/Dau_vao!$B$19)^3)</f>
        <v>50.14587538321496</v>
      </c>
      <c r="G443" s="4">
        <f>60000*F443/(2*PI()*C443)</f>
        <v>416.03634802305055</v>
      </c>
      <c r="H443" s="4">
        <f>G443*Thiet_ke!$B$15*B443*Dau_vao!$B$10/Thiet_ke!$B$7</f>
        <v>9096.90528571169</v>
      </c>
      <c r="I443" s="4">
        <f>IF(D443&lt;=Dau_vao!$B$14,Dau_vao!$B$13,Dau_vao!$B$13*(1+D443^2/1500))</f>
        <v>0.015</v>
      </c>
      <c r="J443" s="4">
        <f>Thiet_ke!$B$8*D443^2</f>
        <v>70.40264437797714</v>
      </c>
      <c r="K443" s="4">
        <f>Thiet_ke!$B$3*I443+J443</f>
        <v>1201.9861443779773</v>
      </c>
      <c r="L443" s="4">
        <f>(H443-J443)/Thiet_ke!$B$3</f>
        <v>0.1196531582689264</v>
      </c>
      <c r="M443" s="4">
        <f>1.05+0.05*B443^2</f>
        <v>1.4000000000000001</v>
      </c>
      <c r="N443" s="4">
        <f>(MIN(H443,Thiet_ke!$B$16)-K443)/(Thiet_ke!$B$2*M443)</f>
        <v>0.7333196304415485</v>
      </c>
      <c r="O443" s="4">
        <f>IF(N443&gt;0,1/N443,"")</f>
        <v>1.3636618446963942</v>
      </c>
    </row>
    <row r="444" spans="1:15">
      <c r="A444">
        <v>3</v>
      </c>
      <c r="B444" s="4">
        <f>Thiet_ke!$B$22</f>
        <v>2.6457513110645907</v>
      </c>
      <c r="C444" s="4">
        <f>Dau_vao!$B$21+(Dau_vao!$B$19-Dau_vao!$B$21)*40/200</f>
        <v>1160.0</v>
      </c>
      <c r="D444" s="4">
        <f>2*PI()*C444*Thiet_ke!$B$7/(60*Thiet_ke!$B$15*B444)</f>
        <v>4.944407042452141</v>
      </c>
      <c r="E444" s="4">
        <f>D444*3.6</f>
        <v>17.79986535282771</v>
      </c>
      <c r="F444" s="4">
        <f>Thiet_ke!$B$12*(Dau_vao!$B$22*(C444/Dau_vao!$B$19)+Dau_vao!$B$23*(C444/Dau_vao!$B$19)^2-Dau_vao!$B$24*(C444/Dau_vao!$B$19)^3)</f>
        <v>50.648422445762066</v>
      </c>
      <c r="G444" s="4">
        <f>60000*F444/(2*PI()*C444)</f>
        <v>416.9455237267002</v>
      </c>
      <c r="H444" s="4">
        <f>G444*Thiet_ke!$B$15*B444*Dau_vao!$B$10/Thiet_ke!$B$7</f>
        <v>9116.78500368218</v>
      </c>
      <c r="I444" s="4">
        <f>IF(D444&lt;=Dau_vao!$B$14,Dau_vao!$B$13,Dau_vao!$B$13*(1+D444^2/1500))</f>
        <v>0.015</v>
      </c>
      <c r="J444" s="4">
        <f>Thiet_ke!$B$8*D444^2</f>
        <v>71.50794592924223</v>
      </c>
      <c r="K444" s="4">
        <f>Thiet_ke!$B$3*I444+J444</f>
        <v>1203.0914459292424</v>
      </c>
      <c r="L444" s="4">
        <f>(H444-J444)/Thiet_ke!$B$3</f>
        <v>0.11990202743880062</v>
      </c>
      <c r="M444" s="4">
        <f>1.05+0.05*B444^2</f>
        <v>1.4000000000000001</v>
      </c>
      <c r="N444" s="4">
        <f>(MIN(H444,Thiet_ke!$B$16)-K444)/(Thiet_ke!$B$2*M444)</f>
        <v>0.7350634922675958</v>
      </c>
      <c r="O444" s="4">
        <f>IF(N444&gt;0,1/N444,"")</f>
        <v>1.360426698536071</v>
      </c>
    </row>
    <row r="445" spans="1:15">
      <c r="A445">
        <v>3</v>
      </c>
      <c r="B445" s="4">
        <f>Thiet_ke!$B$22</f>
        <v>2.6457513110645907</v>
      </c>
      <c r="C445" s="4">
        <f>Dau_vao!$B$21+(Dau_vao!$B$19-Dau_vao!$B$21)*41/200</f>
        <v>1169.0</v>
      </c>
      <c r="D445" s="4">
        <f>2*PI()*C445*Thiet_ke!$B$7/(60*Thiet_ke!$B$15*B445)</f>
        <v>4.982768821229788</v>
      </c>
      <c r="E445" s="4">
        <f>D445*3.6</f>
        <v>17.937967756427238</v>
      </c>
      <c r="F445" s="4">
        <f>Thiet_ke!$B$12*(Dau_vao!$B$22*(C445/Dau_vao!$B$19)+Dau_vao!$B$23*(C445/Dau_vao!$B$19)^2-Dau_vao!$B$24*(C445/Dau_vao!$B$19)^3)</f>
        <v>51.151422483417576</v>
      </c>
      <c r="G445" s="4">
        <f>60000*F445/(2*PI()*C445)</f>
        <v>417.8444003978351</v>
      </c>
      <c r="H445" s="4">
        <f>G445*Thiet_ke!$B$15*B445*Dau_vao!$B$10/Thiet_ke!$B$7</f>
        <v>9136.439526609578</v>
      </c>
      <c r="I445" s="4">
        <f>IF(D445&lt;=Dau_vao!$B$14,Dau_vao!$B$13,Dau_vao!$B$13*(1+D445^2/1500))</f>
        <v>0.015</v>
      </c>
      <c r="J445" s="4">
        <f>Thiet_ke!$B$8*D445^2</f>
        <v>72.6218564930226</v>
      </c>
      <c r="K445" s="4">
        <f>Thiet_ke!$B$3*I445+J445</f>
        <v>1204.2053564930227</v>
      </c>
      <c r="L445" s="4">
        <f>(H445-J445)/Thiet_ke!$B$3</f>
        <v>0.12014779735808123</v>
      </c>
      <c r="M445" s="4">
        <f>1.05+0.05*B445^2</f>
        <v>1.4000000000000001</v>
      </c>
      <c r="N445" s="4">
        <f>(MIN(H445,Thiet_ke!$B$16)-K445)/(Thiet_ke!$B$2*M445)</f>
        <v>0.7367856372019834</v>
      </c>
      <c r="O445" s="4">
        <f>IF(N445&gt;0,1/N445,"")</f>
        <v>1.357246870063319</v>
      </c>
    </row>
    <row r="446" spans="1:15">
      <c r="A446">
        <v>3</v>
      </c>
      <c r="B446" s="4">
        <f>Thiet_ke!$B$22</f>
        <v>2.6457513110645907</v>
      </c>
      <c r="C446" s="4">
        <f>Dau_vao!$B$21+(Dau_vao!$B$19-Dau_vao!$B$21)*42/200</f>
        <v>1178.0</v>
      </c>
      <c r="D446" s="4">
        <f>2*PI()*C446*Thiet_ke!$B$7/(60*Thiet_ke!$B$15*B446)</f>
        <v>5.0211306000074325</v>
      </c>
      <c r="E446" s="4">
        <f>D446*3.6</f>
        <v>18.076070160026756</v>
      </c>
      <c r="F446" s="4">
        <f>Thiet_ke!$B$12*(Dau_vao!$B$22*(C446/Dau_vao!$B$19)+Dau_vao!$B$23*(C446/Dau_vao!$B$19)^2-Dau_vao!$B$24*(C446/Dau_vao!$B$19)^3)</f>
        <v>51.65484637635312</v>
      </c>
      <c r="G446" s="4">
        <f>60000*F446/(2*PI()*C446)</f>
        <v>418.73297803645556</v>
      </c>
      <c r="H446" s="4">
        <f>G446*Thiet_ke!$B$15*B446*Dau_vao!$B$10/Thiet_ke!$B$7</f>
        <v>9155.868854493889</v>
      </c>
      <c r="I446" s="4">
        <f>IF(D446&lt;=Dau_vao!$B$14,Dau_vao!$B$13,Dau_vao!$B$13*(1+D446^2/1500))</f>
        <v>0.015</v>
      </c>
      <c r="J446" s="4">
        <f>Thiet_ke!$B$8*D446^2</f>
        <v>73.74437606931818</v>
      </c>
      <c r="K446" s="4">
        <f>Thiet_ke!$B$3*I446+J446</f>
        <v>1205.3278760693183</v>
      </c>
      <c r="L446" s="4">
        <f>(H446-J446)/Thiet_ke!$B$3</f>
        <v>0.12039046802676827</v>
      </c>
      <c r="M446" s="4">
        <f>1.05+0.05*B446^2</f>
        <v>1.4000000000000001</v>
      </c>
      <c r="N446" s="4">
        <f>(MIN(H446,Thiet_ke!$B$16)-K446)/(Thiet_ke!$B$2*M446)</f>
        <v>0.7384860652447119</v>
      </c>
      <c r="O446" s="4">
        <f>IF(N446&gt;0,1/N446,"")</f>
        <v>1.354121691745978</v>
      </c>
    </row>
    <row r="447" spans="1:15">
      <c r="A447">
        <v>3</v>
      </c>
      <c r="B447" s="4">
        <f>Thiet_ke!$B$22</f>
        <v>2.6457513110645907</v>
      </c>
      <c r="C447" s="4">
        <f>Dau_vao!$B$21+(Dau_vao!$B$19-Dau_vao!$B$21)*43/200</f>
        <v>1187.0</v>
      </c>
      <c r="D447" s="4">
        <f>2*PI()*C447*Thiet_ke!$B$7/(60*Thiet_ke!$B$15*B447)</f>
        <v>5.059492378785079</v>
      </c>
      <c r="E447" s="4">
        <f>D447*3.6</f>
        <v>18.214172563626285</v>
      </c>
      <c r="F447" s="4">
        <f>Thiet_ke!$B$12*(Dau_vao!$B$22*(C447/Dau_vao!$B$19)+Dau_vao!$B$23*(C447/Dau_vao!$B$19)^2-Dau_vao!$B$24*(C447/Dau_vao!$B$19)^3)</f>
        <v>52.15866500474027</v>
      </c>
      <c r="G447" s="4">
        <f>60000*F447/(2*PI()*C447)</f>
        <v>419.61125664256133</v>
      </c>
      <c r="H447" s="4">
        <f>G447*Thiet_ke!$B$15*B447*Dau_vao!$B$10/Thiet_ke!$B$7</f>
        <v>9175.072987335112</v>
      </c>
      <c r="I447" s="4">
        <f>IF(D447&lt;=Dau_vao!$B$14,Dau_vao!$B$13,Dau_vao!$B$13*(1+D447^2/1500))</f>
        <v>0.015</v>
      </c>
      <c r="J447" s="4">
        <f>Thiet_ke!$B$8*D447^2</f>
        <v>74.87550465812909</v>
      </c>
      <c r="K447" s="4">
        <f>Thiet_ke!$B$3*I447+J447</f>
        <v>1206.4590046581293</v>
      </c>
      <c r="L447" s="4">
        <f>(H447-J447)/Thiet_ke!$B$3</f>
        <v>0.12063003944486177</v>
      </c>
      <c r="M447" s="4">
        <f>1.05+0.05*B447^2</f>
        <v>1.4000000000000001</v>
      </c>
      <c r="N447" s="4">
        <f>(MIN(H447,Thiet_ke!$B$16)-K447)/(Thiet_ke!$B$2*M447)</f>
        <v>0.7401647763957814</v>
      </c>
      <c r="O447" s="4">
        <f>IF(N447&gt;0,1/N447,"")</f>
        <v>1.3510505118461342</v>
      </c>
    </row>
    <row r="448" spans="1:15">
      <c r="A448">
        <v>3</v>
      </c>
      <c r="B448" s="4">
        <f>Thiet_ke!$B$22</f>
        <v>2.6457513110645907</v>
      </c>
      <c r="C448" s="4">
        <f>Dau_vao!$B$21+(Dau_vao!$B$19-Dau_vao!$B$21)*44/200</f>
        <v>1196.0</v>
      </c>
      <c r="D448" s="4">
        <f>2*PI()*C448*Thiet_ke!$B$7/(60*Thiet_ke!$B$15*B448)</f>
        <v>5.097854157562725</v>
      </c>
      <c r="E448" s="4">
        <f>D448*3.6</f>
        <v>18.352274967225814</v>
      </c>
      <c r="F448" s="4">
        <f>Thiet_ke!$B$12*(Dau_vao!$B$22*(C448/Dau_vao!$B$19)+Dau_vao!$B$23*(C448/Dau_vao!$B$19)^2-Dau_vao!$B$24*(C448/Dau_vao!$B$19)^3)</f>
        <v>52.66284924875066</v>
      </c>
      <c r="G448" s="4">
        <f>60000*F448/(2*PI()*C448)</f>
        <v>420.4792362161526</v>
      </c>
      <c r="H448" s="4">
        <f>G448*Thiet_ke!$B$15*B448*Dau_vao!$B$10/Thiet_ke!$B$7</f>
        <v>9194.051925133244</v>
      </c>
      <c r="I448" s="4">
        <f>IF(D448&lt;=Dau_vao!$B$14,Dau_vao!$B$13,Dau_vao!$B$13*(1+D448^2/1500))</f>
        <v>0.015</v>
      </c>
      <c r="J448" s="4">
        <f>Thiet_ke!$B$8*D448^2</f>
        <v>76.01524225945523</v>
      </c>
      <c r="K448" s="4">
        <f>Thiet_ke!$B$3*I448+J448</f>
        <v>1207.5987422594553</v>
      </c>
      <c r="L448" s="4">
        <f>(H448-J448)/Thiet_ke!$B$3</f>
        <v>0.12086651161236164</v>
      </c>
      <c r="M448" s="4">
        <f>1.05+0.05*B448^2</f>
        <v>1.4000000000000001</v>
      </c>
      <c r="N448" s="4">
        <f>(MIN(H448,Thiet_ke!$B$16)-K448)/(Thiet_ke!$B$2*M448)</f>
        <v>0.7418217706551912</v>
      </c>
      <c r="O448" s="4">
        <f>IF(N448&gt;0,1/N448,"")</f>
        <v>1.3480326940483034</v>
      </c>
    </row>
    <row r="449" spans="1:15">
      <c r="A449">
        <v>3</v>
      </c>
      <c r="B449" s="4">
        <f>Thiet_ke!$B$22</f>
        <v>2.6457513110645907</v>
      </c>
      <c r="C449" s="4">
        <f>Dau_vao!$B$21+(Dau_vao!$B$19-Dau_vao!$B$21)*45/200</f>
        <v>1205.0</v>
      </c>
      <c r="D449" s="4">
        <f>2*PI()*C449*Thiet_ke!$B$7/(60*Thiet_ke!$B$15*B449)</f>
        <v>5.1362159363403705</v>
      </c>
      <c r="E449" s="4">
        <f>D449*3.6</f>
        <v>18.490377370825335</v>
      </c>
      <c r="F449" s="4">
        <f>Thiet_ke!$B$12*(Dau_vao!$B$22*(C449/Dau_vao!$B$19)+Dau_vao!$B$23*(C449/Dau_vao!$B$19)^2-Dau_vao!$B$24*(C449/Dau_vao!$B$19)^3)</f>
        <v>53.16736998855586</v>
      </c>
      <c r="G449" s="4">
        <f>60000*F449/(2*PI()*C449)</f>
        <v>421.3369167572292</v>
      </c>
      <c r="H449" s="4">
        <f>G449*Thiet_ke!$B$15*B449*Dau_vao!$B$10/Thiet_ke!$B$7</f>
        <v>9212.805667888288</v>
      </c>
      <c r="I449" s="4">
        <f>IF(D449&lt;=Dau_vao!$B$14,Dau_vao!$B$13,Dau_vao!$B$13*(1+D449^2/1500))</f>
        <v>0.015</v>
      </c>
      <c r="J449" s="4">
        <f>Thiet_ke!$B$8*D449^2</f>
        <v>77.16358887329662</v>
      </c>
      <c r="K449" s="4">
        <f>Thiet_ke!$B$3*I449+J449</f>
        <v>1208.747088873297</v>
      </c>
      <c r="L449" s="4">
        <f>(H449-J449)/Thiet_ke!$B$3</f>
        <v>0.12109988452926793</v>
      </c>
      <c r="M449" s="4">
        <f>1.05+0.05*B449^2</f>
        <v>1.4000000000000001</v>
      </c>
      <c r="N449" s="4">
        <f>(MIN(H449,Thiet_ke!$B$16)-K449)/(Thiet_ke!$B$2*M449)</f>
        <v>0.7434570480229417</v>
      </c>
      <c r="O449" s="4">
        <f>IF(N449&gt;0,1/N449,"")</f>
        <v>1.3450676170994371</v>
      </c>
    </row>
    <row r="450" spans="1:15">
      <c r="A450">
        <v>3</v>
      </c>
      <c r="B450" s="4">
        <f>Thiet_ke!$B$22</f>
        <v>2.6457513110645907</v>
      </c>
      <c r="C450" s="4">
        <f>Dau_vao!$B$21+(Dau_vao!$B$19-Dau_vao!$B$21)*46/200</f>
        <v>1214.0</v>
      </c>
      <c r="D450" s="4">
        <f>2*PI()*C450*Thiet_ke!$B$7/(60*Thiet_ke!$B$15*B450)</f>
        <v>5.1745777151180175</v>
      </c>
      <c r="E450" s="4">
        <f>D450*3.6</f>
        <v>18.628479774424864</v>
      </c>
      <c r="F450" s="4">
        <f>Thiet_ke!$B$12*(Dau_vao!$B$22*(C450/Dau_vao!$B$19)+Dau_vao!$B$23*(C450/Dau_vao!$B$19)^2-Dau_vao!$B$24*(C450/Dau_vao!$B$19)^3)</f>
        <v>53.67219810432749</v>
      </c>
      <c r="G450" s="4">
        <f>60000*F450/(2*PI()*C450)</f>
        <v>422.1842982657912</v>
      </c>
      <c r="H450" s="4">
        <f>G450*Thiet_ke!$B$15*B450*Dau_vao!$B$10/Thiet_ke!$B$7</f>
        <v>9231.334215600242</v>
      </c>
      <c r="I450" s="4">
        <f>IF(D450&lt;=Dau_vao!$B$14,Dau_vao!$B$13,Dau_vao!$B$13*(1+D450^2/1500))</f>
        <v>0.015</v>
      </c>
      <c r="J450" s="4">
        <f>Thiet_ke!$B$8*D450^2</f>
        <v>78.32054449965331</v>
      </c>
      <c r="K450" s="4">
        <f>Thiet_ke!$B$3*I450+J450</f>
        <v>1209.9040444996535</v>
      </c>
      <c r="L450" s="4">
        <f>(H450-J450)/Thiet_ke!$B$3</f>
        <v>0.12133015819558063</v>
      </c>
      <c r="M450" s="4">
        <f>1.05+0.05*B450^2</f>
        <v>1.4000000000000001</v>
      </c>
      <c r="N450" s="4">
        <f>(MIN(H450,Thiet_ke!$B$16)-K450)/(Thiet_ke!$B$2*M450)</f>
        <v>0.7450706084990327</v>
      </c>
      <c r="O450" s="4">
        <f>IF(N450&gt;0,1/N450,"")</f>
        <v>1.3421546744603579</v>
      </c>
    </row>
    <row r="451" spans="1:15">
      <c r="A451">
        <v>3</v>
      </c>
      <c r="B451" s="4">
        <f>Thiet_ke!$B$22</f>
        <v>2.6457513110645907</v>
      </c>
      <c r="C451" s="4">
        <f>Dau_vao!$B$21+(Dau_vao!$B$19-Dau_vao!$B$21)*47/200</f>
        <v>1223.0</v>
      </c>
      <c r="D451" s="4">
        <f>2*PI()*C451*Thiet_ke!$B$7/(60*Thiet_ke!$B$15*B451)</f>
        <v>5.212939493895663</v>
      </c>
      <c r="E451" s="4">
        <f>D451*3.6</f>
        <v>18.766582178024386</v>
      </c>
      <c r="F451" s="4">
        <f>Thiet_ke!$B$12*(Dau_vao!$B$22*(C451/Dau_vao!$B$19)+Dau_vao!$B$23*(C451/Dau_vao!$B$19)^2-Dau_vao!$B$24*(C451/Dau_vao!$B$19)^3)</f>
        <v>54.177304476237154</v>
      </c>
      <c r="G451" s="4">
        <f>60000*F451/(2*PI()*C451)</f>
        <v>423.02138074183864</v>
      </c>
      <c r="H451" s="4">
        <f>G451*Thiet_ke!$B$15*B451*Dau_vao!$B$10/Thiet_ke!$B$7</f>
        <v>9249.637568269107</v>
      </c>
      <c r="I451" s="4">
        <f>IF(D451&lt;=Dau_vao!$B$14,Dau_vao!$B$13,Dau_vao!$B$13*(1+D451^2/1500))</f>
        <v>0.015</v>
      </c>
      <c r="J451" s="4">
        <f>Thiet_ke!$B$8*D451^2</f>
        <v>79.48610913852522</v>
      </c>
      <c r="K451" s="4">
        <f>Thiet_ke!$B$3*I451+J451</f>
        <v>1211.0696091385255</v>
      </c>
      <c r="L451" s="4">
        <f>(H451-J451)/Thiet_ke!$B$3</f>
        <v>0.12155733261129975</v>
      </c>
      <c r="M451" s="4">
        <f>1.05+0.05*B451^2</f>
        <v>1.4000000000000001</v>
      </c>
      <c r="N451" s="4">
        <f>(MIN(H451,Thiet_ke!$B$16)-K451)/(Thiet_ke!$B$2*M451)</f>
        <v>0.7466624520834646</v>
      </c>
      <c r="O451" s="4">
        <f>IF(N451&gt;0,1/N451,"")</f>
        <v>1.3392932739682166</v>
      </c>
    </row>
    <row r="452" spans="1:15">
      <c r="A452">
        <v>3</v>
      </c>
      <c r="B452" s="4">
        <f>Thiet_ke!$B$22</f>
        <v>2.6457513110645907</v>
      </c>
      <c r="C452" s="4">
        <f>Dau_vao!$B$21+(Dau_vao!$B$19-Dau_vao!$B$21)*48/200</f>
        <v>1232.0</v>
      </c>
      <c r="D452" s="4">
        <f>2*PI()*C452*Thiet_ke!$B$7/(60*Thiet_ke!$B$15*B452)</f>
        <v>5.251301272673309</v>
      </c>
      <c r="E452" s="4">
        <f>D452*3.6</f>
        <v>18.90468458162391</v>
      </c>
      <c r="F452" s="4">
        <f>Thiet_ke!$B$12*(Dau_vao!$B$22*(C452/Dau_vao!$B$19)+Dau_vao!$B$23*(C452/Dau_vao!$B$19)^2-Dau_vao!$B$24*(C452/Dau_vao!$B$19)^3)</f>
        <v>54.682659984456436</v>
      </c>
      <c r="G452" s="4">
        <f>60000*F452/(2*PI()*C452)</f>
        <v>423.84816418537145</v>
      </c>
      <c r="H452" s="4">
        <f>G452*Thiet_ke!$B$15*B452*Dau_vao!$B$10/Thiet_ke!$B$7</f>
        <v>9267.715725894883</v>
      </c>
      <c r="I452" s="4">
        <f>IF(D452&lt;=Dau_vao!$B$14,Dau_vao!$B$13,Dau_vao!$B$13*(1+D452^2/1500))</f>
        <v>0.015</v>
      </c>
      <c r="J452" s="4">
        <f>Thiet_ke!$B$8*D452^2</f>
        <v>80.66028278991242</v>
      </c>
      <c r="K452" s="4">
        <f>Thiet_ke!$B$3*I452+J452</f>
        <v>1212.2437827899125</v>
      </c>
      <c r="L452" s="4">
        <f>(H452-J452)/Thiet_ke!$B$3</f>
        <v>0.12178140777642527</v>
      </c>
      <c r="M452" s="4">
        <f>1.05+0.05*B452^2</f>
        <v>1.4000000000000001</v>
      </c>
      <c r="N452" s="4">
        <f>(MIN(H452,Thiet_ke!$B$16)-K452)/(Thiet_ke!$B$2*M452)</f>
        <v>0.7482325787762372</v>
      </c>
      <c r="O452" s="4">
        <f>IF(N452&gt;0,1/N452,"")</f>
        <v>1.3364828375096123</v>
      </c>
    </row>
    <row r="453" spans="1:15">
      <c r="A453">
        <v>3</v>
      </c>
      <c r="B453" s="4">
        <f>Thiet_ke!$B$22</f>
        <v>2.6457513110645907</v>
      </c>
      <c r="C453" s="4">
        <f>Dau_vao!$B$21+(Dau_vao!$B$19-Dau_vao!$B$21)*49/200</f>
        <v>1241.0</v>
      </c>
      <c r="D453" s="4">
        <f>2*PI()*C453*Thiet_ke!$B$7/(60*Thiet_ke!$B$15*B453)</f>
        <v>5.289663051450955</v>
      </c>
      <c r="E453" s="4">
        <f>D453*3.6</f>
        <v>19.042786985223437</v>
      </c>
      <c r="F453" s="4">
        <f>Thiet_ke!$B$12*(Dau_vao!$B$22*(C453/Dau_vao!$B$19)+Dau_vao!$B$23*(C453/Dau_vao!$B$19)^2-Dau_vao!$B$24*(C453/Dau_vao!$B$19)^3)</f>
        <v>55.188235509156954</v>
      </c>
      <c r="G453" s="4">
        <f>60000*F453/(2*PI()*C453)</f>
        <v>424.66464859638967</v>
      </c>
      <c r="H453" s="4">
        <f>G453*Thiet_ke!$B$15*B453*Dau_vao!$B$10/Thiet_ke!$B$7</f>
        <v>9285.568688477568</v>
      </c>
      <c r="I453" s="4">
        <f>IF(D453&lt;=Dau_vao!$B$14,Dau_vao!$B$13,Dau_vao!$B$13*(1+D453^2/1500))</f>
        <v>0.015</v>
      </c>
      <c r="J453" s="4">
        <f>Thiet_ke!$B$8*D453^2</f>
        <v>81.84306545381487</v>
      </c>
      <c r="K453" s="4">
        <f>Thiet_ke!$B$3*I453+J453</f>
        <v>1213.426565453815</v>
      </c>
      <c r="L453" s="4">
        <f>(H453-J453)/Thiet_ke!$B$3</f>
        <v>0.1220023836909572</v>
      </c>
      <c r="M453" s="4">
        <f>1.05+0.05*B453^2</f>
        <v>1.4000000000000001</v>
      </c>
      <c r="N453" s="4">
        <f>(MIN(H453,Thiet_ke!$B$16)-K453)/(Thiet_ke!$B$2*M453)</f>
        <v>0.7497809885773501</v>
      </c>
      <c r="O453" s="4">
        <f>IF(N453&gt;0,1/N453,"")</f>
        <v>1.3337228007040038</v>
      </c>
    </row>
    <row r="454" spans="1:15">
      <c r="A454">
        <v>3</v>
      </c>
      <c r="B454" s="4">
        <f>Thiet_ke!$B$22</f>
        <v>2.6457513110645907</v>
      </c>
      <c r="C454" s="4">
        <f>Dau_vao!$B$21+(Dau_vao!$B$19-Dau_vao!$B$21)*50/200</f>
        <v>1250.0</v>
      </c>
      <c r="D454" s="4">
        <f>2*PI()*C454*Thiet_ke!$B$7/(60*Thiet_ke!$B$15*B454)</f>
        <v>5.328024830228601</v>
      </c>
      <c r="E454" s="4">
        <f>D454*3.6</f>
        <v>19.180889388822962</v>
      </c>
      <c r="F454" s="4">
        <f>Thiet_ke!$B$12*(Dau_vao!$B$22*(C454/Dau_vao!$B$19)+Dau_vao!$B$23*(C454/Dau_vao!$B$19)^2-Dau_vao!$B$24*(C454/Dau_vao!$B$19)^3)</f>
        <v>55.69400193051032</v>
      </c>
      <c r="G454" s="4">
        <f>60000*F454/(2*PI()*C454)</f>
        <v>425.47083397489337</v>
      </c>
      <c r="H454" s="4">
        <f>G454*Thiet_ke!$B$15*B454*Dau_vao!$B$10/Thiet_ke!$B$7</f>
        <v>9303.196456017167</v>
      </c>
      <c r="I454" s="4">
        <f>IF(D454&lt;=Dau_vao!$B$14,Dau_vao!$B$13,Dau_vao!$B$13*(1+D454^2/1500))</f>
        <v>0.015</v>
      </c>
      <c r="J454" s="4">
        <f>Thiet_ke!$B$8*D454^2</f>
        <v>83.0344571302326</v>
      </c>
      <c r="K454" s="4">
        <f>Thiet_ke!$B$3*I454+J454</f>
        <v>1214.6179571302328</v>
      </c>
      <c r="L454" s="4">
        <f>(H454-J454)/Thiet_ke!$B$3</f>
        <v>0.12222026035489561</v>
      </c>
      <c r="M454" s="4">
        <f>1.05+0.05*B454^2</f>
        <v>1.4000000000000001</v>
      </c>
      <c r="N454" s="4">
        <f>(MIN(H454,Thiet_ke!$B$16)-K454)/(Thiet_ke!$B$2*M454)</f>
        <v>0.7513076814868042</v>
      </c>
      <c r="O454" s="4">
        <f>IF(N454&gt;0,1/N454,"")</f>
        <v>1.331012612597072</v>
      </c>
    </row>
    <row r="455" spans="1:15">
      <c r="A455">
        <v>3</v>
      </c>
      <c r="B455" s="4">
        <f>Thiet_ke!$B$22</f>
        <v>2.6457513110645907</v>
      </c>
      <c r="C455" s="4">
        <f>Dau_vao!$B$21+(Dau_vao!$B$19-Dau_vao!$B$21)*51/200</f>
        <v>1259.0</v>
      </c>
      <c r="D455" s="4">
        <f>2*PI()*C455*Thiet_ke!$B$7/(60*Thiet_ke!$B$15*B455)</f>
        <v>5.366386609006247</v>
      </c>
      <c r="E455" s="4">
        <f>D455*3.6</f>
        <v>19.318991792422487</v>
      </c>
      <c r="F455" s="4">
        <f>Thiet_ke!$B$12*(Dau_vao!$B$22*(C455/Dau_vao!$B$19)+Dau_vao!$B$23*(C455/Dau_vao!$B$19)^2-Dau_vao!$B$24*(C455/Dau_vao!$B$19)^3)</f>
        <v>56.199930128688095</v>
      </c>
      <c r="G455" s="4">
        <f>60000*F455/(2*PI()*C455)</f>
        <v>426.2667203208824</v>
      </c>
      <c r="H455" s="4">
        <f>G455*Thiet_ke!$B$15*B455*Dau_vao!$B$10/Thiet_ke!$B$7</f>
        <v>9320.599028513672</v>
      </c>
      <c r="I455" s="4">
        <f>IF(D455&lt;=Dau_vao!$B$14,Dau_vao!$B$13,Dau_vao!$B$13*(1+D455^2/1500))</f>
        <v>0.015</v>
      </c>
      <c r="J455" s="4">
        <f>Thiet_ke!$B$8*D455^2</f>
        <v>84.23445781916557</v>
      </c>
      <c r="K455" s="4">
        <f>Thiet_ke!$B$3*I455+J455</f>
        <v>1215.8179578191657</v>
      </c>
      <c r="L455" s="4">
        <f>(H455-J455)/Thiet_ke!$B$3</f>
        <v>0.12243503776824033</v>
      </c>
      <c r="M455" s="4">
        <f>1.05+0.05*B455^2</f>
        <v>1.4000000000000001</v>
      </c>
      <c r="N455" s="4">
        <f>(MIN(H455,Thiet_ke!$B$16)-K455)/(Thiet_ke!$B$2*M455)</f>
        <v>0.7528126575045982</v>
      </c>
      <c r="O455" s="4">
        <f>IF(N455&gt;0,1/N455,"")</f>
        <v>1.3283517353637109</v>
      </c>
    </row>
    <row r="456" spans="1:15">
      <c r="A456">
        <v>3</v>
      </c>
      <c r="B456" s="4">
        <f>Thiet_ke!$B$22</f>
        <v>2.6457513110645907</v>
      </c>
      <c r="C456" s="4">
        <f>Dau_vao!$B$21+(Dau_vao!$B$19-Dau_vao!$B$21)*52/200</f>
        <v>1268.0</v>
      </c>
      <c r="D456" s="4">
        <f>2*PI()*C456*Thiet_ke!$B$7/(60*Thiet_ke!$B$15*B456)</f>
        <v>5.404748387783893</v>
      </c>
      <c r="E456" s="4">
        <f>D456*3.6</f>
        <v>19.457094196022013</v>
      </c>
      <c r="F456" s="4">
        <f>Thiet_ke!$B$12*(Dau_vao!$B$22*(C456/Dau_vao!$B$19)+Dau_vao!$B$23*(C456/Dau_vao!$B$19)^2-Dau_vao!$B$24*(C456/Dau_vao!$B$19)^3)</f>
        <v>56.70599098386193</v>
      </c>
      <c r="G456" s="4">
        <f>60000*F456/(2*PI()*C456)</f>
        <v>427.0523076343569</v>
      </c>
      <c r="H456" s="4">
        <f>G456*Thiet_ke!$B$15*B456*Dau_vao!$B$10/Thiet_ke!$B$7</f>
        <v>9337.776405967092</v>
      </c>
      <c r="I456" s="4">
        <f>IF(D456&lt;=Dau_vao!$B$14,Dau_vao!$B$13,Dau_vao!$B$13*(1+D456^2/1500))</f>
        <v>0.015</v>
      </c>
      <c r="J456" s="4">
        <f>Thiet_ke!$B$8*D456^2</f>
        <v>85.44306752061382</v>
      </c>
      <c r="K456" s="4">
        <f>Thiet_ke!$B$3*I456+J456</f>
        <v>1217.026567520614</v>
      </c>
      <c r="L456" s="4">
        <f>(H456-J456)/Thiet_ke!$B$3</f>
        <v>0.12264671593099154</v>
      </c>
      <c r="M456" s="4">
        <f>1.05+0.05*B456^2</f>
        <v>1.4000000000000001</v>
      </c>
      <c r="N456" s="4">
        <f>(MIN(H456,Thiet_ke!$B$16)-K456)/(Thiet_ke!$B$2*M456)</f>
        <v>0.7542959166307335</v>
      </c>
      <c r="O456" s="4">
        <f>IF(N456&gt;0,1/N456,"")</f>
        <v>1.3257396440203073</v>
      </c>
    </row>
    <row r="457" spans="1:15">
      <c r="A457">
        <v>3</v>
      </c>
      <c r="B457" s="4">
        <f>Thiet_ke!$B$22</f>
        <v>2.6457513110645907</v>
      </c>
      <c r="C457" s="4">
        <f>Dau_vao!$B$21+(Dau_vao!$B$19-Dau_vao!$B$21)*53/200</f>
        <v>1277.0</v>
      </c>
      <c r="D457" s="4">
        <f>2*PI()*C457*Thiet_ke!$B$7/(60*Thiet_ke!$B$15*B457)</f>
        <v>5.443110166561539</v>
      </c>
      <c r="E457" s="4">
        <f>D457*3.6</f>
        <v>19.59519659962154</v>
      </c>
      <c r="F457" s="4">
        <f>Thiet_ke!$B$12*(Dau_vao!$B$22*(C457/Dau_vao!$B$19)+Dau_vao!$B$23*(C457/Dau_vao!$B$19)^2-Dau_vao!$B$24*(C457/Dau_vao!$B$19)^3)</f>
        <v>57.212155376203384</v>
      </c>
      <c r="G457" s="4">
        <f>60000*F457/(2*PI()*C457)</f>
        <v>427.8275959153167</v>
      </c>
      <c r="H457" s="4">
        <f>G457*Thiet_ke!$B$15*B457*Dau_vao!$B$10/Thiet_ke!$B$7</f>
        <v>9354.72858837742</v>
      </c>
      <c r="I457" s="4">
        <f>IF(D457&lt;=Dau_vao!$B$14,Dau_vao!$B$13,Dau_vao!$B$13*(1+D457^2/1500))</f>
        <v>0.015</v>
      </c>
      <c r="J457" s="4">
        <f>Thiet_ke!$B$8*D457^2</f>
        <v>86.66028623457733</v>
      </c>
      <c r="K457" s="4">
        <f>Thiet_ke!$B$3*I457+J457</f>
        <v>1218.2437862345776</v>
      </c>
      <c r="L457" s="4">
        <f>(H457-J457)/Thiet_ke!$B$3</f>
        <v>0.12285529484314912</v>
      </c>
      <c r="M457" s="4">
        <f>1.05+0.05*B457^2</f>
        <v>1.4000000000000001</v>
      </c>
      <c r="N457" s="4">
        <f>(MIN(H457,Thiet_ke!$B$16)-K457)/(Thiet_ke!$B$2*M457)</f>
        <v>0.7557574588652091</v>
      </c>
      <c r="O457" s="4">
        <f>IF(N457&gt;0,1/N457,"")</f>
        <v>1.3231758261460336</v>
      </c>
    </row>
    <row r="458" spans="1:15">
      <c r="A458">
        <v>3</v>
      </c>
      <c r="B458" s="4">
        <f>Thiet_ke!$B$22</f>
        <v>2.6457513110645907</v>
      </c>
      <c r="C458" s="4">
        <f>Dau_vao!$B$21+(Dau_vao!$B$19-Dau_vao!$B$21)*54/200</f>
        <v>1286.0</v>
      </c>
      <c r="D458" s="4">
        <f>2*PI()*C458*Thiet_ke!$B$7/(60*Thiet_ke!$B$15*B458)</f>
        <v>5.481471945339185</v>
      </c>
      <c r="E458" s="4">
        <f>D458*3.6</f>
        <v>19.733299003221067</v>
      </c>
      <c r="F458" s="4">
        <f>Thiet_ke!$B$12*(Dau_vao!$B$22*(C458/Dau_vao!$B$19)+Dau_vao!$B$23*(C458/Dau_vao!$B$19)^2-Dau_vao!$B$24*(C458/Dau_vao!$B$19)^3)</f>
        <v>57.71839418588409</v>
      </c>
      <c r="G458" s="4">
        <f>60000*F458/(2*PI()*C458)</f>
        <v>428.592585163762</v>
      </c>
      <c r="H458" s="4">
        <f>G458*Thiet_ke!$B$15*B458*Dau_vao!$B$10/Thiet_ke!$B$7</f>
        <v>9371.455575744661</v>
      </c>
      <c r="I458" s="4">
        <f>IF(D458&lt;=Dau_vao!$B$14,Dau_vao!$B$13,Dau_vao!$B$13*(1+D458^2/1500))</f>
        <v>0.015</v>
      </c>
      <c r="J458" s="4">
        <f>Thiet_ke!$B$8*D458^2</f>
        <v>87.88611396105611</v>
      </c>
      <c r="K458" s="4">
        <f>Thiet_ke!$B$3*I458+J458</f>
        <v>1219.4696139610562</v>
      </c>
      <c r="L458" s="4">
        <f>(H458-J458)/Thiet_ke!$B$3</f>
        <v>0.12306077450471314</v>
      </c>
      <c r="M458" s="4">
        <f>1.05+0.05*B458^2</f>
        <v>1.4000000000000001</v>
      </c>
      <c r="N458" s="4">
        <f>(MIN(H458,Thiet_ke!$B$16)-K458)/(Thiet_ke!$B$2*M458)</f>
        <v>0.7571972842080257</v>
      </c>
      <c r="O458" s="4">
        <f>IF(N458&gt;0,1/N458,"")</f>
        <v>1.3206597816128312</v>
      </c>
    </row>
    <row r="459" spans="1:15">
      <c r="A459">
        <v>3</v>
      </c>
      <c r="B459" s="4">
        <f>Thiet_ke!$B$22</f>
        <v>2.6457513110645907</v>
      </c>
      <c r="C459" s="4">
        <f>Dau_vao!$B$21+(Dau_vao!$B$19-Dau_vao!$B$21)*55/200</f>
        <v>1295.0</v>
      </c>
      <c r="D459" s="4">
        <f>2*PI()*C459*Thiet_ke!$B$7/(60*Thiet_ke!$B$15*B459)</f>
        <v>5.51983372411683</v>
      </c>
      <c r="E459" s="4">
        <f>D459*3.6</f>
        <v>19.87140140682059</v>
      </c>
      <c r="F459" s="4">
        <f>Thiet_ke!$B$12*(Dau_vao!$B$22*(C459/Dau_vao!$B$19)+Dau_vao!$B$23*(C459/Dau_vao!$B$19)^2-Dau_vao!$B$24*(C459/Dau_vao!$B$19)^3)</f>
        <v>58.22467829307563</v>
      </c>
      <c r="G459" s="4">
        <f>60000*F459/(2*PI()*C459)</f>
        <v>429.3472753796926</v>
      </c>
      <c r="H459" s="4">
        <f>G459*Thiet_ke!$B$15*B459*Dau_vao!$B$10/Thiet_ke!$B$7</f>
        <v>9387.957368068812</v>
      </c>
      <c r="I459" s="4">
        <f>IF(D459&lt;=Dau_vao!$B$14,Dau_vao!$B$13,Dau_vao!$B$13*(1+D459^2/1500))</f>
        <v>0.015</v>
      </c>
      <c r="J459" s="4">
        <f>Thiet_ke!$B$8*D459^2</f>
        <v>89.1205507000501</v>
      </c>
      <c r="K459" s="4">
        <f>Thiet_ke!$B$3*I459+J459</f>
        <v>1220.7040507000502</v>
      </c>
      <c r="L459" s="4">
        <f>(H459-J459)/Thiet_ke!$B$3</f>
        <v>0.12326315491568356</v>
      </c>
      <c r="M459" s="4">
        <f>1.05+0.05*B459^2</f>
        <v>1.4000000000000001</v>
      </c>
      <c r="N459" s="4">
        <f>(MIN(H459,Thiet_ke!$B$16)-K459)/(Thiet_ke!$B$2*M459)</f>
        <v>0.7586153926591827</v>
      </c>
      <c r="O459" s="4">
        <f>IF(N459&gt;0,1/N459,"")</f>
        <v>1.3181910223238278</v>
      </c>
    </row>
    <row r="460" spans="1:15">
      <c r="A460">
        <v>3</v>
      </c>
      <c r="B460" s="4">
        <f>Thiet_ke!$B$22</f>
        <v>2.6457513110645907</v>
      </c>
      <c r="C460" s="4">
        <f>Dau_vao!$B$21+(Dau_vao!$B$19-Dau_vao!$B$21)*56/200</f>
        <v>1304.0</v>
      </c>
      <c r="D460" s="4">
        <f>2*PI()*C460*Thiet_ke!$B$7/(60*Thiet_ke!$B$15*B460)</f>
        <v>5.558195502894476</v>
      </c>
      <c r="E460" s="4">
        <f>D460*3.6</f>
        <v>20.009503810420114</v>
      </c>
      <c r="F460" s="4">
        <f>Thiet_ke!$B$12*(Dau_vao!$B$22*(C460/Dau_vao!$B$19)+Dau_vao!$B$23*(C460/Dau_vao!$B$19)^2-Dau_vao!$B$24*(C460/Dau_vao!$B$19)^3)</f>
        <v>58.73097857794961</v>
      </c>
      <c r="G460" s="4">
        <f>60000*F460/(2*PI()*C460)</f>
        <v>430.0916665631086</v>
      </c>
      <c r="H460" s="4">
        <f>G460*Thiet_ke!$B$15*B460*Dau_vao!$B$10/Thiet_ke!$B$7</f>
        <v>9404.233965349875</v>
      </c>
      <c r="I460" s="4">
        <f>IF(D460&lt;=Dau_vao!$B$14,Dau_vao!$B$13,Dau_vao!$B$13*(1+D460^2/1500))</f>
        <v>0.015</v>
      </c>
      <c r="J460" s="4">
        <f>Thiet_ke!$B$8*D460^2</f>
        <v>90.3635964515594</v>
      </c>
      <c r="K460" s="4">
        <f>Thiet_ke!$B$3*I460+J460</f>
        <v>1221.9470964515597</v>
      </c>
      <c r="L460" s="4">
        <f>(H460-J460)/Thiet_ke!$B$3</f>
        <v>0.12346243607606042</v>
      </c>
      <c r="M460" s="4">
        <f>1.05+0.05*B460^2</f>
        <v>1.4000000000000001</v>
      </c>
      <c r="N460" s="4">
        <f>(MIN(H460,Thiet_ke!$B$16)-K460)/(Thiet_ke!$B$2*M460)</f>
        <v>0.7600117842186804</v>
      </c>
      <c r="O460" s="4">
        <f>IF(N460&gt;0,1/N460,"")</f>
        <v>1.315769071959899</v>
      </c>
    </row>
    <row r="461" spans="1:15">
      <c r="A461">
        <v>3</v>
      </c>
      <c r="B461" s="4">
        <f>Thiet_ke!$B$22</f>
        <v>2.6457513110645907</v>
      </c>
      <c r="C461" s="4">
        <f>Dau_vao!$B$21+(Dau_vao!$B$19-Dau_vao!$B$21)*57/200</f>
        <v>1313.0</v>
      </c>
      <c r="D461" s="4">
        <f>2*PI()*C461*Thiet_ke!$B$7/(60*Thiet_ke!$B$15*B461)</f>
        <v>5.596557281672122</v>
      </c>
      <c r="E461" s="4">
        <f>D461*3.6</f>
        <v>20.14760621401964</v>
      </c>
      <c r="F461" s="4">
        <f>Thiet_ke!$B$12*(Dau_vao!$B$22*(C461/Dau_vao!$B$19)+Dau_vao!$B$23*(C461/Dau_vao!$B$19)^2-Dau_vao!$B$24*(C461/Dau_vao!$B$19)^3)</f>
        <v>59.23726592067765</v>
      </c>
      <c r="G461" s="4">
        <f>60000*F461/(2*PI()*C461)</f>
        <v>430.82575871401025</v>
      </c>
      <c r="H461" s="4">
        <f>G461*Thiet_ke!$B$15*B461*Dau_vao!$B$10/Thiet_ke!$B$7</f>
        <v>9420.28536758785</v>
      </c>
      <c r="I461" s="4">
        <f>IF(D461&lt;=Dau_vao!$B$14,Dau_vao!$B$13,Dau_vao!$B$13*(1+D461^2/1500))</f>
        <v>0.015</v>
      </c>
      <c r="J461" s="4">
        <f>Thiet_ke!$B$8*D461^2</f>
        <v>91.61525121558397</v>
      </c>
      <c r="K461" s="4">
        <f>Thiet_ke!$B$3*I461+J461</f>
        <v>1223.1987512155843</v>
      </c>
      <c r="L461" s="4">
        <f>(H461-J461)/Thiet_ke!$B$3</f>
        <v>0.12365861798584371</v>
      </c>
      <c r="M461" s="4">
        <f>1.05+0.05*B461^2</f>
        <v>1.4000000000000001</v>
      </c>
      <c r="N461" s="4">
        <f>(MIN(H461,Thiet_ke!$B$16)-K461)/(Thiet_ke!$B$2*M461)</f>
        <v>0.7613864588865191</v>
      </c>
      <c r="O461" s="4">
        <f>IF(N461&gt;0,1/N461,"")</f>
        <v>1.3133934657341273</v>
      </c>
    </row>
    <row r="462" spans="1:15">
      <c r="A462">
        <v>3</v>
      </c>
      <c r="B462" s="4">
        <f>Thiet_ke!$B$22</f>
        <v>2.6457513110645907</v>
      </c>
      <c r="C462" s="4">
        <f>Dau_vao!$B$21+(Dau_vao!$B$19-Dau_vao!$B$21)*58/200</f>
        <v>1322.0</v>
      </c>
      <c r="D462" s="4">
        <f>2*PI()*C462*Thiet_ke!$B$7/(60*Thiet_ke!$B$15*B462)</f>
        <v>5.634919060449769</v>
      </c>
      <c r="E462" s="4">
        <f>D462*3.6</f>
        <v>20.285708617619168</v>
      </c>
      <c r="F462" s="4">
        <f>Thiet_ke!$B$12*(Dau_vao!$B$22*(C462/Dau_vao!$B$19)+Dau_vao!$B$23*(C462/Dau_vao!$B$19)^2-Dau_vao!$B$24*(C462/Dau_vao!$B$19)^3)</f>
        <v>59.74351120143131</v>
      </c>
      <c r="G462" s="4">
        <f>60000*F462/(2*PI()*C462)</f>
        <v>431.54955183239696</v>
      </c>
      <c r="H462" s="4">
        <f>G462*Thiet_ke!$B$15*B462*Dau_vao!$B$10/Thiet_ke!$B$7</f>
        <v>9436.111574782732</v>
      </c>
      <c r="I462" s="4">
        <f>IF(D462&lt;=Dau_vao!$B$14,Dau_vao!$B$13,Dau_vao!$B$13*(1+D462^2/1500))</f>
        <v>0.015</v>
      </c>
      <c r="J462" s="4">
        <f>Thiet_ke!$B$8*D462^2</f>
        <v>92.87551499212381</v>
      </c>
      <c r="K462" s="4">
        <f>Thiet_ke!$B$3*I462+J462</f>
        <v>1224.459014992124</v>
      </c>
      <c r="L462" s="4">
        <f>(H462-J462)/Thiet_ke!$B$3</f>
        <v>0.12385170064503336</v>
      </c>
      <c r="M462" s="4">
        <f>1.05+0.05*B462^2</f>
        <v>1.4000000000000001</v>
      </c>
      <c r="N462" s="4">
        <f>(MIN(H462,Thiet_ke!$B$16)-K462)/(Thiet_ke!$B$2*M462)</f>
        <v>0.762739416662698</v>
      </c>
      <c r="O462" s="4">
        <f>IF(N462&gt;0,1/N462,"")</f>
        <v>1.3110637501539066</v>
      </c>
    </row>
    <row r="463" spans="1:15">
      <c r="A463">
        <v>3</v>
      </c>
      <c r="B463" s="4">
        <f>Thiet_ke!$B$22</f>
        <v>2.6457513110645907</v>
      </c>
      <c r="C463" s="4">
        <f>Dau_vao!$B$21+(Dau_vao!$B$19-Dau_vao!$B$21)*59/200</f>
        <v>1331.0</v>
      </c>
      <c r="D463" s="4">
        <f>2*PI()*C463*Thiet_ke!$B$7/(60*Thiet_ke!$B$15*B463)</f>
        <v>5.673280839227414</v>
      </c>
      <c r="E463" s="4">
        <f>D463*3.6</f>
        <v>20.42381102121869</v>
      </c>
      <c r="F463" s="4">
        <f>Thiet_ke!$B$12*(Dau_vao!$B$22*(C463/Dau_vao!$B$19)+Dau_vao!$B$23*(C463/Dau_vao!$B$19)^2-Dau_vao!$B$24*(C463/Dau_vao!$B$19)^3)</f>
        <v>60.24968530038224</v>
      </c>
      <c r="G463" s="4">
        <f>60000*F463/(2*PI()*C463)</f>
        <v>432.2630459182692</v>
      </c>
      <c r="H463" s="4">
        <f>G463*Thiet_ke!$B$15*B463*Dau_vao!$B$10/Thiet_ke!$B$7</f>
        <v>9451.712586934522</v>
      </c>
      <c r="I463" s="4">
        <f>IF(D463&lt;=Dau_vao!$B$14,Dau_vao!$B$13,Dau_vao!$B$13*(1+D463^2/1500))</f>
        <v>0.015</v>
      </c>
      <c r="J463" s="4">
        <f>Thiet_ke!$B$8*D463^2</f>
        <v>94.14438778117886</v>
      </c>
      <c r="K463" s="4">
        <f>Thiet_ke!$B$3*I463+J463</f>
        <v>1225.727887781179</v>
      </c>
      <c r="L463" s="4">
        <f>(H463-J463)/Thiet_ke!$B$3</f>
        <v>0.12404168405362939</v>
      </c>
      <c r="M463" s="4">
        <f>1.05+0.05*B463^2</f>
        <v>1.4000000000000001</v>
      </c>
      <c r="N463" s="4">
        <f>(MIN(H463,Thiet_ke!$B$16)-K463)/(Thiet_ke!$B$2*M463)</f>
        <v>0.7640706575472174</v>
      </c>
      <c r="O463" s="4">
        <f>IF(N463&gt;0,1/N463,"")</f>
        <v>1.308779482790442</v>
      </c>
    </row>
    <row r="464" spans="1:15">
      <c r="A464">
        <v>3</v>
      </c>
      <c r="B464" s="4">
        <f>Thiet_ke!$B$22</f>
        <v>2.6457513110645907</v>
      </c>
      <c r="C464" s="4">
        <f>Dau_vao!$B$21+(Dau_vao!$B$19-Dau_vao!$B$21)*60/200</f>
        <v>1340.0</v>
      </c>
      <c r="D464" s="4">
        <f>2*PI()*C464*Thiet_ke!$B$7/(60*Thiet_ke!$B$15*B464)</f>
        <v>5.71164261800506</v>
      </c>
      <c r="E464" s="4">
        <f>D464*3.6</f>
        <v>20.561913424818215</v>
      </c>
      <c r="F464" s="4">
        <f>Thiet_ke!$B$12*(Dau_vao!$B$22*(C464/Dau_vao!$B$19)+Dau_vao!$B$23*(C464/Dau_vao!$B$19)^2-Dau_vao!$B$24*(C464/Dau_vao!$B$19)^3)</f>
        <v>60.75575909770202</v>
      </c>
      <c r="G464" s="4">
        <f>60000*F464/(2*PI()*C464)</f>
        <v>432.9662409716269</v>
      </c>
      <c r="H464" s="4">
        <f>G464*Thiet_ke!$B$15*B464*Dau_vao!$B$10/Thiet_ke!$B$7</f>
        <v>9467.08840404323</v>
      </c>
      <c r="I464" s="4">
        <f>IF(D464&lt;=Dau_vao!$B$14,Dau_vao!$B$13,Dau_vao!$B$13*(1+D464^2/1500))</f>
        <v>0.015</v>
      </c>
      <c r="J464" s="4">
        <f>Thiet_ke!$B$8*D464^2</f>
        <v>95.42186958274922</v>
      </c>
      <c r="K464" s="4">
        <f>Thiet_ke!$B$3*I464+J464</f>
        <v>1227.0053695827494</v>
      </c>
      <c r="L464" s="4">
        <f>(H464-J464)/Thiet_ke!$B$3</f>
        <v>0.12422856821163193</v>
      </c>
      <c r="M464" s="4">
        <f>1.05+0.05*B464^2</f>
        <v>1.4000000000000001</v>
      </c>
      <c r="N464" s="4">
        <f>(MIN(H464,Thiet_ke!$B$16)-K464)/(Thiet_ke!$B$2*M464)</f>
        <v>0.7653801815400779</v>
      </c>
      <c r="O464" s="4">
        <f>IF(N464&gt;0,1/N464,"")</f>
        <v>1.3065402320554294</v>
      </c>
    </row>
    <row r="465" spans="1:15">
      <c r="A465">
        <v>3</v>
      </c>
      <c r="B465" s="4">
        <f>Thiet_ke!$B$22</f>
        <v>2.6457513110645907</v>
      </c>
      <c r="C465" s="4">
        <f>Dau_vao!$B$21+(Dau_vao!$B$19-Dau_vao!$B$21)*61/200</f>
        <v>1349.0</v>
      </c>
      <c r="D465" s="4">
        <f>2*PI()*C465*Thiet_ke!$B$7/(60*Thiet_ke!$B$15*B465)</f>
        <v>5.750004396782706</v>
      </c>
      <c r="E465" s="4">
        <f>D465*3.6</f>
        <v>20.70001582841774</v>
      </c>
      <c r="F465" s="4">
        <f>Thiet_ke!$B$12*(Dau_vao!$B$22*(C465/Dau_vao!$B$19)+Dau_vao!$B$23*(C465/Dau_vao!$B$19)^2-Dau_vao!$B$24*(C465/Dau_vao!$B$19)^3)</f>
        <v>61.26170347356226</v>
      </c>
      <c r="G465" s="4">
        <f>60000*F465/(2*PI()*C465)</f>
        <v>433.65913699247005</v>
      </c>
      <c r="H465" s="4">
        <f>G465*Thiet_ke!$B$15*B465*Dau_vao!$B$10/Thiet_ke!$B$7</f>
        <v>9482.239026108842</v>
      </c>
      <c r="I465" s="4">
        <f>IF(D465&lt;=Dau_vao!$B$14,Dau_vao!$B$13,Dau_vao!$B$13*(1+D465^2/1500))</f>
        <v>0.015</v>
      </c>
      <c r="J465" s="4">
        <f>Thiet_ke!$B$8*D465^2</f>
        <v>96.70796039683484</v>
      </c>
      <c r="K465" s="4">
        <f>Thiet_ke!$B$3*I465+J465</f>
        <v>1228.291460396835</v>
      </c>
      <c r="L465" s="4">
        <f>(H465-J465)/Thiet_ke!$B$3</f>
        <v>0.1244123531190408</v>
      </c>
      <c r="M465" s="4">
        <f>1.05+0.05*B465^2</f>
        <v>1.4000000000000001</v>
      </c>
      <c r="N465" s="4">
        <f>(MIN(H465,Thiet_ke!$B$16)-K465)/(Thiet_ke!$B$2*M465)</f>
        <v>0.7666679886412786</v>
      </c>
      <c r="O465" s="4">
        <f>IF(N465&gt;0,1/N465,"")</f>
        <v>1.3043455769846897</v>
      </c>
    </row>
    <row r="466" spans="1:15">
      <c r="A466">
        <v>3</v>
      </c>
      <c r="B466" s="4">
        <f>Thiet_ke!$B$22</f>
        <v>2.6457513110645907</v>
      </c>
      <c r="C466" s="4">
        <f>Dau_vao!$B$21+(Dau_vao!$B$19-Dau_vao!$B$21)*62/200</f>
        <v>1358.0</v>
      </c>
      <c r="D466" s="4">
        <f>2*PI()*C466*Thiet_ke!$B$7/(60*Thiet_ke!$B$15*B466)</f>
        <v>5.788366175560352</v>
      </c>
      <c r="E466" s="4">
        <f>D466*3.6</f>
        <v>20.83811823201727</v>
      </c>
      <c r="F466" s="4">
        <f>Thiet_ke!$B$12*(Dau_vao!$B$22*(C466/Dau_vao!$B$19)+Dau_vao!$B$23*(C466/Dau_vao!$B$19)^2-Dau_vao!$B$24*(C466/Dau_vao!$B$19)^3)</f>
        <v>61.76748930813455</v>
      </c>
      <c r="G466" s="4">
        <f>60000*F466/(2*PI()*C466)</f>
        <v>434.34173398079867</v>
      </c>
      <c r="H466" s="4">
        <f>G466*Thiet_ke!$B$15*B466*Dau_vao!$B$10/Thiet_ke!$B$7</f>
        <v>9497.164453131372</v>
      </c>
      <c r="I466" s="4">
        <f>IF(D466&lt;=Dau_vao!$B$14,Dau_vao!$B$13,Dau_vao!$B$13*(1+D466^2/1500))</f>
        <v>0.015</v>
      </c>
      <c r="J466" s="4">
        <f>Thiet_ke!$B$8*D466^2</f>
        <v>98.0026602234357</v>
      </c>
      <c r="K466" s="4">
        <f>Thiet_ke!$B$3*I466+J466</f>
        <v>1229.5861602234359</v>
      </c>
      <c r="L466" s="4">
        <f>(H466-J466)/Thiet_ke!$B$3</f>
        <v>0.12459303877585616</v>
      </c>
      <c r="M466" s="4">
        <f>1.05+0.05*B466^2</f>
        <v>1.4000000000000001</v>
      </c>
      <c r="N466" s="4">
        <f>(MIN(H466,Thiet_ke!$B$16)-K466)/(Thiet_ke!$B$2*M466)</f>
        <v>0.7679340788508205</v>
      </c>
      <c r="O466" s="4">
        <f>IF(N466&gt;0,1/N466,"")</f>
        <v>1.3021951070285303</v>
      </c>
    </row>
    <row r="467" spans="1:15">
      <c r="A467">
        <v>3</v>
      </c>
      <c r="B467" s="4">
        <f>Thiet_ke!$B$22</f>
        <v>2.6457513110645907</v>
      </c>
      <c r="C467" s="4">
        <f>Dau_vao!$B$21+(Dau_vao!$B$19-Dau_vao!$B$21)*63/200</f>
        <v>1367.0</v>
      </c>
      <c r="D467" s="4">
        <f>2*PI()*C467*Thiet_ke!$B$7/(60*Thiet_ke!$B$15*B467)</f>
        <v>5.826727954337997</v>
      </c>
      <c r="E467" s="4">
        <f>D467*3.6</f>
        <v>20.97622063561679</v>
      </c>
      <c r="F467" s="4">
        <f>Thiet_ke!$B$12*(Dau_vao!$B$22*(C467/Dau_vao!$B$19)+Dau_vao!$B$23*(C467/Dau_vao!$B$19)^2-Dau_vao!$B$24*(C467/Dau_vao!$B$19)^3)</f>
        <v>62.27308748159049</v>
      </c>
      <c r="G467" s="4">
        <f>60000*F467/(2*PI()*C467)</f>
        <v>435.01403193661247</v>
      </c>
      <c r="H467" s="4">
        <f>G467*Thiet_ke!$B$15*B467*Dau_vao!$B$10/Thiet_ke!$B$7</f>
        <v>9511.864685110808</v>
      </c>
      <c r="I467" s="4">
        <f>IF(D467&lt;=Dau_vao!$B$14,Dau_vao!$B$13,Dau_vao!$B$13*(1+D467^2/1500))</f>
        <v>0.015</v>
      </c>
      <c r="J467" s="4">
        <f>Thiet_ke!$B$8*D467^2</f>
        <v>99.3059690625518</v>
      </c>
      <c r="K467" s="4">
        <f>Thiet_ke!$B$3*I467+J467</f>
        <v>1230.889469062552</v>
      </c>
      <c r="L467" s="4">
        <f>(H467-J467)/Thiet_ke!$B$3</f>
        <v>0.12477062518207788</v>
      </c>
      <c r="M467" s="4">
        <f>1.05+0.05*B467^2</f>
        <v>1.4000000000000001</v>
      </c>
      <c r="N467" s="4">
        <f>(MIN(H467,Thiet_ke!$B$16)-K467)/(Thiet_ke!$B$2*M467)</f>
        <v>0.7691784521687028</v>
      </c>
      <c r="O467" s="4">
        <f>IF(N467&gt;0,1/N467,"")</f>
        <v>1.300088421848655</v>
      </c>
    </row>
    <row r="468" spans="1:15">
      <c r="A468">
        <v>3</v>
      </c>
      <c r="B468" s="4">
        <f>Thiet_ke!$B$22</f>
        <v>2.6457513110645907</v>
      </c>
      <c r="C468" s="4">
        <f>Dau_vao!$B$21+(Dau_vao!$B$19-Dau_vao!$B$21)*64/200</f>
        <v>1376.0</v>
      </c>
      <c r="D468" s="4">
        <f>2*PI()*C468*Thiet_ke!$B$7/(60*Thiet_ke!$B$15*B468)</f>
        <v>5.865089733115644</v>
      </c>
      <c r="E468" s="4">
        <f>D468*3.6</f>
        <v>21.11432303921632</v>
      </c>
      <c r="F468" s="4">
        <f>Thiet_ke!$B$12*(Dau_vao!$B$22*(C468/Dau_vao!$B$19)+Dau_vao!$B$23*(C468/Dau_vao!$B$19)^2-Dau_vao!$B$24*(C468/Dau_vao!$B$19)^3)</f>
        <v>62.778468874101684</v>
      </c>
      <c r="G468" s="4">
        <f>60000*F468/(2*PI()*C468)</f>
        <v>435.67603085991175</v>
      </c>
      <c r="H468" s="4">
        <f>G468*Thiet_ke!$B$15*B468*Dau_vao!$B$10/Thiet_ke!$B$7</f>
        <v>9526.339722047152</v>
      </c>
      <c r="I468" s="4">
        <f>IF(D468&lt;=Dau_vao!$B$14,Dau_vao!$B$13,Dau_vao!$B$13*(1+D468^2/1500))</f>
        <v>0.015</v>
      </c>
      <c r="J468" s="4">
        <f>Thiet_ke!$B$8*D468^2</f>
        <v>100.61788691418323</v>
      </c>
      <c r="K468" s="4">
        <f>Thiet_ke!$B$3*I468+J468</f>
        <v>1232.2013869141833</v>
      </c>
      <c r="L468" s="4">
        <f>(H468-J468)/Thiet_ke!$B$3</f>
        <v>0.12494511233770597</v>
      </c>
      <c r="M468" s="4">
        <f>1.05+0.05*B468^2</f>
        <v>1.4000000000000001</v>
      </c>
      <c r="N468" s="4">
        <f>(MIN(H468,Thiet_ke!$B$16)-K468)/(Thiet_ke!$B$2*M468)</f>
        <v>0.7704011085949255</v>
      </c>
      <c r="O468" s="4">
        <f>IF(N468&gt;0,1/N468,"")</f>
        <v>1.2980251311214</v>
      </c>
    </row>
    <row r="469" spans="1:15">
      <c r="A469">
        <v>3</v>
      </c>
      <c r="B469" s="4">
        <f>Thiet_ke!$B$22</f>
        <v>2.6457513110645907</v>
      </c>
      <c r="C469" s="4">
        <f>Dau_vao!$B$21+(Dau_vao!$B$19-Dau_vao!$B$21)*65/200</f>
        <v>1385.0</v>
      </c>
      <c r="D469" s="4">
        <f>2*PI()*C469*Thiet_ke!$B$7/(60*Thiet_ke!$B$15*B469)</f>
        <v>5.903451511893289</v>
      </c>
      <c r="E469" s="4">
        <f>D469*3.6</f>
        <v>21.25242544281584</v>
      </c>
      <c r="F469" s="4">
        <f>Thiet_ke!$B$12*(Dau_vao!$B$22*(C469/Dau_vao!$B$19)+Dau_vao!$B$23*(C469/Dau_vao!$B$19)^2-Dau_vao!$B$24*(C469/Dau_vao!$B$19)^3)</f>
        <v>63.28360436583975</v>
      </c>
      <c r="G469" s="4">
        <f>60000*F469/(2*PI()*C469)</f>
        <v>436.3277307506966</v>
      </c>
      <c r="H469" s="4">
        <f>G469*Thiet_ke!$B$15*B469*Dau_vao!$B$10/Thiet_ke!$B$7</f>
        <v>9540.589563940412</v>
      </c>
      <c r="I469" s="4">
        <f>IF(D469&lt;=Dau_vao!$B$14,Dau_vao!$B$13,Dau_vao!$B$13*(1+D469^2/1500))</f>
        <v>0.015</v>
      </c>
      <c r="J469" s="4">
        <f>Thiet_ke!$B$8*D469^2</f>
        <v>101.93841377832986</v>
      </c>
      <c r="K469" s="4">
        <f>Thiet_ke!$B$3*I469+J469</f>
        <v>1233.5219137783301</v>
      </c>
      <c r="L469" s="4">
        <f>(H469-J469)/Thiet_ke!$B$3</f>
        <v>0.12511650024274057</v>
      </c>
      <c r="M469" s="4">
        <f>1.05+0.05*B469^2</f>
        <v>1.4000000000000001</v>
      </c>
      <c r="N469" s="4">
        <f>(MIN(H469,Thiet_ke!$B$16)-K469)/(Thiet_ke!$B$2*M469)</f>
        <v>0.7716020481294892</v>
      </c>
      <c r="O469" s="4">
        <f>IF(N469&gt;0,1/N469,"")</f>
        <v>1.2960048543471225</v>
      </c>
    </row>
    <row r="470" spans="1:15">
      <c r="A470">
        <v>3</v>
      </c>
      <c r="B470" s="4">
        <f>Thiet_ke!$B$22</f>
        <v>2.6457513110645907</v>
      </c>
      <c r="C470" s="4">
        <f>Dau_vao!$B$21+(Dau_vao!$B$19-Dau_vao!$B$21)*66/200</f>
        <v>1394.0</v>
      </c>
      <c r="D470" s="4">
        <f>2*PI()*C470*Thiet_ke!$B$7/(60*Thiet_ke!$B$15*B470)</f>
        <v>5.941813290670936</v>
      </c>
      <c r="E470" s="4">
        <f>D470*3.6</f>
        <v>21.39052784641537</v>
      </c>
      <c r="F470" s="4">
        <f>Thiet_ke!$B$12*(Dau_vao!$B$22*(C470/Dau_vao!$B$19)+Dau_vao!$B$23*(C470/Dau_vao!$B$19)^2-Dau_vao!$B$24*(C470/Dau_vao!$B$19)^3)</f>
        <v>63.78846483697627</v>
      </c>
      <c r="G470" s="4">
        <f>60000*F470/(2*PI()*C470)</f>
        <v>436.9691316089666</v>
      </c>
      <c r="H470" s="4">
        <f>G470*Thiet_ke!$B$15*B470*Dau_vao!$B$10/Thiet_ke!$B$7</f>
        <v>9554.614210790583</v>
      </c>
      <c r="I470" s="4">
        <f>IF(D470&lt;=Dau_vao!$B$14,Dau_vao!$B$13,Dau_vao!$B$13*(1+D470^2/1500))</f>
        <v>0.015</v>
      </c>
      <c r="J470" s="4">
        <f>Thiet_ke!$B$8*D470^2</f>
        <v>103.26754965499181</v>
      </c>
      <c r="K470" s="4">
        <f>Thiet_ke!$B$3*I470+J470</f>
        <v>1234.851049654992</v>
      </c>
      <c r="L470" s="4">
        <f>(H470-J470)/Thiet_ke!$B$3</f>
        <v>0.1252847888971816</v>
      </c>
      <c r="M470" s="4">
        <f>1.05+0.05*B470^2</f>
        <v>1.4000000000000001</v>
      </c>
      <c r="N470" s="4">
        <f>(MIN(H470,Thiet_ke!$B$16)-K470)/(Thiet_ke!$B$2*M470)</f>
        <v>0.7727812707723937</v>
      </c>
      <c r="O470" s="4">
        <f>IF(N470&gt;0,1/N470,"")</f>
        <v>1.2940272206655599</v>
      </c>
    </row>
    <row r="471" spans="1:15">
      <c r="A471">
        <v>3</v>
      </c>
      <c r="B471" s="4">
        <f>Thiet_ke!$B$22</f>
        <v>2.6457513110645907</v>
      </c>
      <c r="C471" s="4">
        <f>Dau_vao!$B$21+(Dau_vao!$B$19-Dau_vao!$B$21)*67/200</f>
        <v>1403.0</v>
      </c>
      <c r="D471" s="4">
        <f>2*PI()*C471*Thiet_ke!$B$7/(60*Thiet_ke!$B$15*B471)</f>
        <v>5.980175069448581</v>
      </c>
      <c r="E471" s="4">
        <f>D471*3.6</f>
        <v>21.528630250014892</v>
      </c>
      <c r="F471" s="4">
        <f>Thiet_ke!$B$12*(Dau_vao!$B$22*(C471/Dau_vao!$B$19)+Dau_vao!$B$23*(C471/Dau_vao!$B$19)^2-Dau_vao!$B$24*(C471/Dau_vao!$B$19)^3)</f>
        <v>64.29302116768284</v>
      </c>
      <c r="G471" s="4">
        <f>60000*F471/(2*PI()*C471)</f>
        <v>437.60023343472216</v>
      </c>
      <c r="H471" s="4">
        <f>G471*Thiet_ke!$B$15*B471*Dau_vao!$B$10/Thiet_ke!$B$7</f>
        <v>9568.413662597664</v>
      </c>
      <c r="I471" s="4">
        <f>IF(D471&lt;=Dau_vao!$B$14,Dau_vao!$B$13,Dau_vao!$B$13*(1+D471^2/1500))</f>
        <v>0.015</v>
      </c>
      <c r="J471" s="4">
        <f>Thiet_ke!$B$8*D471^2</f>
        <v>104.60529454416896</v>
      </c>
      <c r="K471" s="4">
        <f>Thiet_ke!$B$3*I471+J471</f>
        <v>1236.1887945441692</v>
      </c>
      <c r="L471" s="4">
        <f>(H471-J471)/Thiet_ke!$B$3</f>
        <v>0.12544997830102897</v>
      </c>
      <c r="M471" s="4">
        <f>1.05+0.05*B471^2</f>
        <v>1.4000000000000001</v>
      </c>
      <c r="N471" s="4">
        <f>(MIN(H471,Thiet_ke!$B$16)-K471)/(Thiet_ke!$B$2*M471)</f>
        <v>0.7739387765236387</v>
      </c>
      <c r="O471" s="4">
        <f>IF(N471&gt;0,1/N471,"")</f>
        <v>1.292091868676975</v>
      </c>
    </row>
    <row r="472" spans="1:15">
      <c r="A472">
        <v>3</v>
      </c>
      <c r="B472" s="4">
        <f>Thiet_ke!$B$22</f>
        <v>2.6457513110645907</v>
      </c>
      <c r="C472" s="4">
        <f>Dau_vao!$B$21+(Dau_vao!$B$19-Dau_vao!$B$21)*68/200</f>
        <v>1412.0</v>
      </c>
      <c r="D472" s="4">
        <f>2*PI()*C472*Thiet_ke!$B$7/(60*Thiet_ke!$B$15*B472)</f>
        <v>6.018536848226227</v>
      </c>
      <c r="E472" s="4">
        <f>D472*3.6</f>
        <v>21.666732653614417</v>
      </c>
      <c r="F472" s="4">
        <f>Thiet_ke!$B$12*(Dau_vao!$B$22*(C472/Dau_vao!$B$19)+Dau_vao!$B$23*(C472/Dau_vao!$B$19)^2-Dau_vao!$B$24*(C472/Dau_vao!$B$19)^3)</f>
        <v>64.79724423813109</v>
      </c>
      <c r="G472" s="4">
        <f>60000*F472/(2*PI()*C472)</f>
        <v>438.22103622796305</v>
      </c>
      <c r="H472" s="4">
        <f>G472*Thiet_ke!$B$15*B472*Dau_vao!$B$10/Thiet_ke!$B$7</f>
        <v>9581.987919361653</v>
      </c>
      <c r="I472" s="4">
        <f>IF(D472&lt;=Dau_vao!$B$14,Dau_vao!$B$13,Dau_vao!$B$13*(1+D472^2/1500))</f>
        <v>0.015</v>
      </c>
      <c r="J472" s="4">
        <f>Thiet_ke!$B$8*D472^2</f>
        <v>105.9516484458614</v>
      </c>
      <c r="K472" s="4">
        <f>Thiet_ke!$B$3*I472+J472</f>
        <v>1237.5351484458615</v>
      </c>
      <c r="L472" s="4">
        <f>(H472-J472)/Thiet_ke!$B$3</f>
        <v>0.12561206845428274</v>
      </c>
      <c r="M472" s="4">
        <f>1.05+0.05*B472^2</f>
        <v>1.4000000000000001</v>
      </c>
      <c r="N472" s="4">
        <f>(MIN(H472,Thiet_ke!$B$16)-K472)/(Thiet_ke!$B$2*M472)</f>
        <v>0.7750745653832241</v>
      </c>
      <c r="O472" s="4">
        <f>IF(N472&gt;0,1/N472,"")</f>
        <v>1.2901984462689275</v>
      </c>
    </row>
    <row r="473" spans="1:15">
      <c r="A473">
        <v>3</v>
      </c>
      <c r="B473" s="4">
        <f>Thiet_ke!$B$22</f>
        <v>2.6457513110645907</v>
      </c>
      <c r="C473" s="4">
        <f>Dau_vao!$B$21+(Dau_vao!$B$19-Dau_vao!$B$21)*69/200</f>
        <v>1421.0</v>
      </c>
      <c r="D473" s="4">
        <f>2*PI()*C473*Thiet_ke!$B$7/(60*Thiet_ke!$B$15*B473)</f>
        <v>6.056898627003874</v>
      </c>
      <c r="E473" s="4">
        <f>D473*3.6</f>
        <v>21.804835057213946</v>
      </c>
      <c r="F473" s="4">
        <f>Thiet_ke!$B$12*(Dau_vao!$B$22*(C473/Dau_vao!$B$19)+Dau_vao!$B$23*(C473/Dau_vao!$B$19)^2-Dau_vao!$B$24*(C473/Dau_vao!$B$19)^3)</f>
        <v>65.30110492849258</v>
      </c>
      <c r="G473" s="4">
        <f>60000*F473/(2*PI()*C473)</f>
        <v>438.83153998868926</v>
      </c>
      <c r="H473" s="4">
        <f>G473*Thiet_ke!$B$15*B473*Dau_vao!$B$10/Thiet_ke!$B$7</f>
        <v>9595.336981082553</v>
      </c>
      <c r="I473" s="4">
        <f>IF(D473&lt;=Dau_vao!$B$14,Dau_vao!$B$13,Dau_vao!$B$13*(1+D473^2/1500))</f>
        <v>0.015</v>
      </c>
      <c r="J473" s="4">
        <f>Thiet_ke!$B$8*D473^2</f>
        <v>107.30661136006914</v>
      </c>
      <c r="K473" s="4">
        <f>Thiet_ke!$B$3*I473+J473</f>
        <v>1238.8901113600693</v>
      </c>
      <c r="L473" s="4">
        <f>(H473-J473)/Thiet_ke!$B$3</f>
        <v>0.12577105935694294</v>
      </c>
      <c r="M473" s="4">
        <f>1.05+0.05*B473^2</f>
        <v>1.4000000000000001</v>
      </c>
      <c r="N473" s="4">
        <f>(MIN(H473,Thiet_ke!$B$16)-K473)/(Thiet_ke!$B$2*M473)</f>
        <v>0.7761886373511502</v>
      </c>
      <c r="O473" s="4">
        <f>IF(N473&gt;0,1/N473,"")</f>
        <v>1.2883466104485073</v>
      </c>
    </row>
    <row r="474" spans="1:15">
      <c r="A474">
        <v>3</v>
      </c>
      <c r="B474" s="4">
        <f>Thiet_ke!$B$22</f>
        <v>2.6457513110645907</v>
      </c>
      <c r="C474" s="4">
        <f>Dau_vao!$B$21+(Dau_vao!$B$19-Dau_vao!$B$21)*70/200</f>
        <v>1430.0</v>
      </c>
      <c r="D474" s="4">
        <f>2*PI()*C474*Thiet_ke!$B$7/(60*Thiet_ke!$B$15*B474)</f>
        <v>6.095260405781519</v>
      </c>
      <c r="E474" s="4">
        <f>D474*3.6</f>
        <v>21.942937460813468</v>
      </c>
      <c r="F474" s="4">
        <f>Thiet_ke!$B$12*(Dau_vao!$B$22*(C474/Dau_vao!$B$19)+Dau_vao!$B$23*(C474/Dau_vao!$B$19)^2-Dau_vao!$B$24*(C474/Dau_vao!$B$19)^3)</f>
        <v>65.80457411893899</v>
      </c>
      <c r="G474" s="4">
        <f>60000*F474/(2*PI()*C474)</f>
        <v>439.43174471690116</v>
      </c>
      <c r="H474" s="4">
        <f>G474*Thiet_ke!$B$15*B474*Dau_vao!$B$10/Thiet_ke!$B$7</f>
        <v>9608.460847760369</v>
      </c>
      <c r="I474" s="4">
        <f>IF(D474&lt;=Dau_vao!$B$14,Dau_vao!$B$13,Dau_vao!$B$13*(1+D474^2/1500))</f>
        <v>0.015</v>
      </c>
      <c r="J474" s="4">
        <f>Thiet_ke!$B$8*D474^2</f>
        <v>108.6701832867921</v>
      </c>
      <c r="K474" s="4">
        <f>Thiet_ke!$B$3*I474+J474</f>
        <v>1240.2536832867922</v>
      </c>
      <c r="L474" s="4">
        <f>(H474-J474)/Thiet_ke!$B$3</f>
        <v>0.1259269510090096</v>
      </c>
      <c r="M474" s="4">
        <f>1.05+0.05*B474^2</f>
        <v>1.4000000000000001</v>
      </c>
      <c r="N474" s="4">
        <f>(MIN(H474,Thiet_ke!$B$16)-K474)/(Thiet_ke!$B$2*M474)</f>
        <v>0.7772809924274174</v>
      </c>
      <c r="O474" s="4">
        <f>IF(N474&gt;0,1/N474,"")</f>
        <v>1.286536027179875</v>
      </c>
    </row>
    <row r="475" spans="1:15">
      <c r="A475">
        <v>3</v>
      </c>
      <c r="B475" s="4">
        <f>Thiet_ke!$B$22</f>
        <v>2.6457513110645907</v>
      </c>
      <c r="C475" s="4">
        <f>Dau_vao!$B$21+(Dau_vao!$B$19-Dau_vao!$B$21)*71/200</f>
        <v>1439.0</v>
      </c>
      <c r="D475" s="4">
        <f>2*PI()*C475*Thiet_ke!$B$7/(60*Thiet_ke!$B$15*B475)</f>
        <v>6.133622184559165</v>
      </c>
      <c r="E475" s="4">
        <f>D475*3.6</f>
        <v>22.081039864412997</v>
      </c>
      <c r="F475" s="4">
        <f>Thiet_ke!$B$12*(Dau_vao!$B$22*(C475/Dau_vao!$B$19)+Dau_vao!$B$23*(C475/Dau_vao!$B$19)^2-Dau_vao!$B$24*(C475/Dau_vao!$B$19)^3)</f>
        <v>66.30762268964183</v>
      </c>
      <c r="G475" s="4">
        <f>60000*F475/(2*PI()*C475)</f>
        <v>440.0216504125982</v>
      </c>
      <c r="H475" s="4">
        <f>G475*Thiet_ke!$B$15*B475*Dau_vao!$B$10/Thiet_ke!$B$7</f>
        <v>9621.359519395091</v>
      </c>
      <c r="I475" s="4">
        <f>IF(D475&lt;=Dau_vao!$B$14,Dau_vao!$B$13,Dau_vao!$B$13*(1+D475^2/1500))</f>
        <v>0.015</v>
      </c>
      <c r="J475" s="4">
        <f>Thiet_ke!$B$8*D475^2</f>
        <v>110.04236422603033</v>
      </c>
      <c r="K475" s="4">
        <f>Thiet_ke!$B$3*I475+J475</f>
        <v>1241.6258642260304</v>
      </c>
      <c r="L475" s="4">
        <f>(H475-J475)/Thiet_ke!$B$3</f>
        <v>0.12607974341048267</v>
      </c>
      <c r="M475" s="4">
        <f>1.05+0.05*B475^2</f>
        <v>1.4000000000000001</v>
      </c>
      <c r="N475" s="4">
        <f>(MIN(H475,Thiet_ke!$B$16)-K475)/(Thiet_ke!$B$2*M475)</f>
        <v>0.7783516306120248</v>
      </c>
      <c r="O475" s="4">
        <f>IF(N475&gt;0,1/N475,"")</f>
        <v>1.2847663712269621</v>
      </c>
    </row>
    <row r="476" spans="1:15">
      <c r="A476">
        <v>3</v>
      </c>
      <c r="B476" s="4">
        <f>Thiet_ke!$B$22</f>
        <v>2.6457513110645907</v>
      </c>
      <c r="C476" s="4">
        <f>Dau_vao!$B$21+(Dau_vao!$B$19-Dau_vao!$B$21)*72/200</f>
        <v>1448.0</v>
      </c>
      <c r="D476" s="4">
        <f>2*PI()*C476*Thiet_ke!$B$7/(60*Thiet_ke!$B$15*B476)</f>
        <v>6.17198396333681</v>
      </c>
      <c r="E476" s="4">
        <f>D476*3.6</f>
        <v>22.21914226801252</v>
      </c>
      <c r="F476" s="4">
        <f>Thiet_ke!$B$12*(Dau_vao!$B$22*(C476/Dau_vao!$B$19)+Dau_vao!$B$23*(C476/Dau_vao!$B$19)^2-Dau_vao!$B$24*(C476/Dau_vao!$B$19)^3)</f>
        <v>66.81022152077274</v>
      </c>
      <c r="G476" s="4">
        <f>60000*F476/(2*PI()*C476)</f>
        <v>440.6012570757807</v>
      </c>
      <c r="H476" s="4">
        <f>G476*Thiet_ke!$B$15*B476*Dau_vao!$B$10/Thiet_ke!$B$7</f>
        <v>9634.032995986723</v>
      </c>
      <c r="I476" s="4">
        <f>IF(D476&lt;=Dau_vao!$B$14,Dau_vao!$B$13,Dau_vao!$B$13*(1+D476^2/1500))</f>
        <v>0.015</v>
      </c>
      <c r="J476" s="4">
        <f>Thiet_ke!$B$8*D476^2</f>
        <v>111.42315417778379</v>
      </c>
      <c r="K476" s="4">
        <f>Thiet_ke!$B$3*I476+J476</f>
        <v>1243.006654177784</v>
      </c>
      <c r="L476" s="4">
        <f>(H476-J476)/Thiet_ke!$B$3</f>
        <v>0.12622943656136207</v>
      </c>
      <c r="M476" s="4">
        <f>1.05+0.05*B476^2</f>
        <v>1.4000000000000001</v>
      </c>
      <c r="N476" s="4">
        <f>(MIN(H476,Thiet_ke!$B$16)-K476)/(Thiet_ke!$B$2*M476)</f>
        <v>0.7794005519049729</v>
      </c>
      <c r="O476" s="4">
        <f>IF(N476&gt;0,1/N476,"")</f>
        <v>1.2830373260011796</v>
      </c>
    </row>
    <row r="477" spans="1:15">
      <c r="A477">
        <v>3</v>
      </c>
      <c r="B477" s="4">
        <f>Thiet_ke!$B$22</f>
        <v>2.6457513110645907</v>
      </c>
      <c r="C477" s="4">
        <f>Dau_vao!$B$21+(Dau_vao!$B$19-Dau_vao!$B$21)*73/200</f>
        <v>1457.0</v>
      </c>
      <c r="D477" s="4">
        <f>2*PI()*C477*Thiet_ke!$B$7/(60*Thiet_ke!$B$15*B477)</f>
        <v>6.210345742114457</v>
      </c>
      <c r="E477" s="4">
        <f>D477*3.6</f>
        <v>22.357244671612047</v>
      </c>
      <c r="F477" s="4">
        <f>Thiet_ke!$B$12*(Dau_vao!$B$22*(C477/Dau_vao!$B$19)+Dau_vao!$B$23*(C477/Dau_vao!$B$19)^2-Dau_vao!$B$24*(C477/Dau_vao!$B$19)^3)</f>
        <v>67.31234149250334</v>
      </c>
      <c r="G477" s="4">
        <f>60000*F477/(2*PI()*C477)</f>
        <v>441.17056470644866</v>
      </c>
      <c r="H477" s="4">
        <f>G477*Thiet_ke!$B$15*B477*Dau_vao!$B$10/Thiet_ke!$B$7</f>
        <v>9646.48127753527</v>
      </c>
      <c r="I477" s="4">
        <f>IF(D477&lt;=Dau_vao!$B$14,Dau_vao!$B$13,Dau_vao!$B$13*(1+D477^2/1500))</f>
        <v>0.015</v>
      </c>
      <c r="J477" s="4">
        <f>Thiet_ke!$B$8*D477^2</f>
        <v>112.81255314205258</v>
      </c>
      <c r="K477" s="4">
        <f>Thiet_ke!$B$3*I477+J477</f>
        <v>1244.3960531420528</v>
      </c>
      <c r="L477" s="4">
        <f>(H477-J477)/Thiet_ke!$B$3</f>
        <v>0.126376030461648</v>
      </c>
      <c r="M477" s="4">
        <f>1.05+0.05*B477^2</f>
        <v>1.4000000000000001</v>
      </c>
      <c r="N477" s="4">
        <f>(MIN(H477,Thiet_ke!$B$16)-K477)/(Thiet_ke!$B$2*M477)</f>
        <v>0.7804277563062618</v>
      </c>
      <c r="O477" s="4">
        <f>IF(N477&gt;0,1/N477,"")</f>
        <v>1.2813485834140064</v>
      </c>
    </row>
    <row r="478" spans="1:15">
      <c r="A478">
        <v>3</v>
      </c>
      <c r="B478" s="4">
        <f>Thiet_ke!$B$22</f>
        <v>2.6457513110645907</v>
      </c>
      <c r="C478" s="4">
        <f>Dau_vao!$B$21+(Dau_vao!$B$19-Dau_vao!$B$21)*74/200</f>
        <v>1466.0</v>
      </c>
      <c r="D478" s="4">
        <f>2*PI()*C478*Thiet_ke!$B$7/(60*Thiet_ke!$B$15*B478)</f>
        <v>6.248707520892102</v>
      </c>
      <c r="E478" s="4">
        <f>D478*3.6</f>
        <v>22.49534707521157</v>
      </c>
      <c r="F478" s="4">
        <f>Thiet_ke!$B$12*(Dau_vao!$B$22*(C478/Dau_vao!$B$19)+Dau_vao!$B$23*(C478/Dau_vao!$B$19)^2-Dau_vao!$B$24*(C478/Dau_vao!$B$19)^3)</f>
        <v>67.81395348500523</v>
      </c>
      <c r="G478" s="4">
        <f>60000*F478/(2*PI()*C478)</f>
        <v>441.7295733046021</v>
      </c>
      <c r="H478" s="4">
        <f>G478*Thiet_ke!$B$15*B478*Dau_vao!$B$10/Thiet_ke!$B$7</f>
        <v>9658.704364040726</v>
      </c>
      <c r="I478" s="4">
        <f>IF(D478&lt;=Dau_vao!$B$14,Dau_vao!$B$13,Dau_vao!$B$13*(1+D478^2/1500))</f>
        <v>0.015</v>
      </c>
      <c r="J478" s="4">
        <f>Thiet_ke!$B$8*D478^2</f>
        <v>114.21056111883658</v>
      </c>
      <c r="K478" s="4">
        <f>Thiet_ke!$B$3*I478+J478</f>
        <v>1245.7940611188367</v>
      </c>
      <c r="L478" s="4">
        <f>(H478-J478)/Thiet_ke!$B$3</f>
        <v>0.1265195251113403</v>
      </c>
      <c r="M478" s="4">
        <f>1.05+0.05*B478^2</f>
        <v>1.4000000000000001</v>
      </c>
      <c r="N478" s="4">
        <f>(MIN(H478,Thiet_ke!$B$16)-K478)/(Thiet_ke!$B$2*M478)</f>
        <v>0.7814332438158915</v>
      </c>
      <c r="O478" s="4">
        <f>IF(N478&gt;0,1/N478,"")</f>
        <v>1.279699843734321</v>
      </c>
    </row>
    <row r="479" spans="1:15">
      <c r="A479">
        <v>3</v>
      </c>
      <c r="B479" s="4">
        <f>Thiet_ke!$B$22</f>
        <v>2.6457513110645907</v>
      </c>
      <c r="C479" s="4">
        <f>Dau_vao!$B$21+(Dau_vao!$B$19-Dau_vao!$B$21)*75/200</f>
        <v>1475.0</v>
      </c>
      <c r="D479" s="4">
        <f>2*PI()*C479*Thiet_ke!$B$7/(60*Thiet_ke!$B$15*B479)</f>
        <v>6.287069299669748</v>
      </c>
      <c r="E479" s="4">
        <f>D479*3.6</f>
        <v>22.633449478811094</v>
      </c>
      <c r="F479" s="4">
        <f>Thiet_ke!$B$12*(Dau_vao!$B$22*(C479/Dau_vao!$B$19)+Dau_vao!$B$23*(C479/Dau_vao!$B$19)^2-Dau_vao!$B$24*(C479/Dau_vao!$B$19)^3)</f>
        <v>68.31502837844995</v>
      </c>
      <c r="G479" s="4">
        <f>60000*F479/(2*PI()*C479)</f>
        <v>442.27828287024073</v>
      </c>
      <c r="H479" s="4">
        <f>G479*Thiet_ke!$B$15*B479*Dau_vao!$B$10/Thiet_ke!$B$7</f>
        <v>9670.702255503089</v>
      </c>
      <c r="I479" s="4">
        <f>IF(D479&lt;=Dau_vao!$B$14,Dau_vao!$B$13,Dau_vao!$B$13*(1+D479^2/1500))</f>
        <v>0.015</v>
      </c>
      <c r="J479" s="4">
        <f>Thiet_ke!$B$8*D479^2</f>
        <v>115.61717810813586</v>
      </c>
      <c r="K479" s="4">
        <f>Thiet_ke!$B$3*I479+J479</f>
        <v>1247.2006781081361</v>
      </c>
      <c r="L479" s="4">
        <f>(H479-J479)/Thiet_ke!$B$3</f>
        <v>0.12665992051043895</v>
      </c>
      <c r="M479" s="4">
        <f>1.05+0.05*B479^2</f>
        <v>1.4000000000000001</v>
      </c>
      <c r="N479" s="4">
        <f>(MIN(H479,Thiet_ke!$B$16)-K479)/(Thiet_ke!$B$2*M479)</f>
        <v>0.7824170144338614</v>
      </c>
      <c r="O479" s="4">
        <f>IF(N479&gt;0,1/N479,"")</f>
        <v>1.2780908154503472</v>
      </c>
    </row>
    <row r="480" spans="1:15">
      <c r="A480">
        <v>3</v>
      </c>
      <c r="B480" s="4">
        <f>Thiet_ke!$B$22</f>
        <v>2.6457513110645907</v>
      </c>
      <c r="C480" s="4">
        <f>Dau_vao!$B$21+(Dau_vao!$B$19-Dau_vao!$B$21)*76/200</f>
        <v>1484.0</v>
      </c>
      <c r="D480" s="4">
        <f>2*PI()*C480*Thiet_ke!$B$7/(60*Thiet_ke!$B$15*B480)</f>
        <v>6.325431078447395</v>
      </c>
      <c r="E480" s="4">
        <f>D480*3.6</f>
        <v>22.771551882410623</v>
      </c>
      <c r="F480" s="4">
        <f>Thiet_ke!$B$12*(Dau_vao!$B$22*(C480/Dau_vao!$B$19)+Dau_vao!$B$23*(C480/Dau_vao!$B$19)^2-Dau_vao!$B$24*(C480/Dau_vao!$B$19)^3)</f>
        <v>68.8155370530092</v>
      </c>
      <c r="G480" s="4">
        <f>60000*F480/(2*PI()*C480)</f>
        <v>442.81669340336504</v>
      </c>
      <c r="H480" s="4">
        <f>G480*Thiet_ke!$B$15*B480*Dau_vao!$B$10/Thiet_ke!$B$7</f>
        <v>9682.474951922366</v>
      </c>
      <c r="I480" s="4">
        <f>IF(D480&lt;=Dau_vao!$B$14,Dau_vao!$B$13,Dau_vao!$B$13*(1+D480^2/1500))</f>
        <v>0.015</v>
      </c>
      <c r="J480" s="4">
        <f>Thiet_ke!$B$8*D480^2</f>
        <v>117.03240410995043</v>
      </c>
      <c r="K480" s="4">
        <f>Thiet_ke!$B$3*I480+J480</f>
        <v>1248.6159041099506</v>
      </c>
      <c r="L480" s="4">
        <f>(H480-J480)/Thiet_ke!$B$3</f>
        <v>0.12679721665894406</v>
      </c>
      <c r="M480" s="4">
        <f>1.05+0.05*B480^2</f>
        <v>1.4000000000000001</v>
      </c>
      <c r="N480" s="4">
        <f>(MIN(H480,Thiet_ke!$B$16)-K480)/(Thiet_ke!$B$2*M480)</f>
        <v>0.7833790681601722</v>
      </c>
      <c r="O480" s="4">
        <f>IF(N480&gt;0,1/N480,"")</f>
        <v>1.2765212151360887</v>
      </c>
    </row>
    <row r="481" spans="1:15">
      <c r="A481">
        <v>3</v>
      </c>
      <c r="B481" s="4">
        <f>Thiet_ke!$B$22</f>
        <v>2.6457513110645907</v>
      </c>
      <c r="C481" s="4">
        <f>Dau_vao!$B$21+(Dau_vao!$B$19-Dau_vao!$B$21)*77/200</f>
        <v>1493.0</v>
      </c>
      <c r="D481" s="4">
        <f>2*PI()*C481*Thiet_ke!$B$7/(60*Thiet_ke!$B$15*B481)</f>
        <v>6.36379285722504</v>
      </c>
      <c r="E481" s="4">
        <f>D481*3.6</f>
        <v>22.909654286010145</v>
      </c>
      <c r="F481" s="4">
        <f>Thiet_ke!$B$12*(Dau_vao!$B$22*(C481/Dau_vao!$B$19)+Dau_vao!$B$23*(C481/Dau_vao!$B$19)^2-Dau_vao!$B$24*(C481/Dau_vao!$B$19)^3)</f>
        <v>69.31545038885447</v>
      </c>
      <c r="G481" s="4">
        <f>60000*F481/(2*PI()*C481)</f>
        <v>443.34480490397436</v>
      </c>
      <c r="H481" s="4">
        <f>G481*Thiet_ke!$B$15*B481*Dau_vao!$B$10/Thiet_ke!$B$7</f>
        <v>9694.02245329855</v>
      </c>
      <c r="I481" s="4">
        <f>IF(D481&lt;=Dau_vao!$B$14,Dau_vao!$B$13,Dau_vao!$B$13*(1+D481^2/1500))</f>
        <v>0.015</v>
      </c>
      <c r="J481" s="4">
        <f>Thiet_ke!$B$8*D481^2</f>
        <v>118.45623912428022</v>
      </c>
      <c r="K481" s="4">
        <f>Thiet_ke!$B$3*I481+J481</f>
        <v>1250.0397391242805</v>
      </c>
      <c r="L481" s="4">
        <f>(H481-J481)/Thiet_ke!$B$3</f>
        <v>0.12693141355685553</v>
      </c>
      <c r="M481" s="4">
        <f>1.05+0.05*B481^2</f>
        <v>1.4000000000000001</v>
      </c>
      <c r="N481" s="4">
        <f>(MIN(H481,Thiet_ke!$B$16)-K481)/(Thiet_ke!$B$2*M481)</f>
        <v>0.7843194049948233</v>
      </c>
      <c r="O481" s="4">
        <f>IF(N481&gt;0,1/N481,"")</f>
        <v>1.2749907673221474</v>
      </c>
    </row>
    <row r="482" spans="1:15">
      <c r="A482">
        <v>3</v>
      </c>
      <c r="B482" s="4">
        <f>Thiet_ke!$B$22</f>
        <v>2.6457513110645907</v>
      </c>
      <c r="C482" s="4">
        <f>Dau_vao!$B$21+(Dau_vao!$B$19-Dau_vao!$B$21)*78/200</f>
        <v>1502.0</v>
      </c>
      <c r="D482" s="4">
        <f>2*PI()*C482*Thiet_ke!$B$7/(60*Thiet_ke!$B$15*B482)</f>
        <v>6.402154636002686</v>
      </c>
      <c r="E482" s="4">
        <f>D482*3.6</f>
        <v>23.04775668960967</v>
      </c>
      <c r="F482" s="4">
        <f>Thiet_ke!$B$12*(Dau_vao!$B$22*(C482/Dau_vao!$B$19)+Dau_vao!$B$23*(C482/Dau_vao!$B$19)^2-Dau_vao!$B$24*(C482/Dau_vao!$B$19)^3)</f>
        <v>69.81473926615747</v>
      </c>
      <c r="G482" s="4">
        <f>60000*F482/(2*PI()*C482)</f>
        <v>443.86261737206945</v>
      </c>
      <c r="H482" s="4">
        <f>G482*Thiet_ke!$B$15*B482*Dau_vao!$B$10/Thiet_ke!$B$7</f>
        <v>9705.344759631653</v>
      </c>
      <c r="I482" s="4">
        <f>IF(D482&lt;=Dau_vao!$B$14,Dau_vao!$B$13,Dau_vao!$B$13*(1+D482^2/1500))</f>
        <v>0.015</v>
      </c>
      <c r="J482" s="4">
        <f>Thiet_ke!$B$8*D482^2</f>
        <v>119.88868315112528</v>
      </c>
      <c r="K482" s="4">
        <f>Thiet_ke!$B$3*I482+J482</f>
        <v>1251.4721831511254</v>
      </c>
      <c r="L482" s="4">
        <f>(H482-J482)/Thiet_ke!$B$3</f>
        <v>0.12706251120417353</v>
      </c>
      <c r="M482" s="4">
        <f>1.05+0.05*B482^2</f>
        <v>1.4000000000000001</v>
      </c>
      <c r="N482" s="4">
        <f>(MIN(H482,Thiet_ke!$B$16)-K482)/(Thiet_ke!$B$2*M482)</f>
        <v>0.7852380249378159</v>
      </c>
      <c r="O482" s="4">
        <f>IF(N482&gt;0,1/N482,"")</f>
        <v>1.2734992043707911</v>
      </c>
    </row>
    <row r="483" spans="1:15">
      <c r="A483">
        <v>3</v>
      </c>
      <c r="B483" s="4">
        <f>Thiet_ke!$B$22</f>
        <v>2.6457513110645907</v>
      </c>
      <c r="C483" s="4">
        <f>Dau_vao!$B$21+(Dau_vao!$B$19-Dau_vao!$B$21)*79/200</f>
        <v>1511.0</v>
      </c>
      <c r="D483" s="4">
        <f>2*PI()*C483*Thiet_ke!$B$7/(60*Thiet_ke!$B$15*B483)</f>
        <v>6.440516414780332</v>
      </c>
      <c r="E483" s="4">
        <f>D483*3.6</f>
        <v>23.185859093209196</v>
      </c>
      <c r="F483" s="4">
        <f>Thiet_ke!$B$12*(Dau_vao!$B$22*(C483/Dau_vao!$B$19)+Dau_vao!$B$23*(C483/Dau_vao!$B$19)^2-Dau_vao!$B$24*(C483/Dau_vao!$B$19)^3)</f>
        <v>70.31337456508975</v>
      </c>
      <c r="G483" s="4">
        <f>60000*F483/(2*PI()*C483)</f>
        <v>444.3701308076498</v>
      </c>
      <c r="H483" s="4">
        <f>G483*Thiet_ke!$B$15*B483*Dau_vao!$B$10/Thiet_ke!$B$7</f>
        <v>9716.44187092166</v>
      </c>
      <c r="I483" s="4">
        <f>IF(D483&lt;=Dau_vao!$B$14,Dau_vao!$B$13,Dau_vao!$B$13*(1+D483^2/1500))</f>
        <v>0.015</v>
      </c>
      <c r="J483" s="4">
        <f>Thiet_ke!$B$8*D483^2</f>
        <v>121.32973619048562</v>
      </c>
      <c r="K483" s="4">
        <f>Thiet_ke!$B$3*I483+J483</f>
        <v>1252.9132361904858</v>
      </c>
      <c r="L483" s="4">
        <f>(H483-J483)/Thiet_ke!$B$3</f>
        <v>0.12719050960089787</v>
      </c>
      <c r="M483" s="4">
        <f>1.05+0.05*B483^2</f>
        <v>1.4000000000000001</v>
      </c>
      <c r="N483" s="4">
        <f>(MIN(H483,Thiet_ke!$B$16)-K483)/(Thiet_ke!$B$2*M483)</f>
        <v>0.7861349279891485</v>
      </c>
      <c r="O483" s="4">
        <f>IF(N483&gt;0,1/N483,"")</f>
        <v>1.2720462663551868</v>
      </c>
    </row>
    <row r="484" spans="1:15">
      <c r="A484">
        <v>3</v>
      </c>
      <c r="B484" s="4">
        <f>Thiet_ke!$B$22</f>
        <v>2.6457513110645907</v>
      </c>
      <c r="C484" s="4">
        <f>Dau_vao!$B$21+(Dau_vao!$B$19-Dau_vao!$B$21)*80/200</f>
        <v>1520.0</v>
      </c>
      <c r="D484" s="4">
        <f>2*PI()*C484*Thiet_ke!$B$7/(60*Thiet_ke!$B$15*B484)</f>
        <v>6.4788781935579784</v>
      </c>
      <c r="E484" s="4">
        <f>D484*3.6</f>
        <v>23.323961496808725</v>
      </c>
      <c r="F484" s="4">
        <f>Thiet_ke!$B$12*(Dau_vao!$B$22*(C484/Dau_vao!$B$19)+Dau_vao!$B$23*(C484/Dau_vao!$B$19)^2-Dau_vao!$B$24*(C484/Dau_vao!$B$19)^3)</f>
        <v>70.81132716582292</v>
      </c>
      <c r="G484" s="4">
        <f>60000*F484/(2*PI()*C484)</f>
        <v>444.8673452107156</v>
      </c>
      <c r="H484" s="4">
        <f>G484*Thiet_ke!$B$15*B484*Dau_vao!$B$10/Thiet_ke!$B$7</f>
        <v>9727.31378716858</v>
      </c>
      <c r="I484" s="4">
        <f>IF(D484&lt;=Dau_vao!$B$14,Dau_vao!$B$13,Dau_vao!$B$13*(1+D484^2/1500))</f>
        <v>0.015</v>
      </c>
      <c r="J484" s="4">
        <f>Thiet_ke!$B$8*D484^2</f>
        <v>122.77939824236122</v>
      </c>
      <c r="K484" s="4">
        <f>Thiet_ke!$B$3*I484+J484</f>
        <v>1254.3628982423613</v>
      </c>
      <c r="L484" s="4">
        <f>(H484-J484)/Thiet_ke!$B$3</f>
        <v>0.12731540874702862</v>
      </c>
      <c r="M484" s="4">
        <f>1.05+0.05*B484^2</f>
        <v>1.4000000000000001</v>
      </c>
      <c r="N484" s="4">
        <f>(MIN(H484,Thiet_ke!$B$16)-K484)/(Thiet_ke!$B$2*M484)</f>
        <v>0.7870101141488219</v>
      </c>
      <c r="O484" s="4">
        <f>IF(N484&gt;0,1/N484,"")</f>
        <v>1.2706317009426669</v>
      </c>
    </row>
    <row r="485" spans="1:15">
      <c r="A485">
        <v>3</v>
      </c>
      <c r="B485" s="4">
        <f>Thiet_ke!$B$22</f>
        <v>2.6457513110645907</v>
      </c>
      <c r="C485" s="4">
        <f>Dau_vao!$B$21+(Dau_vao!$B$19-Dau_vao!$B$21)*81/200</f>
        <v>1529.0</v>
      </c>
      <c r="D485" s="4">
        <f>2*PI()*C485*Thiet_ke!$B$7/(60*Thiet_ke!$B$15*B485)</f>
        <v>6.517239972335625</v>
      </c>
      <c r="E485" s="4">
        <f>D485*3.6</f>
        <v>23.462063900408253</v>
      </c>
      <c r="F485" s="4">
        <f>Thiet_ke!$B$12*(Dau_vao!$B$22*(C485/Dau_vao!$B$19)+Dau_vao!$B$23*(C485/Dau_vao!$B$19)^2-Dau_vao!$B$24*(C485/Dau_vao!$B$19)^3)</f>
        <v>71.30856794852853</v>
      </c>
      <c r="G485" s="4">
        <f>60000*F485/(2*PI()*C485)</f>
        <v>445.35426058126666</v>
      </c>
      <c r="H485" s="4">
        <f>G485*Thiet_ke!$B$15*B485*Dau_vao!$B$10/Thiet_ke!$B$7</f>
        <v>9737.96050837241</v>
      </c>
      <c r="I485" s="4">
        <f>IF(D485&lt;=Dau_vao!$B$14,Dau_vao!$B$13,Dau_vao!$B$13*(1+D485^2/1500))</f>
        <v>0.015</v>
      </c>
      <c r="J485" s="4">
        <f>Thiet_ke!$B$8*D485^2</f>
        <v>124.2376693067521</v>
      </c>
      <c r="K485" s="4">
        <f>Thiet_ke!$B$3*I485+J485</f>
        <v>1255.8211693067524</v>
      </c>
      <c r="L485" s="4">
        <f>(H485-J485)/Thiet_ke!$B$3</f>
        <v>0.12743720864256577</v>
      </c>
      <c r="M485" s="4">
        <f>1.05+0.05*B485^2</f>
        <v>1.4000000000000001</v>
      </c>
      <c r="N485" s="4">
        <f>(MIN(H485,Thiet_ke!$B$16)-K485)/(Thiet_ke!$B$2*M485)</f>
        <v>0.7878635834168358</v>
      </c>
      <c r="O485" s="4">
        <f>IF(N485&gt;0,1/N485,"")</f>
        <v>1.2692552632819545</v>
      </c>
    </row>
    <row r="486" spans="1:15">
      <c r="A486">
        <v>3</v>
      </c>
      <c r="B486" s="4">
        <f>Thiet_ke!$B$22</f>
        <v>2.6457513110645907</v>
      </c>
      <c r="C486" s="4">
        <f>Dau_vao!$B$21+(Dau_vao!$B$19-Dau_vao!$B$21)*82/200</f>
        <v>1538.0</v>
      </c>
      <c r="D486" s="4">
        <f>2*PI()*C486*Thiet_ke!$B$7/(60*Thiet_ke!$B$15*B486)</f>
        <v>6.5556017511132705</v>
      </c>
      <c r="E486" s="4">
        <f>D486*3.6</f>
        <v>23.600166304007775</v>
      </c>
      <c r="F486" s="4">
        <f>Thiet_ke!$B$12*(Dau_vao!$B$22*(C486/Dau_vao!$B$19)+Dau_vao!$B$23*(C486/Dau_vao!$B$19)^2-Dau_vao!$B$24*(C486/Dau_vao!$B$19)^3)</f>
        <v>71.80506779337827</v>
      </c>
      <c r="G486" s="4">
        <f>60000*F486/(2*PI()*C486)</f>
        <v>445.83087691930325</v>
      </c>
      <c r="H486" s="4">
        <f>G486*Thiet_ke!$B$15*B486*Dau_vao!$B$10/Thiet_ke!$B$7</f>
        <v>9748.382034533151</v>
      </c>
      <c r="I486" s="4">
        <f>IF(D486&lt;=Dau_vao!$B$14,Dau_vao!$B$13,Dau_vao!$B$13*(1+D486^2/1500))</f>
        <v>0.015</v>
      </c>
      <c r="J486" s="4">
        <f>Thiet_ke!$B$8*D486^2</f>
        <v>125.70454938365819</v>
      </c>
      <c r="K486" s="4">
        <f>Thiet_ke!$B$3*I486+J486</f>
        <v>1257.2880493836583</v>
      </c>
      <c r="L486" s="4">
        <f>(H486-J486)/Thiet_ke!$B$3</f>
        <v>0.1275559092875094</v>
      </c>
      <c r="M486" s="4">
        <f>1.05+0.05*B486^2</f>
        <v>1.4000000000000001</v>
      </c>
      <c r="N486" s="4">
        <f>(MIN(H486,Thiet_ke!$B$16)-K486)/(Thiet_ke!$B$2*M486)</f>
        <v>0.7886953357931907</v>
      </c>
      <c r="O486" s="4">
        <f>IF(N486&gt;0,1/N486,"")</f>
        <v>1.2679167158942308</v>
      </c>
    </row>
    <row r="487" spans="1:15">
      <c r="A487">
        <v>3</v>
      </c>
      <c r="B487" s="4">
        <f>Thiet_ke!$B$22</f>
        <v>2.6457513110645907</v>
      </c>
      <c r="C487" s="4">
        <f>Dau_vao!$B$21+(Dau_vao!$B$19-Dau_vao!$B$21)*83/200</f>
        <v>1547.0</v>
      </c>
      <c r="D487" s="4">
        <f>2*PI()*C487*Thiet_ke!$B$7/(60*Thiet_ke!$B$15*B487)</f>
        <v>6.5939635298909165</v>
      </c>
      <c r="E487" s="4">
        <f>D487*3.6</f>
        <v>23.7382687076073</v>
      </c>
      <c r="F487" s="4">
        <f>Thiet_ke!$B$12*(Dau_vao!$B$22*(C487/Dau_vao!$B$19)+Dau_vao!$B$23*(C487/Dau_vao!$B$19)^2-Dau_vao!$B$24*(C487/Dau_vao!$B$19)^3)</f>
        <v>72.3007975805437</v>
      </c>
      <c r="G487" s="4">
        <f>60000*F487/(2*PI()*C487)</f>
        <v>446.29719422482526</v>
      </c>
      <c r="H487" s="4">
        <f>G487*Thiet_ke!$B$15*B487*Dau_vao!$B$10/Thiet_ke!$B$7</f>
        <v>9758.578365650805</v>
      </c>
      <c r="I487" s="4">
        <f>IF(D487&lt;=Dau_vao!$B$14,Dau_vao!$B$13,Dau_vao!$B$13*(1+D487^2/1500))</f>
        <v>0.015</v>
      </c>
      <c r="J487" s="4">
        <f>Thiet_ke!$B$8*D487^2</f>
        <v>127.18003847307958</v>
      </c>
      <c r="K487" s="4">
        <f>Thiet_ke!$B$3*I487+J487</f>
        <v>1258.7635384730797</v>
      </c>
      <c r="L487" s="4">
        <f>(H487-J487)/Thiet_ke!$B$3</f>
        <v>0.12767151068185942</v>
      </c>
      <c r="M487" s="4">
        <f>1.05+0.05*B487^2</f>
        <v>1.4000000000000001</v>
      </c>
      <c r="N487" s="4">
        <f>(MIN(H487,Thiet_ke!$B$16)-K487)/(Thiet_ke!$B$2*M487)</f>
        <v>0.7895053712778862</v>
      </c>
      <c r="O487" s="4">
        <f>IF(N487&gt;0,1/N487,"")</f>
        <v>1.2666158285679667</v>
      </c>
    </row>
    <row r="488" spans="1:15">
      <c r="A488">
        <v>3</v>
      </c>
      <c r="B488" s="4">
        <f>Thiet_ke!$B$22</f>
        <v>2.6457513110645907</v>
      </c>
      <c r="C488" s="4">
        <f>Dau_vao!$B$21+(Dau_vao!$B$19-Dau_vao!$B$21)*84/200</f>
        <v>1556.0</v>
      </c>
      <c r="D488" s="4">
        <f>2*PI()*C488*Thiet_ke!$B$7/(60*Thiet_ke!$B$15*B488)</f>
        <v>6.6323253086685625</v>
      </c>
      <c r="E488" s="4">
        <f>D488*3.6</f>
        <v>23.876371111206826</v>
      </c>
      <c r="F488" s="4">
        <f>Thiet_ke!$B$12*(Dau_vao!$B$22*(C488/Dau_vao!$B$19)+Dau_vao!$B$23*(C488/Dau_vao!$B$19)^2-Dau_vao!$B$24*(C488/Dau_vao!$B$19)^3)</f>
        <v>72.79572819019643</v>
      </c>
      <c r="G488" s="4">
        <f>60000*F488/(2*PI()*C488)</f>
        <v>446.7532124978327</v>
      </c>
      <c r="H488" s="4">
        <f>G488*Thiet_ke!$B$15*B488*Dau_vao!$B$10/Thiet_ke!$B$7</f>
        <v>9768.549501725363</v>
      </c>
      <c r="I488" s="4">
        <f>IF(D488&lt;=Dau_vao!$B$14,Dau_vao!$B$13,Dau_vao!$B$13*(1+D488^2/1500))</f>
        <v>0.015</v>
      </c>
      <c r="J488" s="4">
        <f>Thiet_ke!$B$8*D488^2</f>
        <v>128.66413657501622</v>
      </c>
      <c r="K488" s="4">
        <f>Thiet_ke!$B$3*I488+J488</f>
        <v>1260.2476365750165</v>
      </c>
      <c r="L488" s="4">
        <f>(H488-J488)/Thiet_ke!$B$3</f>
        <v>0.12778401282561577</v>
      </c>
      <c r="M488" s="4">
        <f>1.05+0.05*B488^2</f>
        <v>1.4000000000000001</v>
      </c>
      <c r="N488" s="4">
        <f>(MIN(H488,Thiet_ke!$B$16)-K488)/(Thiet_ke!$B$2*M488)</f>
        <v>0.7902936898709219</v>
      </c>
      <c r="O488" s="4">
        <f>IF(N488&gt;0,1/N488,"")</f>
        <v>1.2653523782574163</v>
      </c>
    </row>
    <row r="489" spans="1:15">
      <c r="A489">
        <v>3</v>
      </c>
      <c r="B489" s="4">
        <f>Thiet_ke!$B$22</f>
        <v>2.6457513110645907</v>
      </c>
      <c r="C489" s="4">
        <f>Dau_vao!$B$21+(Dau_vao!$B$19-Dau_vao!$B$21)*85/200</f>
        <v>1565.0</v>
      </c>
      <c r="D489" s="4">
        <f>2*PI()*C489*Thiet_ke!$B$7/(60*Thiet_ke!$B$15*B489)</f>
        <v>6.670687087446207</v>
      </c>
      <c r="E489" s="4">
        <f>D489*3.6</f>
        <v>24.014473514806344</v>
      </c>
      <c r="F489" s="4">
        <f>Thiet_ke!$B$12*(Dau_vao!$B$22*(C489/Dau_vao!$B$19)+Dau_vao!$B$23*(C489/Dau_vao!$B$19)^2-Dau_vao!$B$24*(C489/Dau_vao!$B$19)^3)</f>
        <v>73.28983050250802</v>
      </c>
      <c r="G489" s="4">
        <f>60000*F489/(2*PI()*C489)</f>
        <v>447.1989317383254</v>
      </c>
      <c r="H489" s="4">
        <f>G489*Thiet_ke!$B$15*B489*Dau_vao!$B$10/Thiet_ke!$B$7</f>
        <v>9778.295442756838</v>
      </c>
      <c r="I489" s="4">
        <f>IF(D489&lt;=Dau_vao!$B$14,Dau_vao!$B$13,Dau_vao!$B$13*(1+D489^2/1500))</f>
        <v>0.015</v>
      </c>
      <c r="J489" s="4">
        <f>Thiet_ke!$B$8*D489^2</f>
        <v>130.15684368946808</v>
      </c>
      <c r="K489" s="4">
        <f>Thiet_ke!$B$3*I489+J489</f>
        <v>1261.7403436894683</v>
      </c>
      <c r="L489" s="4">
        <f>(H489-J489)/Thiet_ke!$B$3</f>
        <v>0.12789341571877863</v>
      </c>
      <c r="M489" s="4">
        <f>1.05+0.05*B489^2</f>
        <v>1.4000000000000001</v>
      </c>
      <c r="N489" s="4">
        <f>(MIN(H489,Thiet_ke!$B$16)-K489)/(Thiet_ke!$B$2*M489)</f>
        <v>0.7910602915722987</v>
      </c>
      <c r="O489" s="4">
        <f>IF(N489&gt;0,1/N489,"")</f>
        <v>1.264126148984695</v>
      </c>
    </row>
    <row r="490" spans="1:15">
      <c r="A490">
        <v>3</v>
      </c>
      <c r="B490" s="4">
        <f>Thiet_ke!$B$22</f>
        <v>2.6457513110645907</v>
      </c>
      <c r="C490" s="4">
        <f>Dau_vao!$B$21+(Dau_vao!$B$19-Dau_vao!$B$21)*86/200</f>
        <v>1574.0</v>
      </c>
      <c r="D490" s="4">
        <f>2*PI()*C490*Thiet_ke!$B$7/(60*Thiet_ke!$B$15*B490)</f>
        <v>6.709048866223854</v>
      </c>
      <c r="E490" s="4">
        <f>D490*3.6</f>
        <v>24.152575918405873</v>
      </c>
      <c r="F490" s="4">
        <f>Thiet_ke!$B$12*(Dau_vao!$B$22*(C490/Dau_vao!$B$19)+Dau_vao!$B$23*(C490/Dau_vao!$B$19)^2-Dau_vao!$B$24*(C490/Dau_vao!$B$19)^3)</f>
        <v>73.78307539765014</v>
      </c>
      <c r="G490" s="4">
        <f>60000*F490/(2*PI()*C490)</f>
        <v>447.63435194630364</v>
      </c>
      <c r="H490" s="4">
        <f>G490*Thiet_ke!$B$15*B490*Dau_vao!$B$10/Thiet_ke!$B$7</f>
        <v>9787.816188745226</v>
      </c>
      <c r="I490" s="4">
        <f>IF(D490&lt;=Dau_vao!$B$14,Dau_vao!$B$13,Dau_vao!$B$13*(1+D490^2/1500))</f>
        <v>0.015</v>
      </c>
      <c r="J490" s="4">
        <f>Thiet_ke!$B$8*D490^2</f>
        <v>131.65815981643527</v>
      </c>
      <c r="K490" s="4">
        <f>Thiet_ke!$B$3*I490+J490</f>
        <v>1263.2416598164355</v>
      </c>
      <c r="L490" s="4">
        <f>(H490-J490)/Thiet_ke!$B$3</f>
        <v>0.1279997193613479</v>
      </c>
      <c r="M490" s="4">
        <f>1.05+0.05*B490^2</f>
        <v>1.4000000000000001</v>
      </c>
      <c r="N490" s="4">
        <f>(MIN(H490,Thiet_ke!$B$16)-K490)/(Thiet_ke!$B$2*M490)</f>
        <v>0.7918051763820165</v>
      </c>
      <c r="O490" s="4">
        <f>IF(N490&gt;0,1/N490,"")</f>
        <v>1.2629369317453631</v>
      </c>
    </row>
    <row r="491" spans="1:15">
      <c r="A491">
        <v>3</v>
      </c>
      <c r="B491" s="4">
        <f>Thiet_ke!$B$22</f>
        <v>2.6457513110645907</v>
      </c>
      <c r="C491" s="4">
        <f>Dau_vao!$B$21+(Dau_vao!$B$19-Dau_vao!$B$21)*87/200</f>
        <v>1583.0</v>
      </c>
      <c r="D491" s="4">
        <f>2*PI()*C491*Thiet_ke!$B$7/(60*Thiet_ke!$B$15*B491)</f>
        <v>6.747410645001501</v>
      </c>
      <c r="E491" s="4">
        <f>D491*3.6</f>
        <v>24.2906783220054</v>
      </c>
      <c r="F491" s="4">
        <f>Thiet_ke!$B$12*(Dau_vao!$B$22*(C491/Dau_vao!$B$19)+Dau_vao!$B$23*(C491/Dau_vao!$B$19)^2-Dau_vao!$B$24*(C491/Dau_vao!$B$19)^3)</f>
        <v>74.27543375579434</v>
      </c>
      <c r="G491" s="4">
        <f>60000*F491/(2*PI()*C491)</f>
        <v>448.05947312176716</v>
      </c>
      <c r="H491" s="4">
        <f>G491*Thiet_ke!$B$15*B491*Dau_vao!$B$10/Thiet_ke!$B$7</f>
        <v>9797.11173969052</v>
      </c>
      <c r="I491" s="4">
        <f>IF(D491&lt;=Dau_vao!$B$14,Dau_vao!$B$13,Dau_vao!$B$13*(1+D491^2/1500))</f>
        <v>0.015</v>
      </c>
      <c r="J491" s="4">
        <f>Thiet_ke!$B$8*D491^2</f>
        <v>133.16808495591775</v>
      </c>
      <c r="K491" s="4">
        <f>Thiet_ke!$B$3*I491+J491</f>
        <v>1264.751584955918</v>
      </c>
      <c r="L491" s="4">
        <f>(H491-J491)/Thiet_ke!$B$3</f>
        <v>0.12810292375332355</v>
      </c>
      <c r="M491" s="4">
        <f>1.05+0.05*B491^2</f>
        <v>1.4000000000000001</v>
      </c>
      <c r="N491" s="4">
        <f>(MIN(H491,Thiet_ke!$B$16)-K491)/(Thiet_ke!$B$2*M491)</f>
        <v>0.7925283443000742</v>
      </c>
      <c r="O491" s="4">
        <f>IF(N491&gt;0,1/N491,"")</f>
        <v>1.261784524417427</v>
      </c>
    </row>
    <row r="492" spans="1:15">
      <c r="A492">
        <v>3</v>
      </c>
      <c r="B492" s="4">
        <f>Thiet_ke!$B$22</f>
        <v>2.6457513110645907</v>
      </c>
      <c r="C492" s="4">
        <f>Dau_vao!$B$21+(Dau_vao!$B$19-Dau_vao!$B$21)*88/200</f>
        <v>1592.0</v>
      </c>
      <c r="D492" s="4">
        <f>2*PI()*C492*Thiet_ke!$B$7/(60*Thiet_ke!$B$15*B492)</f>
        <v>6.785772423779147</v>
      </c>
      <c r="E492" s="4">
        <f>D492*3.6</f>
        <v>24.428780725604927</v>
      </c>
      <c r="F492" s="4">
        <f>Thiet_ke!$B$12*(Dau_vao!$B$22*(C492/Dau_vao!$B$19)+Dau_vao!$B$23*(C492/Dau_vao!$B$19)^2-Dau_vao!$B$24*(C492/Dau_vao!$B$19)^3)</f>
        <v>74.76687645711225</v>
      </c>
      <c r="G492" s="4">
        <f>60000*F492/(2*PI()*C492)</f>
        <v>448.4742952647162</v>
      </c>
      <c r="H492" s="4">
        <f>G492*Thiet_ke!$B$15*B492*Dau_vao!$B$10/Thiet_ke!$B$7</f>
        <v>9806.182095592727</v>
      </c>
      <c r="I492" s="4">
        <f>IF(D492&lt;=Dau_vao!$B$14,Dau_vao!$B$13,Dau_vao!$B$13*(1+D492^2/1500))</f>
        <v>0.015</v>
      </c>
      <c r="J492" s="4">
        <f>Thiet_ke!$B$8*D492^2</f>
        <v>134.68661910791542</v>
      </c>
      <c r="K492" s="4">
        <f>Thiet_ke!$B$3*I492+J492</f>
        <v>1266.2701191079157</v>
      </c>
      <c r="L492" s="4">
        <f>(H492-J492)/Thiet_ke!$B$3</f>
        <v>0.12820302889470567</v>
      </c>
      <c r="M492" s="4">
        <f>1.05+0.05*B492^2</f>
        <v>1.4000000000000001</v>
      </c>
      <c r="N492" s="4">
        <f>(MIN(H492,Thiet_ke!$B$16)-K492)/(Thiet_ke!$B$2*M492)</f>
        <v>0.7932297953264731</v>
      </c>
      <c r="O492" s="4">
        <f>IF(N492&gt;0,1/N492,"")</f>
        <v>1.260668731673683</v>
      </c>
    </row>
    <row r="493" spans="1:15">
      <c r="A493">
        <v>3</v>
      </c>
      <c r="B493" s="4">
        <f>Thiet_ke!$B$22</f>
        <v>2.6457513110645907</v>
      </c>
      <c r="C493" s="4">
        <f>Dau_vao!$B$21+(Dau_vao!$B$19-Dau_vao!$B$21)*89/200</f>
        <v>1601.0</v>
      </c>
      <c r="D493" s="4">
        <f>2*PI()*C493*Thiet_ke!$B$7/(60*Thiet_ke!$B$15*B493)</f>
        <v>6.824134202556792</v>
      </c>
      <c r="E493" s="4">
        <f>D493*3.6</f>
        <v>24.566883129204452</v>
      </c>
      <c r="F493" s="4">
        <f>Thiet_ke!$B$12*(Dau_vao!$B$22*(C493/Dau_vao!$B$19)+Dau_vao!$B$23*(C493/Dau_vao!$B$19)^2-Dau_vao!$B$24*(C493/Dau_vao!$B$19)^3)</f>
        <v>75.25737438177545</v>
      </c>
      <c r="G493" s="4">
        <f>60000*F493/(2*PI()*C493)</f>
        <v>448.8788183751506</v>
      </c>
      <c r="H493" s="4">
        <f>G493*Thiet_ke!$B$15*B493*Dau_vao!$B$10/Thiet_ke!$B$7</f>
        <v>9815.02725645184</v>
      </c>
      <c r="I493" s="4">
        <f>IF(D493&lt;=Dau_vao!$B$14,Dau_vao!$B$13,Dau_vao!$B$13*(1+D493^2/1500))</f>
        <v>0.015</v>
      </c>
      <c r="J493" s="4">
        <f>Thiet_ke!$B$8*D493^2</f>
        <v>136.21376227242837</v>
      </c>
      <c r="K493" s="4">
        <f>Thiet_ke!$B$3*I493+J493</f>
        <v>1267.7972622724285</v>
      </c>
      <c r="L493" s="4">
        <f>(H493-J493)/Thiet_ke!$B$3</f>
        <v>0.1283000347854941</v>
      </c>
      <c r="M493" s="4">
        <f>1.05+0.05*B493^2</f>
        <v>1.4000000000000001</v>
      </c>
      <c r="N493" s="4">
        <f>(MIN(H493,Thiet_ke!$B$16)-K493)/(Thiet_ke!$B$2*M493)</f>
        <v>0.7939095294612122</v>
      </c>
      <c r="O493" s="4">
        <f>IF(N493&gt;0,1/N493,"")</f>
        <v>1.2595893648973473</v>
      </c>
    </row>
    <row r="494" spans="1:15">
      <c r="A494">
        <v>3</v>
      </c>
      <c r="B494" s="4">
        <f>Thiet_ke!$B$22</f>
        <v>2.6457513110645907</v>
      </c>
      <c r="C494" s="4">
        <f>Dau_vao!$B$21+(Dau_vao!$B$19-Dau_vao!$B$21)*90/200</f>
        <v>1610.0</v>
      </c>
      <c r="D494" s="4">
        <f>2*PI()*C494*Thiet_ke!$B$7/(60*Thiet_ke!$B$15*B494)</f>
        <v>6.862495981334437</v>
      </c>
      <c r="E494" s="4">
        <f>D494*3.6</f>
        <v>24.704985532803974</v>
      </c>
      <c r="F494" s="4">
        <f>Thiet_ke!$B$12*(Dau_vao!$B$22*(C494/Dau_vao!$B$19)+Dau_vao!$B$23*(C494/Dau_vao!$B$19)^2-Dau_vao!$B$24*(C494/Dau_vao!$B$19)^3)</f>
        <v>75.74689840995556</v>
      </c>
      <c r="G494" s="4">
        <f>60000*F494/(2*PI()*C494)</f>
        <v>449.27304245307045</v>
      </c>
      <c r="H494" s="4">
        <f>G494*Thiet_ke!$B$15*B494*Dau_vao!$B$10/Thiet_ke!$B$7</f>
        <v>9823.647222267866</v>
      </c>
      <c r="I494" s="4">
        <f>IF(D494&lt;=Dau_vao!$B$14,Dau_vao!$B$13,Dau_vao!$B$13*(1+D494^2/1500))</f>
        <v>0.015</v>
      </c>
      <c r="J494" s="4">
        <f>Thiet_ke!$B$8*D494^2</f>
        <v>137.74951444945657</v>
      </c>
      <c r="K494" s="4">
        <f>Thiet_ke!$B$3*I494+J494</f>
        <v>1269.3330144494566</v>
      </c>
      <c r="L494" s="4">
        <f>(H494-J494)/Thiet_ke!$B$3</f>
        <v>0.12839394142568897</v>
      </c>
      <c r="M494" s="4">
        <f>1.05+0.05*B494^2</f>
        <v>1.4000000000000001</v>
      </c>
      <c r="N494" s="4">
        <f>(MIN(H494,Thiet_ke!$B$16)-K494)/(Thiet_ke!$B$2*M494)</f>
        <v>0.7945675467042921</v>
      </c>
      <c r="O494" s="4">
        <f>IF(N494&gt;0,1/N494,"")</f>
        <v>1.258546242100877</v>
      </c>
    </row>
    <row r="495" spans="1:15">
      <c r="A495">
        <v>3</v>
      </c>
      <c r="B495" s="4">
        <f>Thiet_ke!$B$22</f>
        <v>2.6457513110645907</v>
      </c>
      <c r="C495" s="4">
        <f>Dau_vao!$B$21+(Dau_vao!$B$19-Dau_vao!$B$21)*91/200</f>
        <v>1619.0</v>
      </c>
      <c r="D495" s="4">
        <f>2*PI()*C495*Thiet_ke!$B$7/(60*Thiet_ke!$B$15*B495)</f>
        <v>6.900857760112084</v>
      </c>
      <c r="E495" s="4">
        <f>D495*3.6</f>
        <v>24.843087936403503</v>
      </c>
      <c r="F495" s="4">
        <f>Thiet_ke!$B$12*(Dau_vao!$B$22*(C495/Dau_vao!$B$19)+Dau_vao!$B$23*(C495/Dau_vao!$B$19)^2-Dau_vao!$B$24*(C495/Dau_vao!$B$19)^3)</f>
        <v>76.23541942182418</v>
      </c>
      <c r="G495" s="4">
        <f>60000*F495/(2*PI()*C495)</f>
        <v>449.6569674984756</v>
      </c>
      <c r="H495" s="4">
        <f>G495*Thiet_ke!$B$15*B495*Dau_vao!$B$10/Thiet_ke!$B$7</f>
        <v>9832.041993040806</v>
      </c>
      <c r="I495" s="4">
        <f>IF(D495&lt;=Dau_vao!$B$14,Dau_vao!$B$13,Dau_vao!$B$13*(1+D495^2/1500))</f>
        <v>0.015</v>
      </c>
      <c r="J495" s="4">
        <f>Thiet_ke!$B$8*D495^2</f>
        <v>139.29387563900008</v>
      </c>
      <c r="K495" s="4">
        <f>Thiet_ke!$B$3*I495+J495</f>
        <v>1270.8773756390003</v>
      </c>
      <c r="L495" s="4">
        <f>(H495-J495)/Thiet_ke!$B$3</f>
        <v>0.12848474881529032</v>
      </c>
      <c r="M495" s="4">
        <f>1.05+0.05*B495^2</f>
        <v>1.4000000000000001</v>
      </c>
      <c r="N495" s="4">
        <f>(MIN(H495,Thiet_ke!$B$16)-K495)/(Thiet_ke!$B$2*M495)</f>
        <v>0.7952038470557129</v>
      </c>
      <c r="O495" s="4">
        <f>IF(N495&gt;0,1/N495,"")</f>
        <v>1.2575391878479416</v>
      </c>
    </row>
    <row r="496" spans="1:15">
      <c r="A496">
        <v>3</v>
      </c>
      <c r="B496" s="4">
        <f>Thiet_ke!$B$22</f>
        <v>2.6457513110645907</v>
      </c>
      <c r="C496" s="4">
        <f>Dau_vao!$B$21+(Dau_vao!$B$19-Dau_vao!$B$21)*92/200</f>
        <v>1628.0</v>
      </c>
      <c r="D496" s="4">
        <f>2*PI()*C496*Thiet_ke!$B$7/(60*Thiet_ke!$B$15*B496)</f>
        <v>6.93921953888973</v>
      </c>
      <c r="E496" s="4">
        <f>D496*3.6</f>
        <v>24.981190340003028</v>
      </c>
      <c r="F496" s="4">
        <f>Thiet_ke!$B$12*(Dau_vao!$B$22*(C496/Dau_vao!$B$19)+Dau_vao!$B$23*(C496/Dau_vao!$B$19)^2-Dau_vao!$B$24*(C496/Dau_vao!$B$19)^3)</f>
        <v>76.7229082975529</v>
      </c>
      <c r="G496" s="4">
        <f>60000*F496/(2*PI()*C496)</f>
        <v>450.03059351136625</v>
      </c>
      <c r="H496" s="4">
        <f>G496*Thiet_ke!$B$15*B496*Dau_vao!$B$10/Thiet_ke!$B$7</f>
        <v>9840.211568770656</v>
      </c>
      <c r="I496" s="4">
        <f>IF(D496&lt;=Dau_vao!$B$14,Dau_vao!$B$13,Dau_vao!$B$13*(1+D496^2/1500))</f>
        <v>0.015</v>
      </c>
      <c r="J496" s="4">
        <f>Thiet_ke!$B$8*D496^2</f>
        <v>140.8468458410588</v>
      </c>
      <c r="K496" s="4">
        <f>Thiet_ke!$B$3*I496+J496</f>
        <v>1272.430345841059</v>
      </c>
      <c r="L496" s="4">
        <f>(H496-J496)/Thiet_ke!$B$3</f>
        <v>0.12857245695429806</v>
      </c>
      <c r="M496" s="4">
        <f>1.05+0.05*B496^2</f>
        <v>1.4000000000000001</v>
      </c>
      <c r="N496" s="4">
        <f>(MIN(H496,Thiet_ke!$B$16)-K496)/(Thiet_ke!$B$2*M496)</f>
        <v>0.7958184305154742</v>
      </c>
      <c r="O496" s="4">
        <f>IF(N496&gt;0,1/N496,"")</f>
        <v>1.256568033178462</v>
      </c>
    </row>
    <row r="497" spans="1:15">
      <c r="A497">
        <v>3</v>
      </c>
      <c r="B497" s="4">
        <f>Thiet_ke!$B$22</f>
        <v>2.6457513110645907</v>
      </c>
      <c r="C497" s="4">
        <f>Dau_vao!$B$21+(Dau_vao!$B$19-Dau_vao!$B$21)*93/200</f>
        <v>1637.0</v>
      </c>
      <c r="D497" s="4">
        <f>2*PI()*C497*Thiet_ke!$B$7/(60*Thiet_ke!$B$15*B497)</f>
        <v>6.977581317667375</v>
      </c>
      <c r="E497" s="4">
        <f>D497*3.6</f>
        <v>25.11929274360255</v>
      </c>
      <c r="F497" s="4">
        <f>Thiet_ke!$B$12*(Dau_vao!$B$22*(C497/Dau_vao!$B$19)+Dau_vao!$B$23*(C497/Dau_vao!$B$19)^2-Dau_vao!$B$24*(C497/Dau_vao!$B$19)^3)</f>
        <v>77.20933591731331</v>
      </c>
      <c r="G497" s="4">
        <f>60000*F497/(2*PI()*C497)</f>
        <v>450.39392049174216</v>
      </c>
      <c r="H497" s="4">
        <f>G497*Thiet_ke!$B$15*B497*Dau_vao!$B$10/Thiet_ke!$B$7</f>
        <v>9848.155949457412</v>
      </c>
      <c r="I497" s="4">
        <f>IF(D497&lt;=Dau_vao!$B$14,Dau_vao!$B$13,Dau_vao!$B$13*(1+D497^2/1500))</f>
        <v>0.015</v>
      </c>
      <c r="J497" s="4">
        <f>Thiet_ke!$B$8*D497^2</f>
        <v>142.4084250556328</v>
      </c>
      <c r="K497" s="4">
        <f>Thiet_ke!$B$3*I497+J497</f>
        <v>1273.991925055633</v>
      </c>
      <c r="L497" s="4">
        <f>(H497-J497)/Thiet_ke!$B$3</f>
        <v>0.12865706584271214</v>
      </c>
      <c r="M497" s="4">
        <f>1.05+0.05*B497^2</f>
        <v>1.4000000000000001</v>
      </c>
      <c r="N497" s="4">
        <f>(MIN(H497,Thiet_ke!$B$16)-K497)/(Thiet_ke!$B$2*M497)</f>
        <v>0.7964112970835759</v>
      </c>
      <c r="O497" s="4">
        <f>IF(N497&gt;0,1/N497,"")</f>
        <v>1.255632615536667</v>
      </c>
    </row>
    <row r="498" spans="1:15">
      <c r="A498">
        <v>3</v>
      </c>
      <c r="B498" s="4">
        <f>Thiet_ke!$B$22</f>
        <v>2.6457513110645907</v>
      </c>
      <c r="C498" s="4">
        <f>Dau_vao!$B$21+(Dau_vao!$B$19-Dau_vao!$B$21)*94/200</f>
        <v>1646.0</v>
      </c>
      <c r="D498" s="4">
        <f>2*PI()*C498*Thiet_ke!$B$7/(60*Thiet_ke!$B$15*B498)</f>
        <v>7.015943096445022</v>
      </c>
      <c r="E498" s="4">
        <f>D498*3.6</f>
        <v>25.25739514720208</v>
      </c>
      <c r="F498" s="4">
        <f>Thiet_ke!$B$12*(Dau_vao!$B$22*(C498/Dau_vao!$B$19)+Dau_vao!$B$23*(C498/Dau_vao!$B$19)^2-Dau_vao!$B$24*(C498/Dau_vao!$B$19)^3)</f>
        <v>77.69467316127707</v>
      </c>
      <c r="G498" s="4">
        <f>60000*F498/(2*PI()*C498)</f>
        <v>450.7469484396036</v>
      </c>
      <c r="H498" s="4">
        <f>G498*Thiet_ke!$B$15*B498*Dau_vao!$B$10/Thiet_ke!$B$7</f>
        <v>9855.875135101083</v>
      </c>
      <c r="I498" s="4">
        <f>IF(D498&lt;=Dau_vao!$B$14,Dau_vao!$B$13,Dau_vao!$B$13*(1+D498^2/1500))</f>
        <v>0.015</v>
      </c>
      <c r="J498" s="4">
        <f>Thiet_ke!$B$8*D498^2</f>
        <v>143.9786132827221</v>
      </c>
      <c r="K498" s="4">
        <f>Thiet_ke!$B$3*I498+J498</f>
        <v>1275.5621132827223</v>
      </c>
      <c r="L498" s="4">
        <f>(H498-J498)/Thiet_ke!$B$3</f>
        <v>0.12873857548053275</v>
      </c>
      <c r="M498" s="4">
        <f>1.05+0.05*B498^2</f>
        <v>1.4000000000000001</v>
      </c>
      <c r="N498" s="4">
        <f>(MIN(H498,Thiet_ke!$B$16)-K498)/(Thiet_ke!$B$2*M498)</f>
        <v>0.7969824467600186</v>
      </c>
      <c r="O498" s="4">
        <f>IF(N498&gt;0,1/N498,"")</f>
        <v>1.2547327787021043</v>
      </c>
    </row>
    <row r="499" spans="1:15">
      <c r="A499">
        <v>3</v>
      </c>
      <c r="B499" s="4">
        <f>Thiet_ke!$B$22</f>
        <v>2.6457513110645907</v>
      </c>
      <c r="C499" s="4">
        <f>Dau_vao!$B$21+(Dau_vao!$B$19-Dau_vao!$B$21)*95/200</f>
        <v>1655.0</v>
      </c>
      <c r="D499" s="4">
        <f>2*PI()*C499*Thiet_ke!$B$7/(60*Thiet_ke!$B$15*B499)</f>
        <v>7.054304875222667</v>
      </c>
      <c r="E499" s="4">
        <f>D499*3.6</f>
        <v>25.3954975508016</v>
      </c>
      <c r="F499" s="4">
        <f>Thiet_ke!$B$12*(Dau_vao!$B$22*(C499/Dau_vao!$B$19)+Dau_vao!$B$23*(C499/Dau_vao!$B$19)^2-Dau_vao!$B$24*(C499/Dau_vao!$B$19)^3)</f>
        <v>78.17889090961572</v>
      </c>
      <c r="G499" s="4">
        <f>60000*F499/(2*PI()*C499)</f>
        <v>451.0896773549504</v>
      </c>
      <c r="H499" s="4">
        <f>G499*Thiet_ke!$B$15*B499*Dau_vao!$B$10/Thiet_ke!$B$7</f>
        <v>9863.369125701667</v>
      </c>
      <c r="I499" s="4">
        <f>IF(D499&lt;=Dau_vao!$B$14,Dau_vao!$B$13,Dau_vao!$B$13*(1+D499^2/1500))</f>
        <v>0.015</v>
      </c>
      <c r="J499" s="4">
        <f>Thiet_ke!$B$8*D499^2</f>
        <v>145.55741052232662</v>
      </c>
      <c r="K499" s="4">
        <f>Thiet_ke!$B$3*I499+J499</f>
        <v>1277.1409105223267</v>
      </c>
      <c r="L499" s="4">
        <f>(H499-J499)/Thiet_ke!$B$3</f>
        <v>0.12881698586775975</v>
      </c>
      <c r="M499" s="4">
        <f>1.05+0.05*B499^2</f>
        <v>1.4000000000000001</v>
      </c>
      <c r="N499" s="4">
        <f>(MIN(H499,Thiet_ke!$B$16)-K499)/(Thiet_ke!$B$2*M499)</f>
        <v>0.7975318795448021</v>
      </c>
      <c r="O499" s="4">
        <f>IF(N499&gt;0,1/N499,"")</f>
        <v>1.253868372723556</v>
      </c>
    </row>
    <row r="500" spans="1:15">
      <c r="A500">
        <v>3</v>
      </c>
      <c r="B500" s="4">
        <f>Thiet_ke!$B$22</f>
        <v>2.6457513110645907</v>
      </c>
      <c r="C500" s="4">
        <f>Dau_vao!$B$21+(Dau_vao!$B$19-Dau_vao!$B$21)*96/200</f>
        <v>1664.0</v>
      </c>
      <c r="D500" s="4">
        <f>2*PI()*C500*Thiet_ke!$B$7/(60*Thiet_ke!$B$15*B500)</f>
        <v>7.092666654000314</v>
      </c>
      <c r="E500" s="4">
        <f>D500*3.6</f>
        <v>25.53359995440113</v>
      </c>
      <c r="F500" s="4">
        <f>Thiet_ke!$B$12*(Dau_vao!$B$22*(C500/Dau_vao!$B$19)+Dau_vao!$B$23*(C500/Dau_vao!$B$19)^2-Dau_vao!$B$24*(C500/Dau_vao!$B$19)^3)</f>
        <v>78.66196004250087</v>
      </c>
      <c r="G500" s="4">
        <f>60000*F500/(2*PI()*C500)</f>
        <v>451.4221072377826</v>
      </c>
      <c r="H500" s="4">
        <f>G500*Thiet_ke!$B$15*B500*Dau_vao!$B$10/Thiet_ke!$B$7</f>
        <v>9870.63792125916</v>
      </c>
      <c r="I500" s="4">
        <f>IF(D500&lt;=Dau_vao!$B$14,Dau_vao!$B$13,Dau_vao!$B$13*(1+D500^2/1500))</f>
        <v>0.015</v>
      </c>
      <c r="J500" s="4">
        <f>Thiet_ke!$B$8*D500^2</f>
        <v>147.14481677444644</v>
      </c>
      <c r="K500" s="4">
        <f>Thiet_ke!$B$3*I500+J500</f>
        <v>1278.7283167744467</v>
      </c>
      <c r="L500" s="4">
        <f>(H500-J500)/Thiet_ke!$B$3</f>
        <v>0.12889229700439314</v>
      </c>
      <c r="M500" s="4">
        <f>1.05+0.05*B500^2</f>
        <v>1.4000000000000001</v>
      </c>
      <c r="N500" s="4">
        <f>(MIN(H500,Thiet_ke!$B$16)-K500)/(Thiet_ke!$B$2*M500)</f>
        <v>0.798059595437926</v>
      </c>
      <c r="O500" s="4">
        <f>IF(N500&gt;0,1/N500,"")</f>
        <v>1.2530392538557995</v>
      </c>
    </row>
    <row r="501" spans="1:15">
      <c r="A501">
        <v>3</v>
      </c>
      <c r="B501" s="4">
        <f>Thiet_ke!$B$22</f>
        <v>2.6457513110645907</v>
      </c>
      <c r="C501" s="4">
        <f>Dau_vao!$B$21+(Dau_vao!$B$19-Dau_vao!$B$21)*97/200</f>
        <v>1673.0</v>
      </c>
      <c r="D501" s="4">
        <f>2*PI()*C501*Thiet_ke!$B$7/(60*Thiet_ke!$B$15*B501)</f>
        <v>7.131028432777959</v>
      </c>
      <c r="E501" s="4">
        <f>D501*3.6</f>
        <v>25.67170235800065</v>
      </c>
      <c r="F501" s="4">
        <f>Thiet_ke!$B$12*(Dau_vao!$B$22*(C501/Dau_vao!$B$19)+Dau_vao!$B$23*(C501/Dau_vao!$B$19)^2-Dau_vao!$B$24*(C501/Dau_vao!$B$19)^3)</f>
        <v>79.14385144010419</v>
      </c>
      <c r="G501" s="4">
        <f>60000*F501/(2*PI()*C501)</f>
        <v>451.7442380881005</v>
      </c>
      <c r="H501" s="4">
        <f>G501*Thiet_ke!$B$15*B501*Dau_vao!$B$10/Thiet_ke!$B$7</f>
        <v>9877.68152177356</v>
      </c>
      <c r="I501" s="4">
        <f>IF(D501&lt;=Dau_vao!$B$14,Dau_vao!$B$13,Dau_vao!$B$13*(1+D501^2/1500))</f>
        <v>0.015</v>
      </c>
      <c r="J501" s="4">
        <f>Thiet_ke!$B$8*D501^2</f>
        <v>148.74083203908145</v>
      </c>
      <c r="K501" s="4">
        <f>Thiet_ke!$B$3*I501+J501</f>
        <v>1280.3243320390816</v>
      </c>
      <c r="L501" s="4">
        <f>(H501-J501)/Thiet_ke!$B$3</f>
        <v>0.12896450889043287</v>
      </c>
      <c r="M501" s="4">
        <f>1.05+0.05*B501^2</f>
        <v>1.4000000000000001</v>
      </c>
      <c r="N501" s="4">
        <f>(MIN(H501,Thiet_ke!$B$16)-K501)/(Thiet_ke!$B$2*M501)</f>
        <v>0.7985655944393905</v>
      </c>
      <c r="O501" s="4">
        <f>IF(N501&gt;0,1/N501,"")</f>
        <v>1.2522452844991658</v>
      </c>
    </row>
    <row r="502" spans="1:15">
      <c r="A502">
        <v>3</v>
      </c>
      <c r="B502" s="4">
        <f>Thiet_ke!$B$22</f>
        <v>2.6457513110645907</v>
      </c>
      <c r="C502" s="4">
        <f>Dau_vao!$B$21+(Dau_vao!$B$19-Dau_vao!$B$21)*98/200</f>
        <v>1682.0</v>
      </c>
      <c r="D502" s="4">
        <f>2*PI()*C502*Thiet_ke!$B$7/(60*Thiet_ke!$B$15*B502)</f>
        <v>7.169390211555605</v>
      </c>
      <c r="E502" s="4">
        <f>D502*3.6</f>
        <v>25.80980476160018</v>
      </c>
      <c r="F502" s="4">
        <f>Thiet_ke!$B$12*(Dau_vao!$B$22*(C502/Dau_vao!$B$19)+Dau_vao!$B$23*(C502/Dau_vao!$B$19)^2-Dau_vao!$B$24*(C502/Dau_vao!$B$19)^3)</f>
        <v>79.62453598259717</v>
      </c>
      <c r="G502" s="4">
        <f>60000*F502/(2*PI()*C502)</f>
        <v>452.05606990590337</v>
      </c>
      <c r="H502" s="4">
        <f>G502*Thiet_ke!$B$15*B502*Dau_vao!$B$10/Thiet_ke!$B$7</f>
        <v>9884.499927244873</v>
      </c>
      <c r="I502" s="4">
        <f>IF(D502&lt;=Dau_vao!$B$14,Dau_vao!$B$13,Dau_vao!$B$13*(1+D502^2/1500))</f>
        <v>0.015</v>
      </c>
      <c r="J502" s="4">
        <f>Thiet_ke!$B$8*D502^2</f>
        <v>150.34545631623178</v>
      </c>
      <c r="K502" s="4">
        <f>Thiet_ke!$B$3*I502+J502</f>
        <v>1281.928956316232</v>
      </c>
      <c r="L502" s="4">
        <f>(H502-J502)/Thiet_ke!$B$3</f>
        <v>0.12903362152587908</v>
      </c>
      <c r="M502" s="4">
        <f>1.05+0.05*B502^2</f>
        <v>1.4000000000000001</v>
      </c>
      <c r="N502" s="4">
        <f>(MIN(H502,Thiet_ke!$B$16)-K502)/(Thiet_ke!$B$2*M502)</f>
        <v>0.7990498765491957</v>
      </c>
      <c r="O502" s="4">
        <f>IF(N502&gt;0,1/N502,"")</f>
        <v>1.2514863331418489</v>
      </c>
    </row>
    <row r="503" spans="1:15">
      <c r="A503">
        <v>3</v>
      </c>
      <c r="B503" s="4">
        <f>Thiet_ke!$B$22</f>
        <v>2.6457513110645907</v>
      </c>
      <c r="C503" s="4">
        <f>Dau_vao!$B$21+(Dau_vao!$B$19-Dau_vao!$B$21)*99/200</f>
        <v>1691.0</v>
      </c>
      <c r="D503" s="4">
        <f>2*PI()*C503*Thiet_ke!$B$7/(60*Thiet_ke!$B$15*B503)</f>
        <v>7.207751990333252</v>
      </c>
      <c r="E503" s="4">
        <f>D503*3.6</f>
        <v>25.94790716519971</v>
      </c>
      <c r="F503" s="4">
        <f>Thiet_ke!$B$12*(Dau_vao!$B$22*(C503/Dau_vao!$B$19)+Dau_vao!$B$23*(C503/Dau_vao!$B$19)^2-Dau_vao!$B$24*(C503/Dau_vao!$B$19)^3)</f>
        <v>80.1039845501515</v>
      </c>
      <c r="G503" s="4">
        <f>60000*F503/(2*PI()*C503)</f>
        <v>452.35760269119186</v>
      </c>
      <c r="H503" s="4">
        <f>G503*Thiet_ke!$B$15*B503*Dau_vao!$B$10/Thiet_ke!$B$7</f>
        <v>9891.093137673097</v>
      </c>
      <c r="I503" s="4">
        <f>IF(D503&lt;=Dau_vao!$B$14,Dau_vao!$B$13,Dau_vao!$B$13*(1+D503^2/1500))</f>
        <v>0.015</v>
      </c>
      <c r="J503" s="4">
        <f>Thiet_ke!$B$8*D503^2</f>
        <v>151.9586896058974</v>
      </c>
      <c r="K503" s="4">
        <f>Thiet_ke!$B$3*I503+J503</f>
        <v>1283.5421896058976</v>
      </c>
      <c r="L503" s="4">
        <f>(H503-J503)/Thiet_ke!$B$3</f>
        <v>0.1290996349107317</v>
      </c>
      <c r="M503" s="4">
        <f>1.05+0.05*B503^2</f>
        <v>1.4000000000000001</v>
      </c>
      <c r="N503" s="4">
        <f>(MIN(H503,Thiet_ke!$B$16)-K503)/(Thiet_ke!$B$2*M503)</f>
        <v>0.7995124417673414</v>
      </c>
      <c r="O503" s="4">
        <f>IF(N503&gt;0,1/N503,"")</f>
        <v>1.2507622743049203</v>
      </c>
    </row>
    <row r="504" spans="1:15">
      <c r="A504">
        <v>3</v>
      </c>
      <c r="B504" s="4">
        <f>Thiet_ke!$B$22</f>
        <v>2.6457513110645907</v>
      </c>
      <c r="C504" s="4">
        <f>Dau_vao!$B$21+(Dau_vao!$B$19-Dau_vao!$B$21)*100/200</f>
        <v>1700.0</v>
      </c>
      <c r="D504" s="4">
        <f>2*PI()*C504*Thiet_ke!$B$7/(60*Thiet_ke!$B$15*B504)</f>
        <v>7.246113769110896</v>
      </c>
      <c r="E504" s="4">
        <f>D504*3.6</f>
        <v>26.086009568799227</v>
      </c>
      <c r="F504" s="4">
        <f>Thiet_ke!$B$12*(Dau_vao!$B$22*(C504/Dau_vao!$B$19)+Dau_vao!$B$23*(C504/Dau_vao!$B$19)^2-Dau_vao!$B$24*(C504/Dau_vao!$B$19)^3)</f>
        <v>80.58216802293873</v>
      </c>
      <c r="G504" s="4">
        <f>60000*F504/(2*PI()*C504)</f>
        <v>452.64883644396576</v>
      </c>
      <c r="H504" s="4">
        <f>G504*Thiet_ke!$B$15*B504*Dau_vao!$B$10/Thiet_ke!$B$7</f>
        <v>9897.461153058233</v>
      </c>
      <c r="I504" s="4">
        <f>IF(D504&lt;=Dau_vao!$B$14,Dau_vao!$B$13,Dau_vao!$B$13*(1+D504^2/1500))</f>
        <v>0.015</v>
      </c>
      <c r="J504" s="4">
        <f>Thiet_ke!$B$8*D504^2</f>
        <v>153.58053190807817</v>
      </c>
      <c r="K504" s="4">
        <f>Thiet_ke!$B$3*I504+J504</f>
        <v>1285.1640319080784</v>
      </c>
      <c r="L504" s="4">
        <f>(H504-J504)/Thiet_ke!$B$3</f>
        <v>0.12916254904499078</v>
      </c>
      <c r="M504" s="4">
        <f>1.05+0.05*B504^2</f>
        <v>1.4000000000000001</v>
      </c>
      <c r="N504" s="4">
        <f>(MIN(H504,Thiet_ke!$B$16)-K504)/(Thiet_ke!$B$2*M504)</f>
        <v>0.7999532900938282</v>
      </c>
      <c r="O504" s="4">
        <f>IF(N504&gt;0,1/N504,"")</f>
        <v>1.2500729884900004</v>
      </c>
    </row>
    <row r="505" spans="1:15">
      <c r="A505">
        <v>3</v>
      </c>
      <c r="B505" s="4">
        <f>Thiet_ke!$B$22</f>
        <v>2.6457513110645907</v>
      </c>
      <c r="C505" s="4">
        <f>Dau_vao!$B$21+(Dau_vao!$B$19-Dau_vao!$B$21)*101/200</f>
        <v>1709.0</v>
      </c>
      <c r="D505" s="4">
        <f>2*PI()*C505*Thiet_ke!$B$7/(60*Thiet_ke!$B$15*B505)</f>
        <v>7.284475547888543</v>
      </c>
      <c r="E505" s="4">
        <f>D505*3.6</f>
        <v>26.224111972398756</v>
      </c>
      <c r="F505" s="4">
        <f>Thiet_ke!$B$12*(Dau_vao!$B$22*(C505/Dau_vao!$B$19)+Dau_vao!$B$23*(C505/Dau_vao!$B$19)^2-Dau_vao!$B$24*(C505/Dau_vao!$B$19)^3)</f>
        <v>81.05905728113048</v>
      </c>
      <c r="G505" s="4">
        <f>60000*F505/(2*PI()*C505)</f>
        <v>452.929771164225</v>
      </c>
      <c r="H505" s="4">
        <f>G505*Thiet_ke!$B$15*B505*Dau_vao!$B$10/Thiet_ke!$B$7</f>
        <v>9903.603973400279</v>
      </c>
      <c r="I505" s="4">
        <f>IF(D505&lt;=Dau_vao!$B$14,Dau_vao!$B$13,Dau_vao!$B$13*(1+D505^2/1500))</f>
        <v>0.015</v>
      </c>
      <c r="J505" s="4">
        <f>Thiet_ke!$B$8*D505^2</f>
        <v>155.21098322277433</v>
      </c>
      <c r="K505" s="4">
        <f>Thiet_ke!$B$3*I505+J505</f>
        <v>1286.7944832227745</v>
      </c>
      <c r="L505" s="4">
        <f>(H505-J505)/Thiet_ke!$B$3</f>
        <v>0.12922236392865621</v>
      </c>
      <c r="M505" s="4">
        <f>1.05+0.05*B505^2</f>
        <v>1.4000000000000001</v>
      </c>
      <c r="N505" s="4">
        <f>(MIN(H505,Thiet_ke!$B$16)-K505)/(Thiet_ke!$B$2*M505)</f>
        <v>0.8003724215286553</v>
      </c>
      <c r="O505" s="4">
        <f>IF(N505&gt;0,1/N505,"")</f>
        <v>1.2494183621295571</v>
      </c>
    </row>
    <row r="506" spans="1:15">
      <c r="A506">
        <v>3</v>
      </c>
      <c r="B506" s="4">
        <f>Thiet_ke!$B$22</f>
        <v>2.6457513110645907</v>
      </c>
      <c r="C506" s="4">
        <f>Dau_vao!$B$21+(Dau_vao!$B$19-Dau_vao!$B$21)*102/200</f>
        <v>1718.0</v>
      </c>
      <c r="D506" s="4">
        <f>2*PI()*C506*Thiet_ke!$B$7/(60*Thiet_ke!$B$15*B506)</f>
        <v>7.32283732666619</v>
      </c>
      <c r="E506" s="4">
        <f>D506*3.6</f>
        <v>26.362214375998285</v>
      </c>
      <c r="F506" s="4">
        <f>Thiet_ke!$B$12*(Dau_vao!$B$22*(C506/Dau_vao!$B$19)+Dau_vao!$B$23*(C506/Dau_vao!$B$19)^2-Dau_vao!$B$24*(C506/Dau_vao!$B$19)^3)</f>
        <v>81.53462320489838</v>
      </c>
      <c r="G506" s="4">
        <f>60000*F506/(2*PI()*C506)</f>
        <v>453.2004068519697</v>
      </c>
      <c r="H506" s="4">
        <f>G506*Thiet_ke!$B$15*B506*Dau_vao!$B$10/Thiet_ke!$B$7</f>
        <v>9909.521598699235</v>
      </c>
      <c r="I506" s="4">
        <f>IF(D506&lt;=Dau_vao!$B$14,Dau_vao!$B$13,Dau_vao!$B$13*(1+D506^2/1500))</f>
        <v>0.015</v>
      </c>
      <c r="J506" s="4">
        <f>Thiet_ke!$B$8*D506^2</f>
        <v>156.8500435499857</v>
      </c>
      <c r="K506" s="4">
        <f>Thiet_ke!$B$3*I506+J506</f>
        <v>1288.4335435499859</v>
      </c>
      <c r="L506" s="4">
        <f>(H506-J506)/Thiet_ke!$B$3</f>
        <v>0.12927907956172807</v>
      </c>
      <c r="M506" s="4">
        <f>1.05+0.05*B506^2</f>
        <v>1.4000000000000001</v>
      </c>
      <c r="N506" s="4">
        <f>(MIN(H506,Thiet_ke!$B$16)-K506)/(Thiet_ke!$B$2*M506)</f>
        <v>0.8007698360718232</v>
      </c>
      <c r="O506" s="4">
        <f>IF(N506&gt;0,1/N506,"")</f>
        <v>1.248798287539776</v>
      </c>
    </row>
    <row r="507" spans="1:15">
      <c r="A507">
        <v>3</v>
      </c>
      <c r="B507" s="4">
        <f>Thiet_ke!$B$22</f>
        <v>2.6457513110645907</v>
      </c>
      <c r="C507" s="4">
        <f>Dau_vao!$B$21+(Dau_vao!$B$19-Dau_vao!$B$21)*103/200</f>
        <v>1727.0</v>
      </c>
      <c r="D507" s="4">
        <f>2*PI()*C507*Thiet_ke!$B$7/(60*Thiet_ke!$B$15*B507)</f>
        <v>7.361199105443834</v>
      </c>
      <c r="E507" s="4">
        <f>D507*3.6</f>
        <v>26.500316779597803</v>
      </c>
      <c r="F507" s="4">
        <f>Thiet_ke!$B$12*(Dau_vao!$B$22*(C507/Dau_vao!$B$19)+Dau_vao!$B$23*(C507/Dau_vao!$B$19)^2-Dau_vao!$B$24*(C507/Dau_vao!$B$19)^3)</f>
        <v>82.00883667441398</v>
      </c>
      <c r="G507" s="4">
        <f>60000*F507/(2*PI()*C507)</f>
        <v>453.46074350719965</v>
      </c>
      <c r="H507" s="4">
        <f>G507*Thiet_ke!$B$15*B507*Dau_vao!$B$10/Thiet_ke!$B$7</f>
        <v>9915.2140289551</v>
      </c>
      <c r="I507" s="4">
        <f>IF(D507&lt;=Dau_vao!$B$14,Dau_vao!$B$13,Dau_vao!$B$13*(1+D507^2/1500))</f>
        <v>0.015</v>
      </c>
      <c r="J507" s="4">
        <f>Thiet_ke!$B$8*D507^2</f>
        <v>158.4977128897123</v>
      </c>
      <c r="K507" s="4">
        <f>Thiet_ke!$B$3*I507+J507</f>
        <v>1290.0812128897126</v>
      </c>
      <c r="L507" s="4">
        <f>(H507-J507)/Thiet_ke!$B$3</f>
        <v>0.12933269594420635</v>
      </c>
      <c r="M507" s="4">
        <f>1.05+0.05*B507^2</f>
        <v>1.4000000000000001</v>
      </c>
      <c r="N507" s="4">
        <f>(MIN(H507,Thiet_ke!$B$16)-K507)/(Thiet_ke!$B$2*M507)</f>
        <v>0.8011455337233315</v>
      </c>
      <c r="O507" s="4">
        <f>IF(N507&gt;0,1/N507,"")</f>
        <v>1.2482126628759826</v>
      </c>
    </row>
    <row r="508" spans="1:15">
      <c r="A508">
        <v>3</v>
      </c>
      <c r="B508" s="4">
        <f>Thiet_ke!$B$22</f>
        <v>2.6457513110645907</v>
      </c>
      <c r="C508" s="4">
        <f>Dau_vao!$B$21+(Dau_vao!$B$19-Dau_vao!$B$21)*104/200</f>
        <v>1736.0</v>
      </c>
      <c r="D508" s="4">
        <f>2*PI()*C508*Thiet_ke!$B$7/(60*Thiet_ke!$B$15*B508)</f>
        <v>7.399560884221481</v>
      </c>
      <c r="E508" s="4">
        <f>D508*3.6</f>
        <v>26.638419183197332</v>
      </c>
      <c r="F508" s="4">
        <f>Thiet_ke!$B$12*(Dau_vao!$B$22*(C508/Dau_vao!$B$19)+Dau_vao!$B$23*(C508/Dau_vao!$B$19)^2-Dau_vao!$B$24*(C508/Dau_vao!$B$19)^3)</f>
        <v>82.4816685698489</v>
      </c>
      <c r="G508" s="4">
        <f>60000*F508/(2*PI()*C508)</f>
        <v>453.71078112991506</v>
      </c>
      <c r="H508" s="4">
        <f>G508*Thiet_ke!$B$15*B508*Dau_vao!$B$10/Thiet_ke!$B$7</f>
        <v>9920.681264167877</v>
      </c>
      <c r="I508" s="4">
        <f>IF(D508&lt;=Dau_vao!$B$14,Dau_vao!$B$13,Dau_vao!$B$13*(1+D508^2/1500))</f>
        <v>0.015</v>
      </c>
      <c r="J508" s="4">
        <f>Thiet_ke!$B$8*D508^2</f>
        <v>160.15399124195423</v>
      </c>
      <c r="K508" s="4">
        <f>Thiet_ke!$B$3*I508+J508</f>
        <v>1291.7374912419543</v>
      </c>
      <c r="L508" s="4">
        <f>(H508-J508)/Thiet_ke!$B$3</f>
        <v>0.12938321307609102</v>
      </c>
      <c r="M508" s="4">
        <f>1.05+0.05*B508^2</f>
        <v>1.4000000000000001</v>
      </c>
      <c r="N508" s="4">
        <f>(MIN(H508,Thiet_ke!$B$16)-K508)/(Thiet_ke!$B$2*M508)</f>
        <v>0.8014995144831805</v>
      </c>
      <c r="O508" s="4">
        <f>IF(N508&gt;0,1/N508,"")</f>
        <v>1.2476613920905688</v>
      </c>
    </row>
    <row r="509" spans="1:15">
      <c r="A509">
        <v>3</v>
      </c>
      <c r="B509" s="4">
        <f>Thiet_ke!$B$22</f>
        <v>2.6457513110645907</v>
      </c>
      <c r="C509" s="4">
        <f>Dau_vao!$B$21+(Dau_vao!$B$19-Dau_vao!$B$21)*105/200</f>
        <v>1745.0</v>
      </c>
      <c r="D509" s="4">
        <f>2*PI()*C509*Thiet_ke!$B$7/(60*Thiet_ke!$B$15*B509)</f>
        <v>7.437922662999126</v>
      </c>
      <c r="E509" s="4">
        <f>D509*3.6</f>
        <v>26.776521586796854</v>
      </c>
      <c r="F509" s="4">
        <f>Thiet_ke!$B$12*(Dau_vao!$B$22*(C509/Dau_vao!$B$19)+Dau_vao!$B$23*(C509/Dau_vao!$B$19)^2-Dau_vao!$B$24*(C509/Dau_vao!$B$19)^3)</f>
        <v>82.95308977137479</v>
      </c>
      <c r="G509" s="4">
        <f>60000*F509/(2*PI()*C509)</f>
        <v>453.950519720116</v>
      </c>
      <c r="H509" s="4">
        <f>G509*Thiet_ke!$B$15*B509*Dau_vao!$B$10/Thiet_ke!$B$7</f>
        <v>9925.923304337568</v>
      </c>
      <c r="I509" s="4">
        <f>IF(D509&lt;=Dau_vao!$B$14,Dau_vao!$B$13,Dau_vao!$B$13*(1+D509^2/1500))</f>
        <v>0.015</v>
      </c>
      <c r="J509" s="4">
        <f>Thiet_ke!$B$8*D509^2</f>
        <v>161.81887860671137</v>
      </c>
      <c r="K509" s="4">
        <f>Thiet_ke!$B$3*I509+J509</f>
        <v>1293.4023786067116</v>
      </c>
      <c r="L509" s="4">
        <f>(H509-J509)/Thiet_ke!$B$3</f>
        <v>0.12943063095738214</v>
      </c>
      <c r="M509" s="4">
        <f>1.05+0.05*B509^2</f>
        <v>1.4000000000000001</v>
      </c>
      <c r="N509" s="4">
        <f>(MIN(H509,Thiet_ke!$B$16)-K509)/(Thiet_ke!$B$2*M509)</f>
        <v>0.8018317783513705</v>
      </c>
      <c r="O509" s="4">
        <f>IF(N509&gt;0,1/N509,"")</f>
        <v>1.2471443848933987</v>
      </c>
    </row>
    <row r="510" spans="1:15">
      <c r="A510">
        <v>3</v>
      </c>
      <c r="B510" s="4">
        <f>Thiet_ke!$B$22</f>
        <v>2.6457513110645907</v>
      </c>
      <c r="C510" s="4">
        <f>Dau_vao!$B$21+(Dau_vao!$B$19-Dau_vao!$B$21)*106/200</f>
        <v>1754.0</v>
      </c>
      <c r="D510" s="4">
        <f>2*PI()*C510*Thiet_ke!$B$7/(60*Thiet_ke!$B$15*B510)</f>
        <v>7.476284441776772</v>
      </c>
      <c r="E510" s="4">
        <f>D510*3.6</f>
        <v>26.91462399039638</v>
      </c>
      <c r="F510" s="4">
        <f>Thiet_ke!$B$12*(Dau_vao!$B$22*(C510/Dau_vao!$B$19)+Dau_vao!$B$23*(C510/Dau_vao!$B$19)^2-Dau_vao!$B$24*(C510/Dau_vao!$B$19)^3)</f>
        <v>83.42307115916319</v>
      </c>
      <c r="G510" s="4">
        <f>60000*F510/(2*PI()*C510)</f>
        <v>454.17995927780225</v>
      </c>
      <c r="H510" s="4">
        <f>G510*Thiet_ke!$B$15*B510*Dau_vao!$B$10/Thiet_ke!$B$7</f>
        <v>9930.940149464166</v>
      </c>
      <c r="I510" s="4">
        <f>IF(D510&lt;=Dau_vao!$B$14,Dau_vao!$B$13,Dau_vao!$B$13*(1+D510^2/1500))</f>
        <v>0.015</v>
      </c>
      <c r="J510" s="4">
        <f>Thiet_ke!$B$8*D510^2</f>
        <v>163.49237498398378</v>
      </c>
      <c r="K510" s="4">
        <f>Thiet_ke!$B$3*I510+J510</f>
        <v>1295.075874983984</v>
      </c>
      <c r="L510" s="4">
        <f>(H510-J510)/Thiet_ke!$B$3</f>
        <v>0.12947494958807965</v>
      </c>
      <c r="M510" s="4">
        <f>1.05+0.05*B510^2</f>
        <v>1.4000000000000001</v>
      </c>
      <c r="N510" s="4">
        <f>(MIN(H510,Thiet_ke!$B$16)-K510)/(Thiet_ke!$B$2*M510)</f>
        <v>0.8021423253279009</v>
      </c>
      <c r="O510" s="4">
        <f>IF(N510&gt;0,1/N510,"")</f>
        <v>1.2466615567146624</v>
      </c>
    </row>
    <row r="511" spans="1:15">
      <c r="A511">
        <v>3</v>
      </c>
      <c r="B511" s="4">
        <f>Thiet_ke!$B$22</f>
        <v>2.6457513110645907</v>
      </c>
      <c r="C511" s="4">
        <f>Dau_vao!$B$21+(Dau_vao!$B$19-Dau_vao!$B$21)*107/200</f>
        <v>1763.0</v>
      </c>
      <c r="D511" s="4">
        <f>2*PI()*C511*Thiet_ke!$B$7/(60*Thiet_ke!$B$15*B511)</f>
        <v>7.514646220554419</v>
      </c>
      <c r="E511" s="4">
        <f>D511*3.6</f>
        <v>27.052726393995908</v>
      </c>
      <c r="F511" s="4">
        <f>Thiet_ke!$B$12*(Dau_vao!$B$22*(C511/Dau_vao!$B$19)+Dau_vao!$B$23*(C511/Dau_vao!$B$19)^2-Dau_vao!$B$24*(C511/Dau_vao!$B$19)^3)</f>
        <v>83.8915836133857</v>
      </c>
      <c r="G511" s="4">
        <f>60000*F511/(2*PI()*C511)</f>
        <v>454.39909980297386</v>
      </c>
      <c r="H511" s="4">
        <f>G511*Thiet_ke!$B$15*B511*Dau_vao!$B$10/Thiet_ke!$B$7</f>
        <v>9935.731799547675</v>
      </c>
      <c r="I511" s="4">
        <f>IF(D511&lt;=Dau_vao!$B$14,Dau_vao!$B$13,Dau_vao!$B$13*(1+D511^2/1500))</f>
        <v>0.015</v>
      </c>
      <c r="J511" s="4">
        <f>Thiet_ke!$B$8*D511^2</f>
        <v>165.1744803737715</v>
      </c>
      <c r="K511" s="4">
        <f>Thiet_ke!$B$3*I511+J511</f>
        <v>1296.7579803737717</v>
      </c>
      <c r="L511" s="4">
        <f>(H511-J511)/Thiet_ke!$B$3</f>
        <v>0.12951616896818355</v>
      </c>
      <c r="M511" s="4">
        <f>1.05+0.05*B511^2</f>
        <v>1.4000000000000001</v>
      </c>
      <c r="N511" s="4">
        <f>(MIN(H511,Thiet_ke!$B$16)-K511)/(Thiet_ke!$B$2*M511)</f>
        <v>0.8024311554127719</v>
      </c>
      <c r="O511" s="4">
        <f>IF(N511&gt;0,1/N511,"")</f>
        <v>1.246212828670141</v>
      </c>
    </row>
    <row r="512" spans="1:15">
      <c r="A512">
        <v>3</v>
      </c>
      <c r="B512" s="4">
        <f>Thiet_ke!$B$22</f>
        <v>2.6457513110645907</v>
      </c>
      <c r="C512" s="4">
        <f>Dau_vao!$B$21+(Dau_vao!$B$19-Dau_vao!$B$21)*108/200</f>
        <v>1772.0</v>
      </c>
      <c r="D512" s="4">
        <f>2*PI()*C512*Thiet_ke!$B$7/(60*Thiet_ke!$B$15*B512)</f>
        <v>7.553007999332063</v>
      </c>
      <c r="E512" s="4">
        <f>D512*3.6</f>
        <v>27.19082879759543</v>
      </c>
      <c r="F512" s="4">
        <f>Thiet_ke!$B$12*(Dau_vao!$B$22*(C512/Dau_vao!$B$19)+Dau_vao!$B$23*(C512/Dau_vao!$B$19)^2-Dau_vao!$B$24*(C512/Dau_vao!$B$19)^3)</f>
        <v>84.35859801421401</v>
      </c>
      <c r="G512" s="4">
        <f>60000*F512/(2*PI()*C512)</f>
        <v>454.6079412956311</v>
      </c>
      <c r="H512" s="4">
        <f>G512*Thiet_ke!$B$15*B512*Dau_vao!$B$10/Thiet_ke!$B$7</f>
        <v>9940.298254588099</v>
      </c>
      <c r="I512" s="4">
        <f>IF(D512&lt;=Dau_vao!$B$14,Dau_vao!$B$13,Dau_vao!$B$13*(1+D512^2/1500))</f>
        <v>0.015</v>
      </c>
      <c r="J512" s="4">
        <f>Thiet_ke!$B$8*D512^2</f>
        <v>166.86519477607436</v>
      </c>
      <c r="K512" s="4">
        <f>Thiet_ke!$B$3*I512+J512</f>
        <v>1298.4486947760745</v>
      </c>
      <c r="L512" s="4">
        <f>(H512-J512)/Thiet_ke!$B$3</f>
        <v>0.12955428909769395</v>
      </c>
      <c r="M512" s="4">
        <f>1.05+0.05*B512^2</f>
        <v>1.4000000000000001</v>
      </c>
      <c r="N512" s="4">
        <f>(MIN(H512,Thiet_ke!$B$16)-K512)/(Thiet_ke!$B$2*M512)</f>
        <v>0.8026982686059839</v>
      </c>
      <c r="O512" s="4">
        <f>IF(N512&gt;0,1/N512,"")</f>
        <v>1.2457981275288692</v>
      </c>
    </row>
    <row r="513" spans="1:15">
      <c r="A513">
        <v>3</v>
      </c>
      <c r="B513" s="4">
        <f>Thiet_ke!$B$22</f>
        <v>2.6457513110645907</v>
      </c>
      <c r="C513" s="4">
        <f>Dau_vao!$B$21+(Dau_vao!$B$19-Dau_vao!$B$21)*109/200</f>
        <v>1781.0</v>
      </c>
      <c r="D513" s="4">
        <f>2*PI()*C513*Thiet_ke!$B$7/(60*Thiet_ke!$B$15*B513)</f>
        <v>7.59136977810971</v>
      </c>
      <c r="E513" s="4">
        <f>D513*3.6</f>
        <v>27.32893120119496</v>
      </c>
      <c r="F513" s="4">
        <f>Thiet_ke!$B$12*(Dau_vao!$B$22*(C513/Dau_vao!$B$19)+Dau_vao!$B$23*(C513/Dau_vao!$B$19)^2-Dau_vao!$B$24*(C513/Dau_vao!$B$19)^3)</f>
        <v>84.82408524181962</v>
      </c>
      <c r="G513" s="4">
        <f>60000*F513/(2*PI()*C513)</f>
        <v>454.8064837557737</v>
      </c>
      <c r="H513" s="4">
        <f>G513*Thiet_ke!$B$15*B513*Dau_vao!$B$10/Thiet_ke!$B$7</f>
        <v>9944.639514585431</v>
      </c>
      <c r="I513" s="4">
        <f>IF(D513&lt;=Dau_vao!$B$14,Dau_vao!$B$13,Dau_vao!$B$13*(1+D513^2/1500))</f>
        <v>0.015</v>
      </c>
      <c r="J513" s="4">
        <f>Thiet_ke!$B$8*D513^2</f>
        <v>168.5645181908926</v>
      </c>
      <c r="K513" s="4">
        <f>Thiet_ke!$B$3*I513+J513</f>
        <v>1300.1480181908928</v>
      </c>
      <c r="L513" s="4">
        <f>(H513-J513)/Thiet_ke!$B$3</f>
        <v>0.1295893099766107</v>
      </c>
      <c r="M513" s="4">
        <f>1.05+0.05*B513^2</f>
        <v>1.4000000000000001</v>
      </c>
      <c r="N513" s="4">
        <f>(MIN(H513,Thiet_ke!$B$16)-K513)/(Thiet_ke!$B$2*M513)</f>
        <v>0.8029436649075363</v>
      </c>
      <c r="O513" s="4">
        <f>IF(N513&gt;0,1/N513,"")</f>
        <v>1.245417385683161</v>
      </c>
    </row>
    <row r="514" spans="1:15">
      <c r="A514">
        <v>3</v>
      </c>
      <c r="B514" s="4">
        <f>Thiet_ke!$B$22</f>
        <v>2.6457513110645907</v>
      </c>
      <c r="C514" s="4">
        <f>Dau_vao!$B$21+(Dau_vao!$B$19-Dau_vao!$B$21)*110/200</f>
        <v>1790.0</v>
      </c>
      <c r="D514" s="4">
        <f>2*PI()*C514*Thiet_ke!$B$7/(60*Thiet_ke!$B$15*B514)</f>
        <v>7.629731556887356</v>
      </c>
      <c r="E514" s="4">
        <f>D514*3.6</f>
        <v>27.467033604794484</v>
      </c>
      <c r="F514" s="4">
        <f>Thiet_ke!$B$12*(Dau_vao!$B$22*(C514/Dau_vao!$B$19)+Dau_vao!$B$23*(C514/Dau_vao!$B$19)^2-Dau_vao!$B$24*(C514/Dau_vao!$B$19)^3)</f>
        <v>85.28801617637414</v>
      </c>
      <c r="G514" s="4">
        <f>60000*F514/(2*PI()*C514)</f>
        <v>454.99472718340144</v>
      </c>
      <c r="H514" s="4">
        <f>G514*Thiet_ke!$B$15*B514*Dau_vao!$B$10/Thiet_ke!$B$7</f>
        <v>9948.755579539671</v>
      </c>
      <c r="I514" s="4">
        <f>IF(D514&lt;=Dau_vao!$B$14,Dau_vao!$B$13,Dau_vao!$B$13*(1+D514^2/1500))</f>
        <v>0.015</v>
      </c>
      <c r="J514" s="4">
        <f>Thiet_ke!$B$8*D514^2</f>
        <v>170.2724506182261</v>
      </c>
      <c r="K514" s="4">
        <f>Thiet_ke!$B$3*I514+J514</f>
        <v>1301.8559506182262</v>
      </c>
      <c r="L514" s="4">
        <f>(H514-J514)/Thiet_ke!$B$3</f>
        <v>0.12962123160493386</v>
      </c>
      <c r="M514" s="4">
        <f>1.05+0.05*B514^2</f>
        <v>1.4000000000000001</v>
      </c>
      <c r="N514" s="4">
        <f>(MIN(H514,Thiet_ke!$B$16)-K514)/(Thiet_ke!$B$2*M514)</f>
        <v>0.8031673443174292</v>
      </c>
      <c r="O514" s="4">
        <f>IF(N514&gt;0,1/N514,"")</f>
        <v>1.2450705411209775</v>
      </c>
    </row>
    <row r="515" spans="1:15">
      <c r="A515">
        <v>3</v>
      </c>
      <c r="B515" s="4">
        <f>Thiet_ke!$B$22</f>
        <v>2.6457513110645907</v>
      </c>
      <c r="C515" s="4">
        <f>Dau_vao!$B$21+(Dau_vao!$B$19-Dau_vao!$B$21)*111/200</f>
        <v>1799.0</v>
      </c>
      <c r="D515" s="4">
        <f>2*PI()*C515*Thiet_ke!$B$7/(60*Thiet_ke!$B$15*B515)</f>
        <v>7.668093335665001</v>
      </c>
      <c r="E515" s="4">
        <f>D515*3.6</f>
        <v>27.605136008394005</v>
      </c>
      <c r="F515" s="4">
        <f>Thiet_ke!$B$12*(Dau_vao!$B$22*(C515/Dau_vao!$B$19)+Dau_vao!$B$23*(C515/Dau_vao!$B$19)^2-Dau_vao!$B$24*(C515/Dau_vao!$B$19)^3)</f>
        <v>85.75036169804922</v>
      </c>
      <c r="G515" s="4">
        <f>60000*F515/(2*PI()*C515)</f>
        <v>455.17267157851467</v>
      </c>
      <c r="H515" s="4">
        <f>G515*Thiet_ke!$B$15*B515*Dau_vao!$B$10/Thiet_ke!$B$7</f>
        <v>9952.646449450824</v>
      </c>
      <c r="I515" s="4">
        <f>IF(D515&lt;=Dau_vao!$B$14,Dau_vao!$B$13,Dau_vao!$B$13*(1+D515^2/1500))</f>
        <v>0.015</v>
      </c>
      <c r="J515" s="4">
        <f>Thiet_ke!$B$8*D515^2</f>
        <v>171.98899205807479</v>
      </c>
      <c r="K515" s="4">
        <f>Thiet_ke!$B$3*I515+J515</f>
        <v>1303.5724920580749</v>
      </c>
      <c r="L515" s="4">
        <f>(H515-J515)/Thiet_ke!$B$3</f>
        <v>0.1296500539826634</v>
      </c>
      <c r="M515" s="4">
        <f>1.05+0.05*B515^2</f>
        <v>1.4000000000000001</v>
      </c>
      <c r="N515" s="4">
        <f>(MIN(H515,Thiet_ke!$B$16)-K515)/(Thiet_ke!$B$2*M515)</f>
        <v>0.803369306835663</v>
      </c>
      <c r="O515" s="4">
        <f>IF(N515&gt;0,1/N515,"")</f>
        <v>1.2447575374006163</v>
      </c>
    </row>
    <row r="516" spans="1:15">
      <c r="A516">
        <v>3</v>
      </c>
      <c r="B516" s="4">
        <f>Thiet_ke!$B$22</f>
        <v>2.6457513110645907</v>
      </c>
      <c r="C516" s="4">
        <f>Dau_vao!$B$21+(Dau_vao!$B$19-Dau_vao!$B$21)*112/200</f>
        <v>1808.0</v>
      </c>
      <c r="D516" s="4">
        <f>2*PI()*C516*Thiet_ke!$B$7/(60*Thiet_ke!$B$15*B516)</f>
        <v>7.706455114442648</v>
      </c>
      <c r="E516" s="4">
        <f>D516*3.6</f>
        <v>27.743238411993534</v>
      </c>
      <c r="F516" s="4">
        <f>Thiet_ke!$B$12*(Dau_vao!$B$22*(C516/Dau_vao!$B$19)+Dau_vao!$B$23*(C516/Dau_vao!$B$19)^2-Dau_vao!$B$24*(C516/Dau_vao!$B$19)^3)</f>
        <v>86.21109268701645</v>
      </c>
      <c r="G516" s="4">
        <f>60000*F516/(2*PI()*C516)</f>
        <v>455.34031694111343</v>
      </c>
      <c r="H516" s="4">
        <f>G516*Thiet_ke!$B$15*B516*Dau_vao!$B$10/Thiet_ke!$B$7</f>
        <v>9956.312124318889</v>
      </c>
      <c r="I516" s="4">
        <f>IF(D516&lt;=Dau_vao!$B$14,Dau_vao!$B$13,Dau_vao!$B$13*(1+D516^2/1500))</f>
        <v>0.015</v>
      </c>
      <c r="J516" s="4">
        <f>Thiet_ke!$B$8*D516^2</f>
        <v>173.71414251043885</v>
      </c>
      <c r="K516" s="4">
        <f>Thiet_ke!$B$3*I516+J516</f>
        <v>1305.2976425104391</v>
      </c>
      <c r="L516" s="4">
        <f>(H516-J516)/Thiet_ke!$B$3</f>
        <v>0.12967577710979944</v>
      </c>
      <c r="M516" s="4">
        <f>1.05+0.05*B516^2</f>
        <v>1.4000000000000001</v>
      </c>
      <c r="N516" s="4">
        <f>(MIN(H516,Thiet_ke!$B$16)-K516)/(Thiet_ke!$B$2*M516)</f>
        <v>0.8035495524622375</v>
      </c>
      <c r="O516" s="4">
        <f>IF(N516&gt;0,1/N516,"")</f>
        <v>1.2444783236277077</v>
      </c>
    </row>
    <row r="517" spans="1:15">
      <c r="A517">
        <v>3</v>
      </c>
      <c r="B517" s="4">
        <f>Thiet_ke!$B$22</f>
        <v>2.6457513110645907</v>
      </c>
      <c r="C517" s="4">
        <f>Dau_vao!$B$21+(Dau_vao!$B$19-Dau_vao!$B$21)*113/200</f>
        <v>1817.0</v>
      </c>
      <c r="D517" s="4">
        <f>2*PI()*C517*Thiet_ke!$B$7/(60*Thiet_ke!$B$15*B517)</f>
        <v>7.744816893220294</v>
      </c>
      <c r="E517" s="4">
        <f>D517*3.6</f>
        <v>27.88134081559306</v>
      </c>
      <c r="F517" s="4">
        <f>Thiet_ke!$B$12*(Dau_vao!$B$22*(C517/Dau_vao!$B$19)+Dau_vao!$B$23*(C517/Dau_vao!$B$19)^2-Dau_vao!$B$24*(C517/Dau_vao!$B$19)^3)</f>
        <v>86.67018002344741</v>
      </c>
      <c r="G517" s="4">
        <f>60000*F517/(2*PI()*C517)</f>
        <v>455.49766327119755</v>
      </c>
      <c r="H517" s="4">
        <f>G517*Thiet_ke!$B$15*B517*Dau_vao!$B$10/Thiet_ke!$B$7</f>
        <v>9959.752604143863</v>
      </c>
      <c r="I517" s="4">
        <f>IF(D517&lt;=Dau_vao!$B$14,Dau_vao!$B$13,Dau_vao!$B$13*(1+D517^2/1500))</f>
        <v>0.015</v>
      </c>
      <c r="J517" s="4">
        <f>Thiet_ke!$B$8*D517^2</f>
        <v>175.4479019753181</v>
      </c>
      <c r="K517" s="4">
        <f>Thiet_ke!$B$3*I517+J517</f>
        <v>1307.0314019753182</v>
      </c>
      <c r="L517" s="4">
        <f>(H517-J517)/Thiet_ke!$B$3</f>
        <v>0.12969840098634186</v>
      </c>
      <c r="M517" s="4">
        <f>1.05+0.05*B517^2</f>
        <v>1.4000000000000001</v>
      </c>
      <c r="N517" s="4">
        <f>(MIN(H517,Thiet_ke!$B$16)-K517)/(Thiet_ke!$B$2*M517)</f>
        <v>0.8037080811971524</v>
      </c>
      <c r="O517" s="4">
        <f>IF(N517&gt;0,1/N517,"")</f>
        <v>1.2442328544344903</v>
      </c>
    </row>
    <row r="518" spans="1:15">
      <c r="A518">
        <v>3</v>
      </c>
      <c r="B518" s="4">
        <f>Thiet_ke!$B$22</f>
        <v>2.6457513110645907</v>
      </c>
      <c r="C518" s="4">
        <f>Dau_vao!$B$21+(Dau_vao!$B$19-Dau_vao!$B$21)*114/200</f>
        <v>1826.0</v>
      </c>
      <c r="D518" s="4">
        <f>2*PI()*C518*Thiet_ke!$B$7/(60*Thiet_ke!$B$15*B518)</f>
        <v>7.783178671997941</v>
      </c>
      <c r="E518" s="4">
        <f>D518*3.6</f>
        <v>28.01944321919259</v>
      </c>
      <c r="F518" s="4">
        <f>Thiet_ke!$B$12*(Dau_vao!$B$22*(C518/Dau_vao!$B$19)+Dau_vao!$B$23*(C518/Dau_vao!$B$19)^2-Dau_vao!$B$24*(C518/Dau_vao!$B$19)^3)</f>
        <v>87.12759458751373</v>
      </c>
      <c r="G518" s="4">
        <f>60000*F518/(2*PI()*C518)</f>
        <v>455.64471056876704</v>
      </c>
      <c r="H518" s="4">
        <f>G518*Thiet_ke!$B$15*B518*Dau_vao!$B$10/Thiet_ke!$B$7</f>
        <v>9962.967888925748</v>
      </c>
      <c r="I518" s="4">
        <f>IF(D518&lt;=Dau_vao!$B$14,Dau_vao!$B$13,Dau_vao!$B$13*(1+D518^2/1500))</f>
        <v>0.015</v>
      </c>
      <c r="J518" s="4">
        <f>Thiet_ke!$B$8*D518^2</f>
        <v>177.19027045271264</v>
      </c>
      <c r="K518" s="4">
        <f>Thiet_ke!$B$3*I518+J518</f>
        <v>1308.7737704527128</v>
      </c>
      <c r="L518" s="4">
        <f>(H518-J518)/Thiet_ke!$B$3</f>
        <v>0.12971792561229067</v>
      </c>
      <c r="M518" s="4">
        <f>1.05+0.05*B518^2</f>
        <v>1.4000000000000001</v>
      </c>
      <c r="N518" s="4">
        <f>(MIN(H518,Thiet_ke!$B$16)-K518)/(Thiet_ke!$B$2*M518)</f>
        <v>0.8038448930404081</v>
      </c>
      <c r="O518" s="4">
        <f>IF(N518&gt;0,1/N518,"")</f>
        <v>1.2440210899613584</v>
      </c>
    </row>
    <row r="519" spans="1:15">
      <c r="A519">
        <v>3</v>
      </c>
      <c r="B519" s="4">
        <f>Thiet_ke!$B$22</f>
        <v>2.6457513110645907</v>
      </c>
      <c r="C519" s="4">
        <f>Dau_vao!$B$21+(Dau_vao!$B$19-Dau_vao!$B$21)*115/200</f>
        <v>1835.0</v>
      </c>
      <c r="D519" s="4">
        <f>2*PI()*C519*Thiet_ke!$B$7/(60*Thiet_ke!$B$15*B519)</f>
        <v>7.8215404507755855</v>
      </c>
      <c r="E519" s="4">
        <f>D519*3.6</f>
        <v>28.157545622792107</v>
      </c>
      <c r="F519" s="4">
        <f>Thiet_ke!$B$12*(Dau_vao!$B$22*(C519/Dau_vao!$B$19)+Dau_vao!$B$23*(C519/Dau_vao!$B$19)^2-Dau_vao!$B$24*(C519/Dau_vao!$B$19)^3)</f>
        <v>87.58330725938698</v>
      </c>
      <c r="G519" s="4">
        <f>60000*F519/(2*PI()*C519)</f>
        <v>455.7814588338219</v>
      </c>
      <c r="H519" s="4">
        <f>G519*Thiet_ke!$B$15*B519*Dau_vao!$B$10/Thiet_ke!$B$7</f>
        <v>9965.957978664543</v>
      </c>
      <c r="I519" s="4">
        <f>IF(D519&lt;=Dau_vao!$B$14,Dau_vao!$B$13,Dau_vao!$B$13*(1+D519^2/1500))</f>
        <v>0.015</v>
      </c>
      <c r="J519" s="4">
        <f>Thiet_ke!$B$8*D519^2</f>
        <v>178.94124794262234</v>
      </c>
      <c r="K519" s="4">
        <f>Thiet_ke!$B$3*I519+J519</f>
        <v>1310.5247479426225</v>
      </c>
      <c r="L519" s="4">
        <f>(H519-J519)/Thiet_ke!$B$3</f>
        <v>0.12973435098764588</v>
      </c>
      <c r="M519" s="4">
        <f>1.05+0.05*B519^2</f>
        <v>1.4000000000000001</v>
      </c>
      <c r="N519" s="4">
        <f>(MIN(H519,Thiet_ke!$B$16)-K519)/(Thiet_ke!$B$2*M519)</f>
        <v>0.8039599879920043</v>
      </c>
      <c r="O519" s="4">
        <f>IF(N519&gt;0,1/N519,"")</f>
        <v>1.2438429958406654</v>
      </c>
    </row>
    <row r="520" spans="1:15">
      <c r="A520">
        <v>3</v>
      </c>
      <c r="B520" s="4">
        <f>Thiet_ke!$B$22</f>
        <v>2.6457513110645907</v>
      </c>
      <c r="C520" s="4">
        <f>Dau_vao!$B$21+(Dau_vao!$B$19-Dau_vao!$B$21)*116/200</f>
        <v>1844.0</v>
      </c>
      <c r="D520" s="4">
        <f>2*PI()*C520*Thiet_ke!$B$7/(60*Thiet_ke!$B$15*B520)</f>
        <v>7.859902229553231</v>
      </c>
      <c r="E520" s="4">
        <f>D520*3.6</f>
        <v>28.295648026391632</v>
      </c>
      <c r="F520" s="4">
        <f>Thiet_ke!$B$12*(Dau_vao!$B$22*(C520/Dau_vao!$B$19)+Dau_vao!$B$23*(C520/Dau_vao!$B$19)^2-Dau_vao!$B$24*(C520/Dau_vao!$B$19)^3)</f>
        <v>88.03728891923879</v>
      </c>
      <c r="G520" s="4">
        <f>60000*F520/(2*PI()*C520)</f>
        <v>455.90790806636215</v>
      </c>
      <c r="H520" s="4">
        <f>G520*Thiet_ke!$B$15*B520*Dau_vao!$B$10/Thiet_ke!$B$7</f>
        <v>9968.72287336025</v>
      </c>
      <c r="I520" s="4">
        <f>IF(D520&lt;=Dau_vao!$B$14,Dau_vao!$B$13,Dau_vao!$B$13*(1+D520^2/1500))</f>
        <v>0.015</v>
      </c>
      <c r="J520" s="4">
        <f>Thiet_ke!$B$8*D520^2</f>
        <v>180.70083444504735</v>
      </c>
      <c r="K520" s="4">
        <f>Thiet_ke!$B$3*I520+J520</f>
        <v>1312.2843344450475</v>
      </c>
      <c r="L520" s="4">
        <f>(H520-J520)/Thiet_ke!$B$3</f>
        <v>0.12974767711240753</v>
      </c>
      <c r="M520" s="4">
        <f>1.05+0.05*B520^2</f>
        <v>1.4000000000000001</v>
      </c>
      <c r="N520" s="4">
        <f>(MIN(H520,Thiet_ke!$B$16)-K520)/(Thiet_ke!$B$2*M520)</f>
        <v>0.8040533660519412</v>
      </c>
      <c r="O520" s="4">
        <f>IF(N520&gt;0,1/N520,"")</f>
        <v>1.2436985431827678</v>
      </c>
    </row>
    <row r="521" spans="1:15">
      <c r="A521">
        <v>3</v>
      </c>
      <c r="B521" s="4">
        <f>Thiet_ke!$B$22</f>
        <v>2.6457513110645907</v>
      </c>
      <c r="C521" s="4">
        <f>Dau_vao!$B$21+(Dau_vao!$B$19-Dau_vao!$B$21)*117/200</f>
        <v>1853.0</v>
      </c>
      <c r="D521" s="4">
        <f>2*PI()*C521*Thiet_ke!$B$7/(60*Thiet_ke!$B$15*B521)</f>
        <v>7.8982640083308775</v>
      </c>
      <c r="E521" s="4">
        <f>D521*3.6</f>
        <v>28.43375042999116</v>
      </c>
      <c r="F521" s="4">
        <f>Thiet_ke!$B$12*(Dau_vao!$B$22*(C521/Dau_vao!$B$19)+Dau_vao!$B$23*(C521/Dau_vao!$B$19)^2-Dau_vao!$B$24*(C521/Dau_vao!$B$19)^3)</f>
        <v>88.48951044724076</v>
      </c>
      <c r="G521" s="4">
        <f>60000*F521/(2*PI()*C521)</f>
        <v>456.024058266388</v>
      </c>
      <c r="H521" s="4">
        <f>G521*Thiet_ke!$B$15*B521*Dau_vao!$B$10/Thiet_ke!$B$7</f>
        <v>9971.262573012871</v>
      </c>
      <c r="I521" s="4">
        <f>IF(D521&lt;=Dau_vao!$B$14,Dau_vao!$B$13,Dau_vao!$B$13*(1+D521^2/1500))</f>
        <v>0.015</v>
      </c>
      <c r="J521" s="4">
        <f>Thiet_ke!$B$8*D521^2</f>
        <v>182.46902995998772</v>
      </c>
      <c r="K521" s="4">
        <f>Thiet_ke!$B$3*I521+J521</f>
        <v>1314.0525299599879</v>
      </c>
      <c r="L521" s="4">
        <f>(H521-J521)/Thiet_ke!$B$3</f>
        <v>0.12975790398657566</v>
      </c>
      <c r="M521" s="4">
        <f>1.05+0.05*B521^2</f>
        <v>1.4000000000000001</v>
      </c>
      <c r="N521" s="4">
        <f>(MIN(H521,Thiet_ke!$B$16)-K521)/(Thiet_ke!$B$2*M521)</f>
        <v>0.8041250272202193</v>
      </c>
      <c r="O521" s="4">
        <f>IF(N521&gt;0,1/N521,"")</f>
        <v>1.2435877085643026</v>
      </c>
    </row>
    <row r="522" spans="1:15">
      <c r="A522">
        <v>3</v>
      </c>
      <c r="B522" s="4">
        <f>Thiet_ke!$B$22</f>
        <v>2.6457513110645907</v>
      </c>
      <c r="C522" s="4">
        <f>Dau_vao!$B$21+(Dau_vao!$B$19-Dau_vao!$B$21)*118/200</f>
        <v>1862.0</v>
      </c>
      <c r="D522" s="4">
        <f>2*PI()*C522*Thiet_ke!$B$7/(60*Thiet_ke!$B$15*B522)</f>
        <v>7.9366257871085235</v>
      </c>
      <c r="E522" s="4">
        <f>D522*3.6</f>
        <v>28.571852833590686</v>
      </c>
      <c r="F522" s="4">
        <f>Thiet_ke!$B$12*(Dau_vao!$B$22*(C522/Dau_vao!$B$19)+Dau_vao!$B$23*(C522/Dau_vao!$B$19)^2-Dau_vao!$B$24*(C522/Dau_vao!$B$19)^3)</f>
        <v>88.93994272356449</v>
      </c>
      <c r="G522" s="4">
        <f>60000*F522/(2*PI()*C522)</f>
        <v>456.1299094338991</v>
      </c>
      <c r="H522" s="4">
        <f>G522*Thiet_ke!$B$15*B522*Dau_vao!$B$10/Thiet_ke!$B$7</f>
        <v>9973.577077622398</v>
      </c>
      <c r="I522" s="4">
        <f>IF(D522&lt;=Dau_vao!$B$14,Dau_vao!$B$13,Dau_vao!$B$13*(1+D522^2/1500))</f>
        <v>0.015</v>
      </c>
      <c r="J522" s="4">
        <f>Thiet_ke!$B$8*D522^2</f>
        <v>184.2458344874433</v>
      </c>
      <c r="K522" s="4">
        <f>Thiet_ke!$B$3*I522+J522</f>
        <v>1315.8293344874435</v>
      </c>
      <c r="L522" s="4">
        <f>(H522-J522)/Thiet_ke!$B$3</f>
        <v>0.12976503161015013</v>
      </c>
      <c r="M522" s="4">
        <f>1.05+0.05*B522^2</f>
        <v>1.4000000000000001</v>
      </c>
      <c r="N522" s="4">
        <f>(MIN(H522,Thiet_ke!$B$16)-K522)/(Thiet_ke!$B$2*M522)</f>
        <v>0.8041749714968376</v>
      </c>
      <c r="O522" s="4">
        <f>IF(N522&gt;0,1/N522,"")</f>
        <v>1.2435104740186913</v>
      </c>
    </row>
    <row r="523" spans="1:15">
      <c r="A523">
        <v>3</v>
      </c>
      <c r="B523" s="4">
        <f>Thiet_ke!$B$22</f>
        <v>2.6457513110645907</v>
      </c>
      <c r="C523" s="4">
        <f>Dau_vao!$B$21+(Dau_vao!$B$19-Dau_vao!$B$21)*119/200</f>
        <v>1871.0</v>
      </c>
      <c r="D523" s="4">
        <f>2*PI()*C523*Thiet_ke!$B$7/(60*Thiet_ke!$B$15*B523)</f>
        <v>7.974987565886169</v>
      </c>
      <c r="E523" s="4">
        <f>D523*3.6</f>
        <v>28.709955237190208</v>
      </c>
      <c r="F523" s="4">
        <f>Thiet_ke!$B$12*(Dau_vao!$B$22*(C523/Dau_vao!$B$19)+Dau_vao!$B$23*(C523/Dau_vao!$B$19)^2-Dau_vao!$B$24*(C523/Dau_vao!$B$19)^3)</f>
        <v>89.38855662838155</v>
      </c>
      <c r="G523" s="4">
        <f>60000*F523/(2*PI()*C523)</f>
        <v>456.2254615688957</v>
      </c>
      <c r="H523" s="4">
        <f>G523*Thiet_ke!$B$15*B523*Dau_vao!$B$10/Thiet_ke!$B$7</f>
        <v>9975.66638718884</v>
      </c>
      <c r="I523" s="4">
        <f>IF(D523&lt;=Dau_vao!$B$14,Dau_vao!$B$13,Dau_vao!$B$13*(1+D523^2/1500))</f>
        <v>0.015</v>
      </c>
      <c r="J523" s="4">
        <f>Thiet_ke!$B$8*D523^2</f>
        <v>186.03124802741408</v>
      </c>
      <c r="K523" s="4">
        <f>Thiet_ke!$B$3*I523+J523</f>
        <v>1317.6147480274142</v>
      </c>
      <c r="L523" s="4">
        <f>(H523-J523)/Thiet_ke!$B$3</f>
        <v>0.12976905998313104</v>
      </c>
      <c r="M523" s="4">
        <f>1.05+0.05*B523^2</f>
        <v>1.4000000000000001</v>
      </c>
      <c r="N523" s="4">
        <f>(MIN(H523,Thiet_ke!$B$16)-K523)/(Thiet_ke!$B$2*M523)</f>
        <v>0.8042031988817968</v>
      </c>
      <c r="O523" s="4">
        <f>IF(N523&gt;0,1/N523,"")</f>
        <v>1.2434668270288511</v>
      </c>
    </row>
    <row r="524" spans="1:15">
      <c r="A524">
        <v>3</v>
      </c>
      <c r="B524" s="4">
        <f>Thiet_ke!$B$22</f>
        <v>2.6457513110645907</v>
      </c>
      <c r="C524" s="4">
        <f>Dau_vao!$B$21+(Dau_vao!$B$19-Dau_vao!$B$21)*120/200</f>
        <v>1880.0</v>
      </c>
      <c r="D524" s="4">
        <f>2*PI()*C524*Thiet_ke!$B$7/(60*Thiet_ke!$B$15*B524)</f>
        <v>8.013349344663816</v>
      </c>
      <c r="E524" s="4">
        <f>D524*3.6</f>
        <v>28.848057640789737</v>
      </c>
      <c r="F524" s="4">
        <f>Thiet_ke!$B$12*(Dau_vao!$B$22*(C524/Dau_vao!$B$19)+Dau_vao!$B$23*(C524/Dau_vao!$B$19)^2-Dau_vao!$B$24*(C524/Dau_vao!$B$19)^3)</f>
        <v>89.83532304186356</v>
      </c>
      <c r="G524" s="4">
        <f>60000*F524/(2*PI()*C524)</f>
        <v>456.3107146713776</v>
      </c>
      <c r="H524" s="4">
        <f>G524*Thiet_ke!$B$15*B524*Dau_vao!$B$10/Thiet_ke!$B$7</f>
        <v>9977.530501712186</v>
      </c>
      <c r="I524" s="4">
        <f>IF(D524&lt;=Dau_vao!$B$14,Dau_vao!$B$13,Dau_vao!$B$13*(1+D524^2/1500))</f>
        <v>0.015</v>
      </c>
      <c r="J524" s="4">
        <f>Thiet_ke!$B$8*D524^2</f>
        <v>187.82527057990023</v>
      </c>
      <c r="K524" s="4">
        <f>Thiet_ke!$B$3*I524+J524</f>
        <v>1319.4087705799004</v>
      </c>
      <c r="L524" s="4">
        <f>(H524-J524)/Thiet_ke!$B$3</f>
        <v>0.1297699891055183</v>
      </c>
      <c r="M524" s="4">
        <f>1.05+0.05*B524^2</f>
        <v>1.4000000000000001</v>
      </c>
      <c r="N524" s="4">
        <f>(MIN(H524,Thiet_ke!$B$16)-K524)/(Thiet_ke!$B$2*M524)</f>
        <v>0.8042097093750961</v>
      </c>
      <c r="O524" s="4">
        <f>IF(N524&gt;0,1/N524,"")</f>
        <v>1.2434567605221292</v>
      </c>
    </row>
    <row r="525" spans="1:15">
      <c r="A525">
        <v>3</v>
      </c>
      <c r="B525" s="4">
        <f>Thiet_ke!$B$22</f>
        <v>2.6457513110645907</v>
      </c>
      <c r="C525" s="4">
        <f>Dau_vao!$B$21+(Dau_vao!$B$19-Dau_vao!$B$21)*121/200</f>
        <v>1889.0</v>
      </c>
      <c r="D525" s="4">
        <f>2*PI()*C525*Thiet_ke!$B$7/(60*Thiet_ke!$B$15*B525)</f>
        <v>8.051711123441462</v>
      </c>
      <c r="E525" s="4">
        <f>D525*3.6</f>
        <v>28.986160044389266</v>
      </c>
      <c r="F525" s="4">
        <f>Thiet_ke!$B$12*(Dau_vao!$B$22*(C525/Dau_vao!$B$19)+Dau_vao!$B$23*(C525/Dau_vao!$B$19)^2-Dau_vao!$B$24*(C525/Dau_vao!$B$19)^3)</f>
        <v>90.28021284418215</v>
      </c>
      <c r="G525" s="4">
        <f>60000*F525/(2*PI()*C525)</f>
        <v>456.38566874134494</v>
      </c>
      <c r="H525" s="4">
        <f>G525*Thiet_ke!$B$15*B525*Dau_vao!$B$10/Thiet_ke!$B$7</f>
        <v>9979.169421192444</v>
      </c>
      <c r="I525" s="4">
        <f>IF(D525&lt;=Dau_vao!$B$14,Dau_vao!$B$13,Dau_vao!$B$13*(1+D525^2/1500))</f>
        <v>0.015</v>
      </c>
      <c r="J525" s="4">
        <f>Thiet_ke!$B$8*D525^2</f>
        <v>189.6279021449016</v>
      </c>
      <c r="K525" s="4">
        <f>Thiet_ke!$B$3*I525+J525</f>
        <v>1321.2114021449017</v>
      </c>
      <c r="L525" s="4">
        <f>(H525-J525)/Thiet_ke!$B$3</f>
        <v>0.129767818977312</v>
      </c>
      <c r="M525" s="4">
        <f>1.05+0.05*B525^2</f>
        <v>1.4000000000000001</v>
      </c>
      <c r="N525" s="4">
        <f>(MIN(H525,Thiet_ke!$B$16)-K525)/(Thiet_ke!$B$2*M525)</f>
        <v>0.8041945029767361</v>
      </c>
      <c r="O525" s="4">
        <f>IF(N525&gt;0,1/N525,"")</f>
        <v>1.2434802728674312</v>
      </c>
    </row>
    <row r="526" spans="1:15">
      <c r="A526">
        <v>3</v>
      </c>
      <c r="B526" s="4">
        <f>Thiet_ke!$B$22</f>
        <v>2.6457513110645907</v>
      </c>
      <c r="C526" s="4">
        <f>Dau_vao!$B$21+(Dau_vao!$B$19-Dau_vao!$B$21)*122/200</f>
        <v>1898.0</v>
      </c>
      <c r="D526" s="4">
        <f>2*PI()*C526*Thiet_ke!$B$7/(60*Thiet_ke!$B$15*B526)</f>
        <v>8.090072902219106</v>
      </c>
      <c r="E526" s="4">
        <f>D526*3.6</f>
        <v>29.12426244798878</v>
      </c>
      <c r="F526" s="4">
        <f>Thiet_ke!$B$12*(Dau_vao!$B$22*(C526/Dau_vao!$B$19)+Dau_vao!$B$23*(C526/Dau_vao!$B$19)^2-Dau_vao!$B$24*(C526/Dau_vao!$B$19)^3)</f>
        <v>90.7231969155089</v>
      </c>
      <c r="G526" s="4">
        <f>60000*F526/(2*PI()*C526)</f>
        <v>456.45032377879767</v>
      </c>
      <c r="H526" s="4">
        <f>G526*Thiet_ke!$B$15*B526*Dau_vao!$B$10/Thiet_ke!$B$7</f>
        <v>9980.583145629618</v>
      </c>
      <c r="I526" s="4">
        <f>IF(D526&lt;=Dau_vao!$B$14,Dau_vao!$B$13,Dau_vao!$B$13*(1+D526^2/1500))</f>
        <v>0.015</v>
      </c>
      <c r="J526" s="4">
        <f>Thiet_ke!$B$8*D526^2</f>
        <v>191.4391427224181</v>
      </c>
      <c r="K526" s="4">
        <f>Thiet_ke!$B$3*I526+J526</f>
        <v>1323.0226427224184</v>
      </c>
      <c r="L526" s="4">
        <f>(H526-J526)/Thiet_ke!$B$3</f>
        <v>0.12976254959851216</v>
      </c>
      <c r="M526" s="4">
        <f>1.05+0.05*B526^2</f>
        <v>1.4000000000000001</v>
      </c>
      <c r="N526" s="4">
        <f>(MIN(H526,Thiet_ke!$B$16)-K526)/(Thiet_ke!$B$2*M526)</f>
        <v>0.8041575796867173</v>
      </c>
      <c r="O526" s="4">
        <f>IF(N526&gt;0,1/N526,"")</f>
        <v>1.2435373678745636</v>
      </c>
    </row>
    <row r="527" spans="1:15">
      <c r="A527">
        <v>3</v>
      </c>
      <c r="B527" s="4">
        <f>Thiet_ke!$B$22</f>
        <v>2.6457513110645907</v>
      </c>
      <c r="C527" s="4">
        <f>Dau_vao!$B$21+(Dau_vao!$B$19-Dau_vao!$B$21)*123/200</f>
        <v>1907.0</v>
      </c>
      <c r="D527" s="4">
        <f>2*PI()*C527*Thiet_ke!$B$7/(60*Thiet_ke!$B$15*B527)</f>
        <v>8.128434680996753</v>
      </c>
      <c r="E527" s="4">
        <f>D527*3.6</f>
        <v>29.26236485158831</v>
      </c>
      <c r="F527" s="4">
        <f>Thiet_ke!$B$12*(Dau_vao!$B$22*(C527/Dau_vao!$B$19)+Dau_vao!$B$23*(C527/Dau_vao!$B$19)^2-Dau_vao!$B$24*(C527/Dau_vao!$B$19)^3)</f>
        <v>91.16424613601536</v>
      </c>
      <c r="G527" s="4">
        <f>60000*F527/(2*PI()*C527)</f>
        <v>456.50467978373564</v>
      </c>
      <c r="H527" s="4">
        <f>G527*Thiet_ke!$B$15*B527*Dau_vao!$B$10/Thiet_ke!$B$7</f>
        <v>9981.771675023698</v>
      </c>
      <c r="I527" s="4">
        <f>IF(D527&lt;=Dau_vao!$B$14,Dau_vao!$B$13,Dau_vao!$B$13*(1+D527^2/1500))</f>
        <v>0.015</v>
      </c>
      <c r="J527" s="4">
        <f>Thiet_ke!$B$8*D527^2</f>
        <v>193.25899231245006</v>
      </c>
      <c r="K527" s="4">
        <f>Thiet_ke!$B$3*I527+J527</f>
        <v>1324.8424923124503</v>
      </c>
      <c r="L527" s="4">
        <f>(H527-J527)/Thiet_ke!$B$3</f>
        <v>0.12975418096911867</v>
      </c>
      <c r="M527" s="4">
        <f>1.05+0.05*B527^2</f>
        <v>1.4000000000000001</v>
      </c>
      <c r="N527" s="4">
        <f>(MIN(H527,Thiet_ke!$B$16)-K527)/(Thiet_ke!$B$2*M527)</f>
        <v>0.8040989395050385</v>
      </c>
      <c r="O527" s="4">
        <f>IF(N527&gt;0,1/N527,"")</f>
        <v>1.2436280547957792</v>
      </c>
    </row>
    <row r="528" spans="1:15">
      <c r="A528">
        <v>3</v>
      </c>
      <c r="B528" s="4">
        <f>Thiet_ke!$B$22</f>
        <v>2.6457513110645907</v>
      </c>
      <c r="C528" s="4">
        <f>Dau_vao!$B$21+(Dau_vao!$B$19-Dau_vao!$B$21)*124/200</f>
        <v>1916.0</v>
      </c>
      <c r="D528" s="4">
        <f>2*PI()*C528*Thiet_ke!$B$7/(60*Thiet_ke!$B$15*B528)</f>
        <v>8.1667964597744</v>
      </c>
      <c r="E528" s="4">
        <f>D528*3.6</f>
        <v>29.400467255187838</v>
      </c>
      <c r="F528" s="4">
        <f>Thiet_ke!$B$12*(Dau_vao!$B$22*(C528/Dau_vao!$B$19)+Dau_vao!$B$23*(C528/Dau_vao!$B$19)^2-Dau_vao!$B$24*(C528/Dau_vao!$B$19)^3)</f>
        <v>91.60333138587326</v>
      </c>
      <c r="G528" s="4">
        <f>60000*F528/(2*PI()*C528)</f>
        <v>456.54873675615937</v>
      </c>
      <c r="H528" s="4">
        <f>G528*Thiet_ke!$B$15*B528*Dau_vao!$B$10/Thiet_ke!$B$7</f>
        <v>9982.735009374694</v>
      </c>
      <c r="I528" s="4">
        <f>IF(D528&lt;=Dau_vao!$B$14,Dau_vao!$B$13,Dau_vao!$B$13*(1+D528^2/1500))</f>
        <v>0.015</v>
      </c>
      <c r="J528" s="4">
        <f>Thiet_ke!$B$8*D528^2</f>
        <v>195.08745091499722</v>
      </c>
      <c r="K528" s="4">
        <f>Thiet_ke!$B$3*I528+J528</f>
        <v>1326.6709509149973</v>
      </c>
      <c r="L528" s="4">
        <f>(H528-J528)/Thiet_ke!$B$3</f>
        <v>0.12974271308913166</v>
      </c>
      <c r="M528" s="4">
        <f>1.05+0.05*B528^2</f>
        <v>1.4000000000000001</v>
      </c>
      <c r="N528" s="4">
        <f>(MIN(H528,Thiet_ke!$B$16)-K528)/(Thiet_ke!$B$2*M528)</f>
        <v>0.8040185824317012</v>
      </c>
      <c r="O528" s="4">
        <f>IF(N528&gt;0,1/N528,"")</f>
        <v>1.2437523483295199</v>
      </c>
    </row>
    <row r="529" spans="1:15">
      <c r="A529">
        <v>3</v>
      </c>
      <c r="B529" s="4">
        <f>Thiet_ke!$B$22</f>
        <v>2.6457513110645907</v>
      </c>
      <c r="C529" s="4">
        <f>Dau_vao!$B$21+(Dau_vao!$B$19-Dau_vao!$B$21)*125/200</f>
        <v>1925.0</v>
      </c>
      <c r="D529" s="4">
        <f>2*PI()*C529*Thiet_ke!$B$7/(60*Thiet_ke!$B$15*B529)</f>
        <v>8.205158238552047</v>
      </c>
      <c r="E529" s="4">
        <f>D529*3.6</f>
        <v>29.538569658787367</v>
      </c>
      <c r="F529" s="4">
        <f>Thiet_ke!$B$12*(Dau_vao!$B$22*(C529/Dau_vao!$B$19)+Dau_vao!$B$23*(C529/Dau_vao!$B$19)^2-Dau_vao!$B$24*(C529/Dau_vao!$B$19)^3)</f>
        <v>92.04042354525409</v>
      </c>
      <c r="G529" s="4">
        <f>60000*F529/(2*PI()*C529)</f>
        <v>456.58249469606835</v>
      </c>
      <c r="H529" s="4">
        <f>G529*Thiet_ke!$B$15*B529*Dau_vao!$B$10/Thiet_ke!$B$7</f>
        <v>9983.473148682599</v>
      </c>
      <c r="I529" s="4">
        <f>IF(D529&lt;=Dau_vao!$B$14,Dau_vao!$B$13,Dau_vao!$B$13*(1+D529^2/1500))</f>
        <v>0.015</v>
      </c>
      <c r="J529" s="4">
        <f>Thiet_ke!$B$8*D529^2</f>
        <v>196.9245185300597</v>
      </c>
      <c r="K529" s="4">
        <f>Thiet_ke!$B$3*I529+J529</f>
        <v>1328.5080185300599</v>
      </c>
      <c r="L529" s="4">
        <f>(H529-J529)/Thiet_ke!$B$3</f>
        <v>0.12972814595855106</v>
      </c>
      <c r="M529" s="4">
        <f>1.05+0.05*B529^2</f>
        <v>1.4000000000000001</v>
      </c>
      <c r="N529" s="4">
        <f>(MIN(H529,Thiet_ke!$B$16)-K529)/(Thiet_ke!$B$2*M529)</f>
        <v>0.8039165084667043</v>
      </c>
      <c r="O529" s="4">
        <f>IF(N529&gt;0,1/N529,"")</f>
        <v>1.2439102686263805</v>
      </c>
    </row>
    <row r="530" spans="1:15">
      <c r="A530">
        <v>3</v>
      </c>
      <c r="B530" s="4">
        <f>Thiet_ke!$B$22</f>
        <v>2.6457513110645907</v>
      </c>
      <c r="C530" s="4">
        <f>Dau_vao!$B$21+(Dau_vao!$B$19-Dau_vao!$B$21)*126/200</f>
        <v>1934.0</v>
      </c>
      <c r="D530" s="4">
        <f>2*PI()*C530*Thiet_ke!$B$7/(60*Thiet_ke!$B$15*B530)</f>
        <v>8.243520017329692</v>
      </c>
      <c r="E530" s="4">
        <f>D530*3.6</f>
        <v>29.676672062386892</v>
      </c>
      <c r="F530" s="4">
        <f>Thiet_ke!$B$12*(Dau_vao!$B$22*(C530/Dau_vao!$B$19)+Dau_vao!$B$23*(C530/Dau_vao!$B$19)^2-Dau_vao!$B$24*(C530/Dau_vao!$B$19)^3)</f>
        <v>92.47549349432948</v>
      </c>
      <c r="G530" s="4">
        <f>60000*F530/(2*PI()*C530)</f>
        <v>456.6059536034627</v>
      </c>
      <c r="H530" s="4">
        <f>G530*Thiet_ke!$B$15*B530*Dau_vao!$B$10/Thiet_ke!$B$7</f>
        <v>9983.98609294741</v>
      </c>
      <c r="I530" s="4">
        <f>IF(D530&lt;=Dau_vao!$B$14,Dau_vao!$B$13,Dau_vao!$B$13*(1+D530^2/1500))</f>
        <v>0.015</v>
      </c>
      <c r="J530" s="4">
        <f>Thiet_ke!$B$8*D530^2</f>
        <v>198.77019515763732</v>
      </c>
      <c r="K530" s="4">
        <f>Thiet_ke!$B$3*I530+J530</f>
        <v>1330.3536951576375</v>
      </c>
      <c r="L530" s="4">
        <f>(H530-J530)/Thiet_ke!$B$3</f>
        <v>0.12971047957737683</v>
      </c>
      <c r="M530" s="4">
        <f>1.05+0.05*B530^2</f>
        <v>1.4000000000000001</v>
      </c>
      <c r="N530" s="4">
        <f>(MIN(H530,Thiet_ke!$B$16)-K530)/(Thiet_ke!$B$2*M530)</f>
        <v>0.8037927176100476</v>
      </c>
      <c r="O530" s="4">
        <f>IF(N530&gt;0,1/N530,"")</f>
        <v>1.244101841297274</v>
      </c>
    </row>
    <row r="531" spans="1:15">
      <c r="A531">
        <v>3</v>
      </c>
      <c r="B531" s="4">
        <f>Thiet_ke!$B$22</f>
        <v>2.6457513110645907</v>
      </c>
      <c r="C531" s="4">
        <f>Dau_vao!$B$21+(Dau_vao!$B$19-Dau_vao!$B$21)*127/200</f>
        <v>1943.0</v>
      </c>
      <c r="D531" s="4">
        <f>2*PI()*C531*Thiet_ke!$B$7/(60*Thiet_ke!$B$15*B531)</f>
        <v>8.281881796107337</v>
      </c>
      <c r="E531" s="4">
        <f>D531*3.6</f>
        <v>29.814774465986414</v>
      </c>
      <c r="F531" s="4">
        <f>Thiet_ke!$B$12*(Dau_vao!$B$22*(C531/Dau_vao!$B$19)+Dau_vao!$B$23*(C531/Dau_vao!$B$19)^2-Dau_vao!$B$24*(C531/Dau_vao!$B$19)^3)</f>
        <v>92.90851211327106</v>
      </c>
      <c r="G531" s="4">
        <f>60000*F531/(2*PI()*C531)</f>
        <v>456.6191134783425</v>
      </c>
      <c r="H531" s="4">
        <f>G531*Thiet_ke!$B$15*B531*Dau_vao!$B$10/Thiet_ke!$B$7</f>
        <v>9984.273842169137</v>
      </c>
      <c r="I531" s="4">
        <f>IF(D531&lt;=Dau_vao!$B$14,Dau_vao!$B$13,Dau_vao!$B$13*(1+D531^2/1500))</f>
        <v>0.015</v>
      </c>
      <c r="J531" s="4">
        <f>Thiet_ke!$B$8*D531^2</f>
        <v>200.62448079773023</v>
      </c>
      <c r="K531" s="4">
        <f>Thiet_ke!$B$3*I531+J531</f>
        <v>1332.2079807977304</v>
      </c>
      <c r="L531" s="4">
        <f>(H531-J531)/Thiet_ke!$B$3</f>
        <v>0.12968971394560905</v>
      </c>
      <c r="M531" s="4">
        <f>1.05+0.05*B531^2</f>
        <v>1.4000000000000001</v>
      </c>
      <c r="N531" s="4">
        <f>(MIN(H531,Thiet_ke!$B$16)-K531)/(Thiet_ke!$B$2*M531)</f>
        <v>0.803647209861732</v>
      </c>
      <c r="O531" s="4">
        <f>IF(N531&gt;0,1/N531,"")</f>
        <v>1.2443270974238194</v>
      </c>
    </row>
    <row r="532" spans="1:15">
      <c r="A532">
        <v>3</v>
      </c>
      <c r="B532" s="4">
        <f>Thiet_ke!$B$22</f>
        <v>2.6457513110645907</v>
      </c>
      <c r="C532" s="4">
        <f>Dau_vao!$B$21+(Dau_vao!$B$19-Dau_vao!$B$21)*128/200</f>
        <v>1952.0</v>
      </c>
      <c r="D532" s="4">
        <f>2*PI()*C532*Thiet_ke!$B$7/(60*Thiet_ke!$B$15*B532)</f>
        <v>8.320243574884982</v>
      </c>
      <c r="E532" s="4">
        <f>D532*3.6</f>
        <v>29.952876869585936</v>
      </c>
      <c r="F532" s="4">
        <f>Thiet_ke!$B$12*(Dau_vao!$B$22*(C532/Dau_vao!$B$19)+Dau_vao!$B$23*(C532/Dau_vao!$B$19)^2-Dau_vao!$B$24*(C532/Dau_vao!$B$19)^3)</f>
        <v>93.33945028225037</v>
      </c>
      <c r="G532" s="4">
        <f>60000*F532/(2*PI()*C532)</f>
        <v>456.6219743207076</v>
      </c>
      <c r="H532" s="4">
        <f>G532*Thiet_ke!$B$15*B532*Dau_vao!$B$10/Thiet_ke!$B$7</f>
        <v>9984.336396347773</v>
      </c>
      <c r="I532" s="4">
        <f>IF(D532&lt;=Dau_vao!$B$14,Dau_vao!$B$13,Dau_vao!$B$13*(1+D532^2/1500))</f>
        <v>0.015</v>
      </c>
      <c r="J532" s="4">
        <f>Thiet_ke!$B$8*D532^2</f>
        <v>202.48737545033836</v>
      </c>
      <c r="K532" s="4">
        <f>Thiet_ke!$B$3*I532+J532</f>
        <v>1334.0708754503385</v>
      </c>
      <c r="L532" s="4">
        <f>(H532-J532)/Thiet_ke!$B$3</f>
        <v>0.12966584906324766</v>
      </c>
      <c r="M532" s="4">
        <f>1.05+0.05*B532^2</f>
        <v>1.4000000000000001</v>
      </c>
      <c r="N532" s="4">
        <f>(MIN(H532,Thiet_ke!$B$16)-K532)/(Thiet_ke!$B$2*M532)</f>
        <v>0.8034799852217569</v>
      </c>
      <c r="O532" s="4">
        <f>IF(N532&gt;0,1/N532,"")</f>
        <v>1.2445860735709608</v>
      </c>
    </row>
    <row r="533" spans="1:15">
      <c r="A533">
        <v>3</v>
      </c>
      <c r="B533" s="4">
        <f>Thiet_ke!$B$22</f>
        <v>2.6457513110645907</v>
      </c>
      <c r="C533" s="4">
        <f>Dau_vao!$B$21+(Dau_vao!$B$19-Dau_vao!$B$21)*129/200</f>
        <v>1961.0</v>
      </c>
      <c r="D533" s="4">
        <f>2*PI()*C533*Thiet_ke!$B$7/(60*Thiet_ke!$B$15*B533)</f>
        <v>8.358605353662629</v>
      </c>
      <c r="E533" s="4">
        <f>D533*3.6</f>
        <v>30.090979273185464</v>
      </c>
      <c r="F533" s="4">
        <f>Thiet_ke!$B$12*(Dau_vao!$B$22*(C533/Dau_vao!$B$19)+Dau_vao!$B$23*(C533/Dau_vao!$B$19)^2-Dau_vao!$B$24*(C533/Dau_vao!$B$19)^3)</f>
        <v>93.76827888143906</v>
      </c>
      <c r="G533" s="4">
        <f>60000*F533/(2*PI()*C533)</f>
        <v>456.61453613055806</v>
      </c>
      <c r="H533" s="4">
        <f>G533*Thiet_ke!$B$15*B533*Dau_vao!$B$10/Thiet_ke!$B$7</f>
        <v>9984.173755483318</v>
      </c>
      <c r="I533" s="4">
        <f>IF(D533&lt;=Dau_vao!$B$14,Dau_vao!$B$13,Dau_vao!$B$13*(1+D533^2/1500))</f>
        <v>0.015</v>
      </c>
      <c r="J533" s="4">
        <f>Thiet_ke!$B$8*D533^2</f>
        <v>204.3588791154619</v>
      </c>
      <c r="K533" s="4">
        <f>Thiet_ke!$B$3*I533+J533</f>
        <v>1335.942379115462</v>
      </c>
      <c r="L533" s="4">
        <f>(H533-J533)/Thiet_ke!$B$3</f>
        <v>0.12963888493029266</v>
      </c>
      <c r="M533" s="4">
        <f>1.05+0.05*B533^2</f>
        <v>1.4000000000000001</v>
      </c>
      <c r="N533" s="4">
        <f>(MIN(H533,Thiet_ke!$B$16)-K533)/(Thiet_ke!$B$2*M533)</f>
        <v>0.803291043690122</v>
      </c>
      <c r="O533" s="4">
        <f>IF(N533&gt;0,1/N533,"")</f>
        <v>1.2448788118018161</v>
      </c>
    </row>
    <row r="534" spans="1:15">
      <c r="A534">
        <v>3</v>
      </c>
      <c r="B534" s="4">
        <f>Thiet_ke!$B$22</f>
        <v>2.6457513110645907</v>
      </c>
      <c r="C534" s="4">
        <f>Dau_vao!$B$21+(Dau_vao!$B$19-Dau_vao!$B$21)*130/200</f>
        <v>1970.0</v>
      </c>
      <c r="D534" s="4">
        <f>2*PI()*C534*Thiet_ke!$B$7/(60*Thiet_ke!$B$15*B534)</f>
        <v>8.396967132440274</v>
      </c>
      <c r="E534" s="4">
        <f>D534*3.6</f>
        <v>30.229081676784986</v>
      </c>
      <c r="F534" s="4">
        <f>Thiet_ke!$B$12*(Dau_vao!$B$22*(C534/Dau_vao!$B$19)+Dau_vao!$B$23*(C534/Dau_vao!$B$19)^2-Dau_vao!$B$24*(C534/Dau_vao!$B$19)^3)</f>
        <v>94.19496879100878</v>
      </c>
      <c r="G534" s="4">
        <f>60000*F534/(2*PI()*C534)</f>
        <v>456.5967989078942</v>
      </c>
      <c r="H534" s="4">
        <f>G534*Thiet_ke!$B$15*B534*Dau_vao!$B$10/Thiet_ke!$B$7</f>
        <v>9983.78591957578</v>
      </c>
      <c r="I534" s="4">
        <f>IF(D534&lt;=Dau_vao!$B$14,Dau_vao!$B$13,Dau_vao!$B$13*(1+D534^2/1500))</f>
        <v>0.015</v>
      </c>
      <c r="J534" s="4">
        <f>Thiet_ke!$B$8*D534^2</f>
        <v>206.23899179310055</v>
      </c>
      <c r="K534" s="4">
        <f>Thiet_ke!$B$3*I534+J534</f>
        <v>1337.8224917931007</v>
      </c>
      <c r="L534" s="4">
        <f>(H534-J534)/Thiet_ke!$B$3</f>
        <v>0.12960882154674414</v>
      </c>
      <c r="M534" s="4">
        <f>1.05+0.05*B534^2</f>
        <v>1.4000000000000001</v>
      </c>
      <c r="N534" s="4">
        <f>(MIN(H534,Thiet_ke!$B$16)-K534)/(Thiet_ke!$B$2*M534)</f>
        <v>0.8030803852668287</v>
      </c>
      <c r="O534" s="4">
        <f>IF(N534&gt;0,1/N534,"")</f>
        <v>1.2452053596947752</v>
      </c>
    </row>
    <row r="535" spans="1:15">
      <c r="A535">
        <v>3</v>
      </c>
      <c r="B535" s="4">
        <f>Thiet_ke!$B$22</f>
        <v>2.6457513110645907</v>
      </c>
      <c r="C535" s="4">
        <f>Dau_vao!$B$21+(Dau_vao!$B$19-Dau_vao!$B$21)*131/200</f>
        <v>1979.0</v>
      </c>
      <c r="D535" s="4">
        <f>2*PI()*C535*Thiet_ke!$B$7/(60*Thiet_ke!$B$15*B535)</f>
        <v>8.43532891121792</v>
      </c>
      <c r="E535" s="4">
        <f>D535*3.6</f>
        <v>30.367184080384515</v>
      </c>
      <c r="F535" s="4">
        <f>Thiet_ke!$B$12*(Dau_vao!$B$22*(C535/Dau_vao!$B$19)+Dau_vao!$B$23*(C535/Dau_vao!$B$19)^2-Dau_vao!$B$24*(C535/Dau_vao!$B$19)^3)</f>
        <v>94.61949089113101</v>
      </c>
      <c r="G535" s="4">
        <f>60000*F535/(2*PI()*C535)</f>
        <v>456.5687626527155</v>
      </c>
      <c r="H535" s="4">
        <f>G535*Thiet_ke!$B$15*B535*Dau_vao!$B$10/Thiet_ke!$B$7</f>
        <v>9983.17288862515</v>
      </c>
      <c r="I535" s="4">
        <f>IF(D535&lt;=Dau_vao!$B$14,Dau_vao!$B$13,Dau_vao!$B$13*(1+D535^2/1500))</f>
        <v>0.015</v>
      </c>
      <c r="J535" s="4">
        <f>Thiet_ke!$B$8*D535^2</f>
        <v>208.1277134832546</v>
      </c>
      <c r="K535" s="4">
        <f>Thiet_ke!$B$3*I535+J535</f>
        <v>1339.7112134832548</v>
      </c>
      <c r="L535" s="4">
        <f>(H535-J535)/Thiet_ke!$B$3</f>
        <v>0.12957565891260203</v>
      </c>
      <c r="M535" s="4">
        <f>1.05+0.05*B535^2</f>
        <v>1.4000000000000001</v>
      </c>
      <c r="N535" s="4">
        <f>(MIN(H535,Thiet_ke!$B$16)-K535)/(Thiet_ke!$B$2*M535)</f>
        <v>0.8028480099518757</v>
      </c>
      <c r="O535" s="4">
        <f>IF(N535&gt;0,1/N535,"")</f>
        <v>1.2455657703628635</v>
      </c>
    </row>
    <row r="536" spans="1:15">
      <c r="A536">
        <v>3</v>
      </c>
      <c r="B536" s="4">
        <f>Thiet_ke!$B$22</f>
        <v>2.6457513110645907</v>
      </c>
      <c r="C536" s="4">
        <f>Dau_vao!$B$21+(Dau_vao!$B$19-Dau_vao!$B$21)*132/200</f>
        <v>1988.0</v>
      </c>
      <c r="D536" s="4">
        <f>2*PI()*C536*Thiet_ke!$B$7/(60*Thiet_ke!$B$15*B536)</f>
        <v>8.473690689995566</v>
      </c>
      <c r="E536" s="4">
        <f>D536*3.6</f>
        <v>30.505286483984037</v>
      </c>
      <c r="F536" s="4">
        <f>Thiet_ke!$B$12*(Dau_vao!$B$22*(C536/Dau_vao!$B$19)+Dau_vao!$B$23*(C536/Dau_vao!$B$19)^2-Dau_vao!$B$24*(C536/Dau_vao!$B$19)^3)</f>
        <v>95.04181606197744</v>
      </c>
      <c r="G536" s="4">
        <f>60000*F536/(2*PI()*C536)</f>
        <v>456.5304273650223</v>
      </c>
      <c r="H536" s="4">
        <f>G536*Thiet_ke!$B$15*B536*Dau_vao!$B$10/Thiet_ke!$B$7</f>
        <v>9982.334662631425</v>
      </c>
      <c r="I536" s="4">
        <f>IF(D536&lt;=Dau_vao!$B$14,Dau_vao!$B$13,Dau_vao!$B$13*(1+D536^2/1500))</f>
        <v>0.015</v>
      </c>
      <c r="J536" s="4">
        <f>Thiet_ke!$B$8*D536^2</f>
        <v>210.02504418592378</v>
      </c>
      <c r="K536" s="4">
        <f>Thiet_ke!$B$3*I536+J536</f>
        <v>1341.608544185924</v>
      </c>
      <c r="L536" s="4">
        <f>(H536-J536)/Thiet_ke!$B$3</f>
        <v>0.12953939702786627</v>
      </c>
      <c r="M536" s="4">
        <f>1.05+0.05*B536^2</f>
        <v>1.4000000000000001</v>
      </c>
      <c r="N536" s="4">
        <f>(MIN(H536,Thiet_ke!$B$16)-K536)/(Thiet_ke!$B$2*M536)</f>
        <v>0.8025939177452629</v>
      </c>
      <c r="O536" s="4">
        <f>IF(N536&gt;0,1/N536,"")</f>
        <v>1.2459601024753744</v>
      </c>
    </row>
    <row r="537" spans="1:15">
      <c r="A537">
        <v>3</v>
      </c>
      <c r="B537" s="4">
        <f>Thiet_ke!$B$22</f>
        <v>2.6457513110645907</v>
      </c>
      <c r="C537" s="4">
        <f>Dau_vao!$B$21+(Dau_vao!$B$19-Dau_vao!$B$21)*133/200</f>
        <v>1997.0</v>
      </c>
      <c r="D537" s="4">
        <f>2*PI()*C537*Thiet_ke!$B$7/(60*Thiet_ke!$B$15*B537)</f>
        <v>8.512052468773213</v>
      </c>
      <c r="E537" s="4">
        <f>D537*3.6</f>
        <v>30.643388887583566</v>
      </c>
      <c r="F537" s="4">
        <f>Thiet_ke!$B$12*(Dau_vao!$B$22*(C537/Dau_vao!$B$19)+Dau_vao!$B$23*(C537/Dau_vao!$B$19)^2-Dau_vao!$B$24*(C537/Dau_vao!$B$19)^3)</f>
        <v>95.46191518371967</v>
      </c>
      <c r="G537" s="4">
        <f>60000*F537/(2*PI()*C537)</f>
        <v>456.48179304481454</v>
      </c>
      <c r="H537" s="4">
        <f>G537*Thiet_ke!$B$15*B537*Dau_vao!$B$10/Thiet_ke!$B$7</f>
        <v>9981.271241594613</v>
      </c>
      <c r="I537" s="4">
        <f>IF(D537&lt;=Dau_vao!$B$14,Dau_vao!$B$13,Dau_vao!$B$13*(1+D537^2/1500))</f>
        <v>0.015</v>
      </c>
      <c r="J537" s="4">
        <f>Thiet_ke!$B$8*D537^2</f>
        <v>211.93098390110836</v>
      </c>
      <c r="K537" s="4">
        <f>Thiet_ke!$B$3*I537+J537</f>
        <v>1343.5144839011086</v>
      </c>
      <c r="L537" s="4">
        <f>(H537-J537)/Thiet_ke!$B$3</f>
        <v>0.12950003589253695</v>
      </c>
      <c r="M537" s="4">
        <f>1.05+0.05*B537^2</f>
        <v>1.4000000000000001</v>
      </c>
      <c r="N537" s="4">
        <f>(MIN(H537,Thiet_ke!$B$16)-K537)/(Thiet_ke!$B$2*M537)</f>
        <v>0.8023181086469909</v>
      </c>
      <c r="O537" s="4">
        <f>IF(N537&gt;0,1/N537,"")</f>
        <v>1.2463884202817943</v>
      </c>
    </row>
    <row r="538" spans="1:15">
      <c r="A538">
        <v>3</v>
      </c>
      <c r="B538" s="4">
        <f>Thiet_ke!$B$22</f>
        <v>2.6457513110645907</v>
      </c>
      <c r="C538" s="4">
        <f>Dau_vao!$B$21+(Dau_vao!$B$19-Dau_vao!$B$21)*134/200</f>
        <v>2006.0</v>
      </c>
      <c r="D538" s="4">
        <f>2*PI()*C538*Thiet_ke!$B$7/(60*Thiet_ke!$B$15*B538)</f>
        <v>8.550414247550858</v>
      </c>
      <c r="E538" s="4">
        <f>D538*3.6</f>
        <v>30.78149129118309</v>
      </c>
      <c r="F538" s="4">
        <f>Thiet_ke!$B$12*(Dau_vao!$B$22*(C538/Dau_vao!$B$19)+Dau_vao!$B$23*(C538/Dau_vao!$B$19)^2-Dau_vao!$B$24*(C538/Dau_vao!$B$19)^3)</f>
        <v>95.87975913652924</v>
      </c>
      <c r="G538" s="4">
        <f>60000*F538/(2*PI()*C538)</f>
        <v>456.42285969209206</v>
      </c>
      <c r="H538" s="4">
        <f>G538*Thiet_ke!$B$15*B538*Dau_vao!$B$10/Thiet_ke!$B$7</f>
        <v>9979.982625514715</v>
      </c>
      <c r="I538" s="4">
        <f>IF(D538&lt;=Dau_vao!$B$14,Dau_vao!$B$13,Dau_vao!$B$13*(1+D538^2/1500))</f>
        <v>0.015</v>
      </c>
      <c r="J538" s="4">
        <f>Thiet_ke!$B$8*D538^2</f>
        <v>213.84553262880806</v>
      </c>
      <c r="K538" s="4">
        <f>Thiet_ke!$B$3*I538+J538</f>
        <v>1345.4290326288083</v>
      </c>
      <c r="L538" s="4">
        <f>(H538-J538)/Thiet_ke!$B$3</f>
        <v>0.12945757550661405</v>
      </c>
      <c r="M538" s="4">
        <f>1.05+0.05*B538^2</f>
        <v>1.4000000000000001</v>
      </c>
      <c r="N538" s="4">
        <f>(MIN(H538,Thiet_ke!$B$16)-K538)/(Thiet_ke!$B$2*M538)</f>
        <v>0.8020205826570597</v>
      </c>
      <c r="O538" s="4">
        <f>IF(N538&gt;0,1/N538,"")</f>
        <v>1.2468507936380424</v>
      </c>
    </row>
    <row r="539" spans="1:15">
      <c r="A539">
        <v>3</v>
      </c>
      <c r="B539" s="4">
        <f>Thiet_ke!$B$22</f>
        <v>2.6457513110645907</v>
      </c>
      <c r="C539" s="4">
        <f>Dau_vao!$B$21+(Dau_vao!$B$19-Dau_vao!$B$21)*135/200</f>
        <v>2015.0</v>
      </c>
      <c r="D539" s="4">
        <f>2*PI()*C539*Thiet_ke!$B$7/(60*Thiet_ke!$B$15*B539)</f>
        <v>8.588776026328505</v>
      </c>
      <c r="E539" s="4">
        <f>D539*3.6</f>
        <v>30.91959369478262</v>
      </c>
      <c r="F539" s="4">
        <f>Thiet_ke!$B$12*(Dau_vao!$B$22*(C539/Dau_vao!$B$19)+Dau_vao!$B$23*(C539/Dau_vao!$B$19)^2-Dau_vao!$B$24*(C539/Dau_vao!$B$19)^3)</f>
        <v>96.29531880057782</v>
      </c>
      <c r="G539" s="4">
        <f>60000*F539/(2*PI()*C539)</f>
        <v>456.35362730685506</v>
      </c>
      <c r="H539" s="4">
        <f>G539*Thiet_ke!$B$15*B539*Dau_vao!$B$10/Thiet_ke!$B$7</f>
        <v>9978.468814391725</v>
      </c>
      <c r="I539" s="4">
        <f>IF(D539&lt;=Dau_vao!$B$14,Dau_vao!$B$13,Dau_vao!$B$13*(1+D539^2/1500))</f>
        <v>0.015</v>
      </c>
      <c r="J539" s="4">
        <f>Thiet_ke!$B$8*D539^2</f>
        <v>215.76869036902318</v>
      </c>
      <c r="K539" s="4">
        <f>Thiet_ke!$B$3*I539+J539</f>
        <v>1347.3521903690234</v>
      </c>
      <c r="L539" s="4">
        <f>(H539-J539)/Thiet_ke!$B$3</f>
        <v>0.12941201587009754</v>
      </c>
      <c r="M539" s="4">
        <f>1.05+0.05*B539^2</f>
        <v>1.4000000000000001</v>
      </c>
      <c r="N539" s="4">
        <f>(MIN(H539,Thiet_ke!$B$16)-K539)/(Thiet_ke!$B$2*M539)</f>
        <v>0.8017013397754691</v>
      </c>
      <c r="O539" s="4">
        <f>IF(N539&gt;0,1/N539,"")</f>
        <v>1.2473472980350364</v>
      </c>
    </row>
    <row r="540" spans="1:15">
      <c r="A540">
        <v>3</v>
      </c>
      <c r="B540" s="4">
        <f>Thiet_ke!$B$22</f>
        <v>2.6457513110645907</v>
      </c>
      <c r="C540" s="4">
        <f>Dau_vao!$B$21+(Dau_vao!$B$19-Dau_vao!$B$21)*136/200</f>
        <v>2024.0</v>
      </c>
      <c r="D540" s="4">
        <f>2*PI()*C540*Thiet_ke!$B$7/(60*Thiet_ke!$B$15*B540)</f>
        <v>8.627137805106152</v>
      </c>
      <c r="E540" s="4">
        <f>D540*3.6</f>
        <v>31.05769609838215</v>
      </c>
      <c r="F540" s="4">
        <f>Thiet_ke!$B$12*(Dau_vao!$B$22*(C540/Dau_vao!$B$19)+Dau_vao!$B$23*(C540/Dau_vao!$B$19)^2-Dau_vao!$B$24*(C540/Dau_vao!$B$19)^3)</f>
        <v>96.70856505603696</v>
      </c>
      <c r="G540" s="4">
        <f>60000*F540/(2*PI()*C540)</f>
        <v>456.2740958891034</v>
      </c>
      <c r="H540" s="4">
        <f>G540*Thiet_ke!$B$15*B540*Dau_vao!$B$10/Thiet_ke!$B$7</f>
        <v>9976.729808225648</v>
      </c>
      <c r="I540" s="4">
        <f>IF(D540&lt;=Dau_vao!$B$14,Dau_vao!$B$13,Dau_vao!$B$13*(1+D540^2/1500))</f>
        <v>0.015</v>
      </c>
      <c r="J540" s="4">
        <f>Thiet_ke!$B$8*D540^2</f>
        <v>217.7004571217535</v>
      </c>
      <c r="K540" s="4">
        <f>Thiet_ke!$B$3*I540+J540</f>
        <v>1349.2839571217537</v>
      </c>
      <c r="L540" s="4">
        <f>(H540-J540)/Thiet_ke!$B$3</f>
        <v>0.12936335698298748</v>
      </c>
      <c r="M540" s="4">
        <f>1.05+0.05*B540^2</f>
        <v>1.4000000000000001</v>
      </c>
      <c r="N540" s="4">
        <f>(MIN(H540,Thiet_ke!$B$16)-K540)/(Thiet_ke!$B$2*M540)</f>
        <v>0.8013603800022192</v>
      </c>
      <c r="O540" s="4">
        <f>IF(N540&gt;0,1/N540,"")</f>
        <v>1.2478780146296111</v>
      </c>
    </row>
    <row r="541" spans="1:15">
      <c r="A541">
        <v>3</v>
      </c>
      <c r="B541" s="4">
        <f>Thiet_ke!$B$22</f>
        <v>2.6457513110645907</v>
      </c>
      <c r="C541" s="4">
        <f>Dau_vao!$B$21+(Dau_vao!$B$19-Dau_vao!$B$21)*137/200</f>
        <v>2033.0</v>
      </c>
      <c r="D541" s="4">
        <f>2*PI()*C541*Thiet_ke!$B$7/(60*Thiet_ke!$B$15*B541)</f>
        <v>8.665499583883795</v>
      </c>
      <c r="E541" s="4">
        <f>D541*3.6</f>
        <v>31.195798501981663</v>
      </c>
      <c r="F541" s="4">
        <f>Thiet_ke!$B$12*(Dau_vao!$B$22*(C541/Dau_vao!$B$19)+Dau_vao!$B$23*(C541/Dau_vao!$B$19)^2-Dau_vao!$B$24*(C541/Dau_vao!$B$19)^3)</f>
        <v>97.11946878307835</v>
      </c>
      <c r="G541" s="4">
        <f>60000*F541/(2*PI()*C541)</f>
        <v>456.18426543883743</v>
      </c>
      <c r="H541" s="4">
        <f>G541*Thiet_ke!$B$15*B541*Dau_vao!$B$10/Thiet_ke!$B$7</f>
        <v>9974.765607016485</v>
      </c>
      <c r="I541" s="4">
        <f>IF(D541&lt;=Dau_vao!$B$14,Dau_vao!$B$13,Dau_vao!$B$13*(1+D541^2/1500))</f>
        <v>0.015</v>
      </c>
      <c r="J541" s="4">
        <f>Thiet_ke!$B$8*D541^2</f>
        <v>219.64083288699894</v>
      </c>
      <c r="K541" s="4">
        <f>Thiet_ke!$B$3*I541+J541</f>
        <v>1351.224332886999</v>
      </c>
      <c r="L541" s="4">
        <f>(H541-J541)/Thiet_ke!$B$3</f>
        <v>0.12931159884528387</v>
      </c>
      <c r="M541" s="4">
        <f>1.05+0.05*B541^2</f>
        <v>1.4000000000000001</v>
      </c>
      <c r="N541" s="4">
        <f>(MIN(H541,Thiet_ke!$B$16)-K541)/(Thiet_ke!$B$2*M541)</f>
        <v>0.8009977033373105</v>
      </c>
      <c r="O541" s="4">
        <f>IF(N541&gt;0,1/N541,"")</f>
        <v>1.2484430302778122</v>
      </c>
    </row>
    <row r="542" spans="1:15">
      <c r="A542">
        <v>3</v>
      </c>
      <c r="B542" s="4">
        <f>Thiet_ke!$B$22</f>
        <v>2.6457513110645907</v>
      </c>
      <c r="C542" s="4">
        <f>Dau_vao!$B$21+(Dau_vao!$B$19-Dau_vao!$B$21)*138/200</f>
        <v>2042.0</v>
      </c>
      <c r="D542" s="4">
        <f>2*PI()*C542*Thiet_ke!$B$7/(60*Thiet_ke!$B$15*B542)</f>
        <v>8.703861362661442</v>
      </c>
      <c r="E542" s="4">
        <f>D542*3.6</f>
        <v>31.333900905581192</v>
      </c>
      <c r="F542" s="4">
        <f>Thiet_ke!$B$12*(Dau_vao!$B$22*(C542/Dau_vao!$B$19)+Dau_vao!$B$23*(C542/Dau_vao!$B$19)^2-Dau_vao!$B$24*(C542/Dau_vao!$B$19)^3)</f>
        <v>97.52800086187342</v>
      </c>
      <c r="G542" s="4">
        <f>60000*F542/(2*PI()*C542)</f>
        <v>456.08413595605634</v>
      </c>
      <c r="H542" s="4">
        <f>G542*Thiet_ke!$B$15*B542*Dau_vao!$B$10/Thiet_ke!$B$7</f>
        <v>9972.576210764222</v>
      </c>
      <c r="I542" s="4">
        <f>IF(D542&lt;=Dau_vao!$B$14,Dau_vao!$B$13,Dau_vao!$B$13*(1+D542^2/1500))</f>
        <v>0.015</v>
      </c>
      <c r="J542" s="4">
        <f>Thiet_ke!$B$8*D542^2</f>
        <v>221.58981766475978</v>
      </c>
      <c r="K542" s="4">
        <f>Thiet_ke!$B$3*I542+J542</f>
        <v>1353.17331766476</v>
      </c>
      <c r="L542" s="4">
        <f>(H542-J542)/Thiet_ke!$B$3</f>
        <v>0.1292567414569865</v>
      </c>
      <c r="M542" s="4">
        <f>1.05+0.05*B542^2</f>
        <v>1.4000000000000001</v>
      </c>
      <c r="N542" s="4">
        <f>(MIN(H542,Thiet_ke!$B$16)-K542)/(Thiet_ke!$B$2*M542)</f>
        <v>0.8006133097807413</v>
      </c>
      <c r="O542" s="4">
        <f>IF(N542&gt;0,1/N542,"")</f>
        <v>1.2490424375705962</v>
      </c>
    </row>
    <row r="543" spans="1:15">
      <c r="A543">
        <v>3</v>
      </c>
      <c r="B543" s="4">
        <f>Thiet_ke!$B$22</f>
        <v>2.6457513110645907</v>
      </c>
      <c r="C543" s="4">
        <f>Dau_vao!$B$21+(Dau_vao!$B$19-Dau_vao!$B$21)*139/200</f>
        <v>2051.0</v>
      </c>
      <c r="D543" s="4">
        <f>2*PI()*C543*Thiet_ke!$B$7/(60*Thiet_ke!$B$15*B543)</f>
        <v>8.742223141439089</v>
      </c>
      <c r="E543" s="4">
        <f>D543*3.6</f>
        <v>31.47200330918072</v>
      </c>
      <c r="F543" s="4">
        <f>Thiet_ke!$B$12*(Dau_vao!$B$22*(C543/Dau_vao!$B$19)+Dau_vao!$B$23*(C543/Dau_vao!$B$19)^2-Dau_vao!$B$24*(C543/Dau_vao!$B$19)^3)</f>
        <v>97.93413217259396</v>
      </c>
      <c r="G543" s="4">
        <f>60000*F543/(2*PI()*C543)</f>
        <v>455.9737074407611</v>
      </c>
      <c r="H543" s="4">
        <f>G543*Thiet_ke!$B$15*B543*Dau_vao!$B$10/Thiet_ke!$B$7</f>
        <v>9970.161619468878</v>
      </c>
      <c r="I543" s="4">
        <f>IF(D543&lt;=Dau_vao!$B$14,Dau_vao!$B$13,Dau_vao!$B$13*(1+D543^2/1500))</f>
        <v>0.015</v>
      </c>
      <c r="J543" s="4">
        <f>Thiet_ke!$B$8*D543^2</f>
        <v>223.54741145503596</v>
      </c>
      <c r="K543" s="4">
        <f>Thiet_ke!$B$3*I543+J543</f>
        <v>1355.130911455036</v>
      </c>
      <c r="L543" s="4">
        <f>(H543-J543)/Thiet_ke!$B$3</f>
        <v>0.1291987848180957</v>
      </c>
      <c r="M543" s="4">
        <f>1.05+0.05*B543^2</f>
        <v>1.4000000000000001</v>
      </c>
      <c r="N543" s="4">
        <f>(MIN(H543,Thiet_ke!$B$16)-K543)/(Thiet_ke!$B$2*M543)</f>
        <v>0.8002071993325134</v>
      </c>
      <c r="O543" s="4">
        <f>IF(N543&gt;0,1/N543,"")</f>
        <v>1.249676334871946</v>
      </c>
    </row>
    <row r="544" spans="1:15">
      <c r="A544">
        <v>3</v>
      </c>
      <c r="B544" s="4">
        <f>Thiet_ke!$B$22</f>
        <v>2.6457513110645907</v>
      </c>
      <c r="C544" s="4">
        <f>Dau_vao!$B$21+(Dau_vao!$B$19-Dau_vao!$B$21)*140/200</f>
        <v>2060.0</v>
      </c>
      <c r="D544" s="4">
        <f>2*PI()*C544*Thiet_ke!$B$7/(60*Thiet_ke!$B$15*B544)</f>
        <v>8.780584920216734</v>
      </c>
      <c r="E544" s="4">
        <f>D544*3.6</f>
        <v>31.610105712780243</v>
      </c>
      <c r="F544" s="4">
        <f>Thiet_ke!$B$12*(Dau_vao!$B$22*(C544/Dau_vao!$B$19)+Dau_vao!$B$23*(C544/Dau_vao!$B$19)^2-Dau_vao!$B$24*(C544/Dau_vao!$B$19)^3)</f>
        <v>98.33783359541148</v>
      </c>
      <c r="G544" s="4">
        <f>60000*F544/(2*PI()*C544)</f>
        <v>455.8529798929511</v>
      </c>
      <c r="H544" s="4">
        <f>G544*Thiet_ke!$B$15*B544*Dau_vao!$B$10/Thiet_ke!$B$7</f>
        <v>9967.521833130442</v>
      </c>
      <c r="I544" s="4">
        <f>IF(D544&lt;=Dau_vao!$B$14,Dau_vao!$B$13,Dau_vao!$B$13*(1+D544^2/1500))</f>
        <v>0.015</v>
      </c>
      <c r="J544" s="4">
        <f>Thiet_ke!$B$8*D544^2</f>
        <v>225.51361425782721</v>
      </c>
      <c r="K544" s="4">
        <f>Thiet_ke!$B$3*I544+J544</f>
        <v>1357.0971142578273</v>
      </c>
      <c r="L544" s="4">
        <f>(H544-J544)/Thiet_ke!$B$3</f>
        <v>0.12913772892861128</v>
      </c>
      <c r="M544" s="4">
        <f>1.05+0.05*B544^2</f>
        <v>1.4000000000000001</v>
      </c>
      <c r="N544" s="4">
        <f>(MIN(H544,Thiet_ke!$B$16)-K544)/(Thiet_ke!$B$2*M544)</f>
        <v>0.7997793719926262</v>
      </c>
      <c r="O544" s="4">
        <f>IF(N544&gt;0,1/N544,"")</f>
        <v>1.2503448263594623</v>
      </c>
    </row>
    <row r="545" spans="1:15">
      <c r="A545">
        <v>3</v>
      </c>
      <c r="B545" s="4">
        <f>Thiet_ke!$B$22</f>
        <v>2.6457513110645907</v>
      </c>
      <c r="C545" s="4">
        <f>Dau_vao!$B$21+(Dau_vao!$B$19-Dau_vao!$B$21)*141/200</f>
        <v>2069.0</v>
      </c>
      <c r="D545" s="4">
        <f>2*PI()*C545*Thiet_ke!$B$7/(60*Thiet_ke!$B$15*B545)</f>
        <v>8.81894669899438</v>
      </c>
      <c r="E545" s="4">
        <f>D545*3.6</f>
        <v>31.748208116379764</v>
      </c>
      <c r="F545" s="4">
        <f>Thiet_ke!$B$12*(Dau_vao!$B$22*(C545/Dau_vao!$B$19)+Dau_vao!$B$23*(C545/Dau_vao!$B$19)^2-Dau_vao!$B$24*(C545/Dau_vao!$B$19)^3)</f>
        <v>98.7390760104976</v>
      </c>
      <c r="G545" s="4">
        <f>60000*F545/(2*PI()*C545)</f>
        <v>455.7219533126266</v>
      </c>
      <c r="H545" s="4">
        <f>G545*Thiet_ke!$B$15*B545*Dau_vao!$B$10/Thiet_ke!$B$7</f>
        <v>9964.656851748918</v>
      </c>
      <c r="I545" s="4">
        <f>IF(D545&lt;=Dau_vao!$B$14,Dau_vao!$B$13,Dau_vao!$B$13*(1+D545^2/1500))</f>
        <v>0.015</v>
      </c>
      <c r="J545" s="4">
        <f>Thiet_ke!$B$8*D545^2</f>
        <v>227.4884260731338</v>
      </c>
      <c r="K545" s="4">
        <f>Thiet_ke!$B$3*I545+J545</f>
        <v>1359.071926073134</v>
      </c>
      <c r="L545" s="4">
        <f>(H545-J545)/Thiet_ke!$B$3</f>
        <v>0.12907357378853326</v>
      </c>
      <c r="M545" s="4">
        <f>1.05+0.05*B545^2</f>
        <v>1.4000000000000001</v>
      </c>
      <c r="N545" s="4">
        <f>(MIN(H545,Thiet_ke!$B$16)-K545)/(Thiet_ke!$B$2*M545)</f>
        <v>0.7993298277610794</v>
      </c>
      <c r="O545" s="4">
        <f>IF(N545&gt;0,1/N545,"")</f>
        <v>1.2510480220674327</v>
      </c>
    </row>
    <row r="546" spans="1:15">
      <c r="A546">
        <v>3</v>
      </c>
      <c r="B546" s="4">
        <f>Thiet_ke!$B$22</f>
        <v>2.6457513110645907</v>
      </c>
      <c r="C546" s="4">
        <f>Dau_vao!$B$21+(Dau_vao!$B$19-Dau_vao!$B$21)*142/200</f>
        <v>2078.0</v>
      </c>
      <c r="D546" s="4">
        <f>2*PI()*C546*Thiet_ke!$B$7/(60*Thiet_ke!$B$15*B546)</f>
        <v>8.857308477772024</v>
      </c>
      <c r="E546" s="4">
        <f>D546*3.6</f>
        <v>31.88631051997929</v>
      </c>
      <c r="F546" s="4">
        <f>Thiet_ke!$B$12*(Dau_vao!$B$22*(C546/Dau_vao!$B$19)+Dau_vao!$B$23*(C546/Dau_vao!$B$19)^2-Dau_vao!$B$24*(C546/Dau_vao!$B$19)^3)</f>
        <v>99.13783029802386</v>
      </c>
      <c r="G546" s="4">
        <f>60000*F546/(2*PI()*C546)</f>
        <v>455.58062769978727</v>
      </c>
      <c r="H546" s="4">
        <f>G546*Thiet_ke!$B$15*B546*Dau_vao!$B$10/Thiet_ke!$B$7</f>
        <v>9961.566675324302</v>
      </c>
      <c r="I546" s="4">
        <f>IF(D546&lt;=Dau_vao!$B$14,Dau_vao!$B$13,Dau_vao!$B$13*(1+D546^2/1500))</f>
        <v>0.015</v>
      </c>
      <c r="J546" s="4">
        <f>Thiet_ke!$B$8*D546^2</f>
        <v>229.47184690095565</v>
      </c>
      <c r="K546" s="4">
        <f>Thiet_ke!$B$3*I546+J546</f>
        <v>1361.0553469009558</v>
      </c>
      <c r="L546" s="4">
        <f>(H546-J546)/Thiet_ke!$B$3</f>
        <v>0.12900631939786167</v>
      </c>
      <c r="M546" s="4">
        <f>1.05+0.05*B546^2</f>
        <v>1.4000000000000001</v>
      </c>
      <c r="N546" s="4">
        <f>(MIN(H546,Thiet_ke!$B$16)-K546)/(Thiet_ke!$B$2*M546)</f>
        <v>0.7988585666378735</v>
      </c>
      <c r="O546" s="4">
        <f>IF(N546&gt;0,1/N546,"")</f>
        <v>1.2517860379324253</v>
      </c>
    </row>
    <row r="547" spans="1:15">
      <c r="A547">
        <v>3</v>
      </c>
      <c r="B547" s="4">
        <f>Thiet_ke!$B$22</f>
        <v>2.6457513110645907</v>
      </c>
      <c r="C547" s="4">
        <f>Dau_vao!$B$21+(Dau_vao!$B$19-Dau_vao!$B$21)*143/200</f>
        <v>2087.0</v>
      </c>
      <c r="D547" s="4">
        <f>2*PI()*C547*Thiet_ke!$B$7/(60*Thiet_ke!$B$15*B547)</f>
        <v>8.895670256549671</v>
      </c>
      <c r="E547" s="4">
        <f>D547*3.6</f>
        <v>32.024412923578815</v>
      </c>
      <c r="F547" s="4">
        <f>Thiet_ke!$B$12*(Dau_vao!$B$22*(C547/Dau_vao!$B$19)+Dau_vao!$B$23*(C547/Dau_vao!$B$19)^2-Dau_vao!$B$24*(C547/Dau_vao!$B$19)^3)</f>
        <v>99.53406733816198</v>
      </c>
      <c r="G547" s="4">
        <f>60000*F547/(2*PI()*C547)</f>
        <v>455.42900305443357</v>
      </c>
      <c r="H547" s="4">
        <f>G547*Thiet_ke!$B$15*B547*Dau_vao!$B$10/Thiet_ke!$B$7</f>
        <v>9958.251303856601</v>
      </c>
      <c r="I547" s="4">
        <f>IF(D547&lt;=Dau_vao!$B$14,Dau_vao!$B$13,Dau_vao!$B$13*(1+D547^2/1500))</f>
        <v>0.015</v>
      </c>
      <c r="J547" s="4">
        <f>Thiet_ke!$B$8*D547^2</f>
        <v>231.46387674129284</v>
      </c>
      <c r="K547" s="4">
        <f>Thiet_ke!$B$3*I547+J547</f>
        <v>1363.047376741293</v>
      </c>
      <c r="L547" s="4">
        <f>(H547-J547)/Thiet_ke!$B$3</f>
        <v>0.1289359657565965</v>
      </c>
      <c r="M547" s="4">
        <f>1.05+0.05*B547^2</f>
        <v>1.4000000000000001</v>
      </c>
      <c r="N547" s="4">
        <f>(MIN(H547,Thiet_ke!$B$16)-K547)/(Thiet_ke!$B$2*M547)</f>
        <v>0.7983655886230082</v>
      </c>
      <c r="O547" s="4">
        <f>IF(N547&gt;0,1/N547,"")</f>
        <v>1.2525589958414458</v>
      </c>
    </row>
    <row r="548" spans="1:15">
      <c r="A548">
        <v>3</v>
      </c>
      <c r="B548" s="4">
        <f>Thiet_ke!$B$22</f>
        <v>2.6457513110645907</v>
      </c>
      <c r="C548" s="4">
        <f>Dau_vao!$B$21+(Dau_vao!$B$19-Dau_vao!$B$21)*144/200</f>
        <v>2096.0</v>
      </c>
      <c r="D548" s="4">
        <f>2*PI()*C548*Thiet_ke!$B$7/(60*Thiet_ke!$B$15*B548)</f>
        <v>8.934032035327318</v>
      </c>
      <c r="E548" s="4">
        <f>D548*3.6</f>
        <v>32.16251532717835</v>
      </c>
      <c r="F548" s="4">
        <f>Thiet_ke!$B$12*(Dau_vao!$B$22*(C548/Dau_vao!$B$19)+Dau_vao!$B$23*(C548/Dau_vao!$B$19)^2-Dau_vao!$B$24*(C548/Dau_vao!$B$19)^3)</f>
        <v>99.92775801108345</v>
      </c>
      <c r="G548" s="4">
        <f>60000*F548/(2*PI()*C548)</f>
        <v>455.26707937656516</v>
      </c>
      <c r="H548" s="4">
        <f>G548*Thiet_ke!$B$15*B548*Dau_vao!$B$10/Thiet_ke!$B$7</f>
        <v>9954.710737345811</v>
      </c>
      <c r="I548" s="4">
        <f>IF(D548&lt;=Dau_vao!$B$14,Dau_vao!$B$13,Dau_vao!$B$13*(1+D548^2/1500))</f>
        <v>0.015</v>
      </c>
      <c r="J548" s="4">
        <f>Thiet_ke!$B$8*D548^2</f>
        <v>233.46451559414527</v>
      </c>
      <c r="K548" s="4">
        <f>Thiet_ke!$B$3*I548+J548</f>
        <v>1365.0480155941455</v>
      </c>
      <c r="L548" s="4">
        <f>(H548-J548)/Thiet_ke!$B$3</f>
        <v>0.12886251286473774</v>
      </c>
      <c r="M548" s="4">
        <f>1.05+0.05*B548^2</f>
        <v>1.4000000000000001</v>
      </c>
      <c r="N548" s="4">
        <f>(MIN(H548,Thiet_ke!$B$16)-K548)/(Thiet_ke!$B$2*M548)</f>
        <v>0.7978508937164838</v>
      </c>
      <c r="O548" s="4">
        <f>IF(N548&gt;0,1/N548,"")</f>
        <v>1.2533670236826857</v>
      </c>
    </row>
    <row r="549" spans="1:15">
      <c r="A549">
        <v>3</v>
      </c>
      <c r="B549" s="4">
        <f>Thiet_ke!$B$22</f>
        <v>2.6457513110645907</v>
      </c>
      <c r="C549" s="4">
        <f>Dau_vao!$B$21+(Dau_vao!$B$19-Dau_vao!$B$21)*145/200</f>
        <v>2105.0</v>
      </c>
      <c r="D549" s="4">
        <f>2*PI()*C549*Thiet_ke!$B$7/(60*Thiet_ke!$B$15*B549)</f>
        <v>8.972393814104963</v>
      </c>
      <c r="E549" s="4">
        <f>D549*3.6</f>
        <v>32.300617730777866</v>
      </c>
      <c r="F549" s="4">
        <f>Thiet_ke!$B$12*(Dau_vao!$B$22*(C549/Dau_vao!$B$19)+Dau_vao!$B$23*(C549/Dau_vao!$B$19)^2-Dau_vao!$B$24*(C549/Dau_vao!$B$19)^3)</f>
        <v>100.31887319695994</v>
      </c>
      <c r="G549" s="4">
        <f>60000*F549/(2*PI()*C549)</f>
        <v>455.0948566661822</v>
      </c>
      <c r="H549" s="4">
        <f>G549*Thiet_ke!$B$15*B549*Dau_vao!$B$10/Thiet_ke!$B$7</f>
        <v>9950.944975791926</v>
      </c>
      <c r="I549" s="4">
        <f>IF(D549&lt;=Dau_vao!$B$14,Dau_vao!$B$13,Dau_vao!$B$13*(1+D549^2/1500))</f>
        <v>0.015</v>
      </c>
      <c r="J549" s="4">
        <f>Thiet_ke!$B$8*D549^2</f>
        <v>235.47376345951287</v>
      </c>
      <c r="K549" s="4">
        <f>Thiet_ke!$B$3*I549+J549</f>
        <v>1367.057263459513</v>
      </c>
      <c r="L549" s="4">
        <f>(H549-J549)/Thiet_ke!$B$3</f>
        <v>0.12878596072228535</v>
      </c>
      <c r="M549" s="4">
        <f>1.05+0.05*B549^2</f>
        <v>1.4000000000000001</v>
      </c>
      <c r="N549" s="4">
        <f>(MIN(H549,Thiet_ke!$B$16)-K549)/(Thiet_ke!$B$2*M549)</f>
        <v>0.7973144819182993</v>
      </c>
      <c r="O549" s="4">
        <f>IF(N549&gt;0,1/N549,"")</f>
        <v>1.2542102553989103</v>
      </c>
    </row>
    <row r="550" spans="1:15">
      <c r="A550">
        <v>3</v>
      </c>
      <c r="B550" s="4">
        <f>Thiet_ke!$B$22</f>
        <v>2.6457513110645907</v>
      </c>
      <c r="C550" s="4">
        <f>Dau_vao!$B$21+(Dau_vao!$B$19-Dau_vao!$B$21)*146/200</f>
        <v>2114.0</v>
      </c>
      <c r="D550" s="4">
        <f>2*PI()*C550*Thiet_ke!$B$7/(60*Thiet_ke!$B$15*B550)</f>
        <v>9.01075559288261</v>
      </c>
      <c r="E550" s="4">
        <f>D550*3.6</f>
        <v>32.4387201343774</v>
      </c>
      <c r="F550" s="4">
        <f>Thiet_ke!$B$12*(Dau_vao!$B$22*(C550/Dau_vao!$B$19)+Dau_vao!$B$23*(C550/Dau_vao!$B$19)^2-Dau_vao!$B$24*(C550/Dau_vao!$B$19)^3)</f>
        <v>100.70738377596304</v>
      </c>
      <c r="G550" s="4">
        <f>60000*F550/(2*PI()*C550)</f>
        <v>454.9123349232846</v>
      </c>
      <c r="H550" s="4">
        <f>G550*Thiet_ke!$B$15*B550*Dau_vao!$B$10/Thiet_ke!$B$7</f>
        <v>9946.954019194958</v>
      </c>
      <c r="I550" s="4">
        <f>IF(D550&lt;=Dau_vao!$B$14,Dau_vao!$B$13,Dau_vao!$B$13*(1+D550^2/1500))</f>
        <v>0.015</v>
      </c>
      <c r="J550" s="4">
        <f>Thiet_ke!$B$8*D550^2</f>
        <v>237.49162033739586</v>
      </c>
      <c r="K550" s="4">
        <f>Thiet_ke!$B$3*I550+J550</f>
        <v>1369.0751203373961</v>
      </c>
      <c r="L550" s="4">
        <f>(H550-J550)/Thiet_ke!$B$3</f>
        <v>0.12870630932923943</v>
      </c>
      <c r="M550" s="4">
        <f>1.05+0.05*B550^2</f>
        <v>1.4000000000000001</v>
      </c>
      <c r="N550" s="4">
        <f>(MIN(H550,Thiet_ke!$B$16)-K550)/(Thiet_ke!$B$2*M550)</f>
        <v>0.7967563532284563</v>
      </c>
      <c r="O550" s="4">
        <f>IF(N550&gt;0,1/N550,"")</f>
        <v>1.2550888310435186</v>
      </c>
    </row>
    <row r="551" spans="1:15">
      <c r="A551">
        <v>3</v>
      </c>
      <c r="B551" s="4">
        <f>Thiet_ke!$B$22</f>
        <v>2.6457513110645907</v>
      </c>
      <c r="C551" s="4">
        <f>Dau_vao!$B$21+(Dau_vao!$B$19-Dau_vao!$B$21)*147/200</f>
        <v>2123.0</v>
      </c>
      <c r="D551" s="4">
        <f>2*PI()*C551*Thiet_ke!$B$7/(60*Thiet_ke!$B$15*B551)</f>
        <v>9.049117371660255</v>
      </c>
      <c r="E551" s="4">
        <f>D551*3.6</f>
        <v>32.57682253797692</v>
      </c>
      <c r="F551" s="4">
        <f>Thiet_ke!$B$12*(Dau_vao!$B$22*(C551/Dau_vao!$B$19)+Dau_vao!$B$23*(C551/Dau_vao!$B$19)^2-Dau_vao!$B$24*(C551/Dau_vao!$B$19)^3)</f>
        <v>101.09326062826435</v>
      </c>
      <c r="G551" s="4">
        <f>60000*F551/(2*PI()*C551)</f>
        <v>454.71951414787253</v>
      </c>
      <c r="H551" s="4">
        <f>G551*Thiet_ke!$B$15*B551*Dau_vao!$B$10/Thiet_ke!$B$7</f>
        <v>9942.737867554897</v>
      </c>
      <c r="I551" s="4">
        <f>IF(D551&lt;=Dau_vao!$B$14,Dau_vao!$B$13,Dau_vao!$B$13*(1+D551^2/1500))</f>
        <v>0.015</v>
      </c>
      <c r="J551" s="4">
        <f>Thiet_ke!$B$8*D551^2</f>
        <v>239.518086227794</v>
      </c>
      <c r="K551" s="4">
        <f>Thiet_ke!$B$3*I551+J551</f>
        <v>1371.101586227794</v>
      </c>
      <c r="L551" s="4">
        <f>(H551-J551)/Thiet_ke!$B$3</f>
        <v>0.1286235586855999</v>
      </c>
      <c r="M551" s="4">
        <f>1.05+0.05*B551^2</f>
        <v>1.4000000000000001</v>
      </c>
      <c r="N551" s="4">
        <f>(MIN(H551,Thiet_ke!$B$16)-K551)/(Thiet_ke!$B$2*M551)</f>
        <v>0.7961765076469535</v>
      </c>
      <c r="O551" s="4">
        <f>IF(N551&gt;0,1/N551,"")</f>
        <v>1.2560028968393369</v>
      </c>
    </row>
    <row r="552" spans="1:15">
      <c r="A552">
        <v>3</v>
      </c>
      <c r="B552" s="4">
        <f>Thiet_ke!$B$22</f>
        <v>2.6457513110645907</v>
      </c>
      <c r="C552" s="4">
        <f>Dau_vao!$B$21+(Dau_vao!$B$19-Dau_vao!$B$21)*148/200</f>
        <v>2132.0</v>
      </c>
      <c r="D552" s="4">
        <f>2*PI()*C552*Thiet_ke!$B$7/(60*Thiet_ke!$B$15*B552)</f>
        <v>9.0874791504379</v>
      </c>
      <c r="E552" s="4">
        <f>D552*3.6</f>
        <v>32.71492494157644</v>
      </c>
      <c r="F552" s="4">
        <f>Thiet_ke!$B$12*(Dau_vao!$B$22*(C552/Dau_vao!$B$19)+Dau_vao!$B$23*(C552/Dau_vao!$B$19)^2-Dau_vao!$B$24*(C552/Dau_vao!$B$19)^3)</f>
        <v>101.47647463403544</v>
      </c>
      <c r="G552" s="4">
        <f>60000*F552/(2*PI()*C552)</f>
        <v>454.51639433994575</v>
      </c>
      <c r="H552" s="4">
        <f>G552*Thiet_ke!$B$15*B552*Dau_vao!$B$10/Thiet_ke!$B$7</f>
        <v>9938.296520871749</v>
      </c>
      <c r="I552" s="4">
        <f>IF(D552&lt;=Dau_vao!$B$14,Dau_vao!$B$13,Dau_vao!$B$13*(1+D552^2/1500))</f>
        <v>0.015</v>
      </c>
      <c r="J552" s="4">
        <f>Thiet_ke!$B$8*D552^2</f>
        <v>241.5531611307074</v>
      </c>
      <c r="K552" s="4">
        <f>Thiet_ke!$B$3*I552+J552</f>
        <v>1373.1366611307076</v>
      </c>
      <c r="L552" s="4">
        <f>(H552-J552)/Thiet_ke!$B$3</f>
        <v>0.1285377087913668</v>
      </c>
      <c r="M552" s="4">
        <f>1.05+0.05*B552^2</f>
        <v>1.4000000000000001</v>
      </c>
      <c r="N552" s="4">
        <f>(MIN(H552,Thiet_ke!$B$16)-K552)/(Thiet_ke!$B$2*M552)</f>
        <v>0.7955749451737916</v>
      </c>
      <c r="O552" s="4">
        <f>IF(N552&gt;0,1/N552,"")</f>
        <v>1.2569526052401665</v>
      </c>
    </row>
    <row r="553" spans="1:15">
      <c r="A553">
        <v>3</v>
      </c>
      <c r="B553" s="4">
        <f>Thiet_ke!$B$22</f>
        <v>2.6457513110645907</v>
      </c>
      <c r="C553" s="4">
        <f>Dau_vao!$B$21+(Dau_vao!$B$19-Dau_vao!$B$21)*149/200</f>
        <v>2141.0</v>
      </c>
      <c r="D553" s="4">
        <f>2*PI()*C553*Thiet_ke!$B$7/(60*Thiet_ke!$B$15*B553)</f>
        <v>9.125840929215547</v>
      </c>
      <c r="E553" s="4">
        <f>D553*3.6</f>
        <v>32.853027345175974</v>
      </c>
      <c r="F553" s="4">
        <f>Thiet_ke!$B$12*(Dau_vao!$B$22*(C553/Dau_vao!$B$19)+Dau_vao!$B$23*(C553/Dau_vao!$B$19)^2-Dau_vao!$B$24*(C553/Dau_vao!$B$19)^3)</f>
        <v>101.85699667344795</v>
      </c>
      <c r="G553" s="4">
        <f>60000*F553/(2*PI()*C553)</f>
        <v>454.30297549950444</v>
      </c>
      <c r="H553" s="4">
        <f>G553*Thiet_ke!$B$15*B553*Dau_vao!$B$10/Thiet_ke!$B$7</f>
        <v>9933.629979145511</v>
      </c>
      <c r="I553" s="4">
        <f>IF(D553&lt;=Dau_vao!$B$14,Dau_vao!$B$13,Dau_vao!$B$13*(1+D553^2/1500))</f>
        <v>0.015</v>
      </c>
      <c r="J553" s="4">
        <f>Thiet_ke!$B$8*D553^2</f>
        <v>243.59684504613617</v>
      </c>
      <c r="K553" s="4">
        <f>Thiet_ke!$B$3*I553+J553</f>
        <v>1375.1803450461364</v>
      </c>
      <c r="L553" s="4">
        <f>(H553-J553)/Thiet_ke!$B$3</f>
        <v>0.1284487596465401</v>
      </c>
      <c r="M553" s="4">
        <f>1.05+0.05*B553^2</f>
        <v>1.4000000000000001</v>
      </c>
      <c r="N553" s="4">
        <f>(MIN(H553,Thiet_ke!$B$16)-K553)/(Thiet_ke!$B$2*M553)</f>
        <v>0.7949516658089703</v>
      </c>
      <c r="O553" s="4">
        <f>IF(N553&gt;0,1/N553,"")</f>
        <v>1.257938114995162</v>
      </c>
    </row>
    <row r="554" spans="1:15">
      <c r="A554">
        <v>3</v>
      </c>
      <c r="B554" s="4">
        <f>Thiet_ke!$B$22</f>
        <v>2.6457513110645907</v>
      </c>
      <c r="C554" s="4">
        <f>Dau_vao!$B$21+(Dau_vao!$B$19-Dau_vao!$B$21)*150/200</f>
        <v>2150.0</v>
      </c>
      <c r="D554" s="4">
        <f>2*PI()*C554*Thiet_ke!$B$7/(60*Thiet_ke!$B$15*B554)</f>
        <v>9.164202707993194</v>
      </c>
      <c r="E554" s="4">
        <f>D554*3.6</f>
        <v>32.9911297487755</v>
      </c>
      <c r="F554" s="4">
        <f>Thiet_ke!$B$12*(Dau_vao!$B$22*(C554/Dau_vao!$B$19)+Dau_vao!$B$23*(C554/Dau_vao!$B$19)^2-Dau_vao!$B$24*(C554/Dau_vao!$B$19)^3)</f>
        <v>102.23479762667348</v>
      </c>
      <c r="G554" s="4">
        <f>60000*F554/(2*PI()*C554)</f>
        <v>454.0792576265485</v>
      </c>
      <c r="H554" s="4">
        <f>G554*Thiet_ke!$B$15*B554*Dau_vao!$B$10/Thiet_ke!$B$7</f>
        <v>9928.738242376181</v>
      </c>
      <c r="I554" s="4">
        <f>IF(D554&lt;=Dau_vao!$B$14,Dau_vao!$B$13,Dau_vao!$B$13*(1+D554^2/1500))</f>
        <v>0.015</v>
      </c>
      <c r="J554" s="4">
        <f>Thiet_ke!$B$8*D554^2</f>
        <v>245.64913797408016</v>
      </c>
      <c r="K554" s="4">
        <f>Thiet_ke!$B$3*I554+J554</f>
        <v>1377.2326379740803</v>
      </c>
      <c r="L554" s="4">
        <f>(H554-J554)/Thiet_ke!$B$3</f>
        <v>0.12835671125111978</v>
      </c>
      <c r="M554" s="4">
        <f>1.05+0.05*B554^2</f>
        <v>1.4000000000000001</v>
      </c>
      <c r="N554" s="4">
        <f>(MIN(H554,Thiet_ke!$B$16)-K554)/(Thiet_ke!$B$2*M554)</f>
        <v>0.7943066695524892</v>
      </c>
      <c r="O554" s="4">
        <f>IF(N554&gt;0,1/N554,"")</f>
        <v>1.2589595912160703</v>
      </c>
    </row>
    <row r="555" spans="1:15">
      <c r="A555">
        <v>3</v>
      </c>
      <c r="B555" s="4">
        <f>Thiet_ke!$B$22</f>
        <v>2.6457513110645907</v>
      </c>
      <c r="C555" s="4">
        <f>Dau_vao!$B$21+(Dau_vao!$B$19-Dau_vao!$B$21)*151/200</f>
        <v>2159.0</v>
      </c>
      <c r="D555" s="4">
        <f>2*PI()*C555*Thiet_ke!$B$7/(60*Thiet_ke!$B$15*B555)</f>
        <v>9.20256448677084</v>
      </c>
      <c r="E555" s="4">
        <f>D555*3.6</f>
        <v>33.129232152375025</v>
      </c>
      <c r="F555" s="4">
        <f>Thiet_ke!$B$12*(Dau_vao!$B$22*(C555/Dau_vao!$B$19)+Dau_vao!$B$23*(C555/Dau_vao!$B$19)^2-Dau_vao!$B$24*(C555/Dau_vao!$B$19)^3)</f>
        <v>102.60984837388361</v>
      </c>
      <c r="G555" s="4">
        <f>60000*F555/(2*PI()*C555)</f>
        <v>453.84524072107797</v>
      </c>
      <c r="H555" s="4">
        <f>G555*Thiet_ke!$B$15*B555*Dau_vao!$B$10/Thiet_ke!$B$7</f>
        <v>9923.621310563767</v>
      </c>
      <c r="I555" s="4">
        <f>IF(D555&lt;=Dau_vao!$B$14,Dau_vao!$B$13,Dau_vao!$B$13*(1+D555^2/1500))</f>
        <v>0.015</v>
      </c>
      <c r="J555" s="4">
        <f>Thiet_ke!$B$8*D555^2</f>
        <v>247.71003991453935</v>
      </c>
      <c r="K555" s="4">
        <f>Thiet_ke!$B$3*I555+J555</f>
        <v>1379.2935399145395</v>
      </c>
      <c r="L555" s="4">
        <f>(H555-J555)/Thiet_ke!$B$3</f>
        <v>0.12826156360510593</v>
      </c>
      <c r="M555" s="4">
        <f>1.05+0.05*B555^2</f>
        <v>1.4000000000000001</v>
      </c>
      <c r="N555" s="4">
        <f>(MIN(H555,Thiet_ke!$B$16)-K555)/(Thiet_ke!$B$2*M555)</f>
        <v>0.7936399564043495</v>
      </c>
      <c r="O555" s="4">
        <f>IF(N555&gt;0,1/N555,"")</f>
        <v>1.260017205447394</v>
      </c>
    </row>
    <row r="556" spans="1:15">
      <c r="A556">
        <v>3</v>
      </c>
      <c r="B556" s="4">
        <f>Thiet_ke!$B$22</f>
        <v>2.6457513110645907</v>
      </c>
      <c r="C556" s="4">
        <f>Dau_vao!$B$21+(Dau_vao!$B$19-Dau_vao!$B$21)*152/200</f>
        <v>2168.0</v>
      </c>
      <c r="D556" s="4">
        <f>2*PI()*C556*Thiet_ke!$B$7/(60*Thiet_ke!$B$15*B556)</f>
        <v>9.240926265548485</v>
      </c>
      <c r="E556" s="4">
        <f>D556*3.6</f>
        <v>33.26733455597454</v>
      </c>
      <c r="F556" s="4">
        <f>Thiet_ke!$B$12*(Dau_vao!$B$22*(C556/Dau_vao!$B$19)+Dau_vao!$B$23*(C556/Dau_vao!$B$19)^2-Dau_vao!$B$24*(C556/Dau_vao!$B$19)^3)</f>
        <v>102.98211979524993</v>
      </c>
      <c r="G556" s="4">
        <f>60000*F556/(2*PI()*C556)</f>
        <v>453.6009247830928</v>
      </c>
      <c r="H556" s="4">
        <f>G556*Thiet_ke!$B$15*B556*Dau_vao!$B$10/Thiet_ke!$B$7</f>
        <v>9918.27918370826</v>
      </c>
      <c r="I556" s="4">
        <f>IF(D556&lt;=Dau_vao!$B$14,Dau_vao!$B$13,Dau_vao!$B$13*(1+D556^2/1500))</f>
        <v>0.015</v>
      </c>
      <c r="J556" s="4">
        <f>Thiet_ke!$B$8*D556^2</f>
        <v>249.77955086751382</v>
      </c>
      <c r="K556" s="4">
        <f>Thiet_ke!$B$3*I556+J556</f>
        <v>1381.363050867514</v>
      </c>
      <c r="L556" s="4">
        <f>(H556-J556)/Thiet_ke!$B$3</f>
        <v>0.12816331670849848</v>
      </c>
      <c r="M556" s="4">
        <f>1.05+0.05*B556^2</f>
        <v>1.4000000000000001</v>
      </c>
      <c r="N556" s="4">
        <f>(MIN(H556,Thiet_ke!$B$16)-K556)/(Thiet_ke!$B$2*M556)</f>
        <v>0.7929515263645499</v>
      </c>
      <c r="O556" s="4">
        <f>IF(N556&gt;0,1/N556,"")</f>
        <v>1.2611111357395408</v>
      </c>
    </row>
    <row r="557" spans="1:15">
      <c r="A557">
        <v>3</v>
      </c>
      <c r="B557" s="4">
        <f>Thiet_ke!$B$22</f>
        <v>2.6457513110645907</v>
      </c>
      <c r="C557" s="4">
        <f>Dau_vao!$B$21+(Dau_vao!$B$19-Dau_vao!$B$21)*153/200</f>
        <v>2177.0</v>
      </c>
      <c r="D557" s="4">
        <f>2*PI()*C557*Thiet_ke!$B$7/(60*Thiet_ke!$B$15*B557)</f>
        <v>9.27928804432613</v>
      </c>
      <c r="E557" s="4">
        <f>D557*3.6</f>
        <v>33.40543695957407</v>
      </c>
      <c r="F557" s="4">
        <f>Thiet_ke!$B$12*(Dau_vao!$B$22*(C557/Dau_vao!$B$19)+Dau_vao!$B$23*(C557/Dau_vao!$B$19)^2-Dau_vao!$B$24*(C557/Dau_vao!$B$19)^3)</f>
        <v>103.35158277094412</v>
      </c>
      <c r="G557" s="4">
        <f>60000*F557/(2*PI()*C557)</f>
        <v>453.3463098125932</v>
      </c>
      <c r="H557" s="4">
        <f>G557*Thiet_ke!$B$15*B557*Dau_vao!$B$10/Thiet_ke!$B$7</f>
        <v>9912.711861809665</v>
      </c>
      <c r="I557" s="4">
        <f>IF(D557&lt;=Dau_vao!$B$14,Dau_vao!$B$13,Dau_vao!$B$13*(1+D557^2/1500))</f>
        <v>0.015</v>
      </c>
      <c r="J557" s="4">
        <f>Thiet_ke!$B$8*D557^2</f>
        <v>251.85767083300354</v>
      </c>
      <c r="K557" s="4">
        <f>Thiet_ke!$B$3*I557+J557</f>
        <v>1383.4411708330038</v>
      </c>
      <c r="L557" s="4">
        <f>(H557-J557)/Thiet_ke!$B$3</f>
        <v>0.12806197056129742</v>
      </c>
      <c r="M557" s="4">
        <f>1.05+0.05*B557^2</f>
        <v>1.4000000000000001</v>
      </c>
      <c r="N557" s="4">
        <f>(MIN(H557,Thiet_ke!$B$16)-K557)/(Thiet_ke!$B$2*M557)</f>
        <v>0.7922413794330911</v>
      </c>
      <c r="O557" s="4">
        <f>IF(N557&gt;0,1/N557,"")</f>
        <v>1.2622415667249998</v>
      </c>
    </row>
    <row r="558" spans="1:15">
      <c r="A558">
        <v>3</v>
      </c>
      <c r="B558" s="4">
        <f>Thiet_ke!$B$22</f>
        <v>2.6457513110645907</v>
      </c>
      <c r="C558" s="4">
        <f>Dau_vao!$B$21+(Dau_vao!$B$19-Dau_vao!$B$21)*154/200</f>
        <v>2186.0</v>
      </c>
      <c r="D558" s="4">
        <f>2*PI()*C558*Thiet_ke!$B$7/(60*Thiet_ke!$B$15*B558)</f>
        <v>9.317649823103777</v>
      </c>
      <c r="E558" s="4">
        <f>D558*3.6</f>
        <v>33.54353936317359</v>
      </c>
      <c r="F558" s="4">
        <f>Thiet_ke!$B$12*(Dau_vao!$B$22*(C558/Dau_vao!$B$19)+Dau_vao!$B$23*(C558/Dau_vao!$B$19)^2-Dau_vao!$B$24*(C558/Dau_vao!$B$19)^3)</f>
        <v>103.71820818113765</v>
      </c>
      <c r="G558" s="4">
        <f>60000*F558/(2*PI()*C558)</f>
        <v>453.08139580957874</v>
      </c>
      <c r="H558" s="4">
        <f>G558*Thiet_ke!$B$15*B558*Dau_vao!$B$10/Thiet_ke!$B$7</f>
        <v>9906.919344867982</v>
      </c>
      <c r="I558" s="4">
        <f>IF(D558&lt;=Dau_vao!$B$14,Dau_vao!$B$13,Dau_vao!$B$13*(1+D558^2/1500))</f>
        <v>0.015</v>
      </c>
      <c r="J558" s="4">
        <f>Thiet_ke!$B$8*D558^2</f>
        <v>253.9443998110086</v>
      </c>
      <c r="K558" s="4">
        <f>Thiet_ke!$B$3*I558+J558</f>
        <v>1385.5278998110089</v>
      </c>
      <c r="L558" s="4">
        <f>(H558-J558)/Thiet_ke!$B$3</f>
        <v>0.1279575251635028</v>
      </c>
      <c r="M558" s="4">
        <f>1.05+0.05*B558^2</f>
        <v>1.4000000000000001</v>
      </c>
      <c r="N558" s="4">
        <f>(MIN(H558,Thiet_ke!$B$16)-K558)/(Thiet_ke!$B$2*M558)</f>
        <v>0.7915095156099731</v>
      </c>
      <c r="O558" s="4">
        <f>IF(N558&gt;0,1/N558,"")</f>
        <v>1.2634086896976275</v>
      </c>
    </row>
    <row r="559" spans="1:15">
      <c r="A559">
        <v>3</v>
      </c>
      <c r="B559" s="4">
        <f>Thiet_ke!$B$22</f>
        <v>2.6457513110645907</v>
      </c>
      <c r="C559" s="4">
        <f>Dau_vao!$B$21+(Dau_vao!$B$19-Dau_vao!$B$21)*155/200</f>
        <v>2195.0</v>
      </c>
      <c r="D559" s="4">
        <f>2*PI()*C559*Thiet_ke!$B$7/(60*Thiet_ke!$B$15*B559)</f>
        <v>9.356011601881423</v>
      </c>
      <c r="E559" s="4">
        <f>D559*3.6</f>
        <v>33.681641766773126</v>
      </c>
      <c r="F559" s="4">
        <f>Thiet_ke!$B$12*(Dau_vao!$B$22*(C559/Dau_vao!$B$19)+Dau_vao!$B$23*(C559/Dau_vao!$B$19)^2-Dau_vao!$B$24*(C559/Dau_vao!$B$19)^3)</f>
        <v>104.08196690600225</v>
      </c>
      <c r="G559" s="4">
        <f>60000*F559/(2*PI()*C559)</f>
        <v>452.80618277404983</v>
      </c>
      <c r="H559" s="4">
        <f>G559*Thiet_ke!$B$15*B559*Dau_vao!$B$10/Thiet_ke!$B$7</f>
        <v>9900.901632883206</v>
      </c>
      <c r="I559" s="4">
        <f>IF(D559&lt;=Dau_vao!$B$14,Dau_vao!$B$13,Dau_vao!$B$13*(1+D559^2/1500))</f>
        <v>0.015</v>
      </c>
      <c r="J559" s="4">
        <f>Thiet_ke!$B$8*D559^2</f>
        <v>256.03973780152893</v>
      </c>
      <c r="K559" s="4">
        <f>Thiet_ke!$B$3*I559+J559</f>
        <v>1387.623237801529</v>
      </c>
      <c r="L559" s="4">
        <f>(H559-J559)/Thiet_ke!$B$3</f>
        <v>0.12784998051511456</v>
      </c>
      <c r="M559" s="4">
        <f>1.05+0.05*B559^2</f>
        <v>1.4000000000000001</v>
      </c>
      <c r="N559" s="4">
        <f>(MIN(H559,Thiet_ke!$B$16)-K559)/(Thiet_ke!$B$2*M559)</f>
        <v>0.7907559348951956</v>
      </c>
      <c r="O559" s="4">
        <f>IF(N559&gt;0,1/N559,"")</f>
        <v>1.264612702695095</v>
      </c>
    </row>
    <row r="560" spans="1:15">
      <c r="A560">
        <v>3</v>
      </c>
      <c r="B560" s="4">
        <f>Thiet_ke!$B$22</f>
        <v>2.6457513110645907</v>
      </c>
      <c r="C560" s="4">
        <f>Dau_vao!$B$21+(Dau_vao!$B$19-Dau_vao!$B$21)*156/200</f>
        <v>2204.0</v>
      </c>
      <c r="D560" s="4">
        <f>2*PI()*C560*Thiet_ke!$B$7/(60*Thiet_ke!$B$15*B560)</f>
        <v>9.394373380659069</v>
      </c>
      <c r="E560" s="4">
        <f>D560*3.6</f>
        <v>33.81974417037265</v>
      </c>
      <c r="F560" s="4">
        <f>Thiet_ke!$B$12*(Dau_vao!$B$22*(C560/Dau_vao!$B$19)+Dau_vao!$B$23*(C560/Dau_vao!$B$19)^2-Dau_vao!$B$24*(C560/Dau_vao!$B$19)^3)</f>
        <v>104.44282982570947</v>
      </c>
      <c r="G560" s="4">
        <f>60000*F560/(2*PI()*C560)</f>
        <v>452.52067070600634</v>
      </c>
      <c r="H560" s="4">
        <f>G560*Thiet_ke!$B$15*B560*Dau_vao!$B$10/Thiet_ke!$B$7</f>
        <v>9894.658725855345</v>
      </c>
      <c r="I560" s="4">
        <f>IF(D560&lt;=Dau_vao!$B$14,Dau_vao!$B$13,Dau_vao!$B$13*(1+D560^2/1500))</f>
        <v>0.015</v>
      </c>
      <c r="J560" s="4">
        <f>Thiet_ke!$B$8*D560^2</f>
        <v>258.14368480456443</v>
      </c>
      <c r="K560" s="4">
        <f>Thiet_ke!$B$3*I560+J560</f>
        <v>1389.7271848045646</v>
      </c>
      <c r="L560" s="4">
        <f>(H560-J560)/Thiet_ke!$B$3</f>
        <v>0.12773933661613276</v>
      </c>
      <c r="M560" s="4">
        <f>1.05+0.05*B560^2</f>
        <v>1.4000000000000001</v>
      </c>
      <c r="N560" s="4">
        <f>(MIN(H560,Thiet_ke!$B$16)-K560)/(Thiet_ke!$B$2*M560)</f>
        <v>0.789980637288759</v>
      </c>
      <c r="O560" s="4">
        <f>IF(N560&gt;0,1/N560,"")</f>
        <v>1.2658538105845667</v>
      </c>
    </row>
    <row r="561" spans="1:15">
      <c r="A561">
        <v>3</v>
      </c>
      <c r="B561" s="4">
        <f>Thiet_ke!$B$22</f>
        <v>2.6457513110645907</v>
      </c>
      <c r="C561" s="4">
        <f>Dau_vao!$B$21+(Dau_vao!$B$19-Dau_vao!$B$21)*157/200</f>
        <v>2213.0</v>
      </c>
      <c r="D561" s="4">
        <f>2*PI()*C561*Thiet_ke!$B$7/(60*Thiet_ke!$B$15*B561)</f>
        <v>9.432735159436714</v>
      </c>
      <c r="E561" s="4">
        <f>D561*3.6</f>
        <v>33.95784657397217</v>
      </c>
      <c r="F561" s="4">
        <f>Thiet_ke!$B$12*(Dau_vao!$B$22*(C561/Dau_vao!$B$19)+Dau_vao!$B$23*(C561/Dau_vao!$B$19)^2-Dau_vao!$B$24*(C561/Dau_vao!$B$19)^3)</f>
        <v>104.80076782043088</v>
      </c>
      <c r="G561" s="4">
        <f>60000*F561/(2*PI()*C561)</f>
        <v>452.22485960544816</v>
      </c>
      <c r="H561" s="4">
        <f>G561*Thiet_ke!$B$15*B561*Dau_vao!$B$10/Thiet_ke!$B$7</f>
        <v>9888.19062378439</v>
      </c>
      <c r="I561" s="4">
        <f>IF(D561&lt;=Dau_vao!$B$14,Dau_vao!$B$13,Dau_vao!$B$13*(1+D561^2/1500))</f>
        <v>0.015</v>
      </c>
      <c r="J561" s="4">
        <f>Thiet_ke!$B$8*D561^2</f>
        <v>260.25624082011524</v>
      </c>
      <c r="K561" s="4">
        <f>Thiet_ke!$B$3*I561+J561</f>
        <v>1391.8397408201154</v>
      </c>
      <c r="L561" s="4">
        <f>(H561-J561)/Thiet_ke!$B$3</f>
        <v>0.12762559346655736</v>
      </c>
      <c r="M561" s="4">
        <f>1.05+0.05*B561^2</f>
        <v>1.4000000000000001</v>
      </c>
      <c r="N561" s="4">
        <f>(MIN(H561,Thiet_ke!$B$16)-K561)/(Thiet_ke!$B$2*M561)</f>
        <v>0.7891836227906626</v>
      </c>
      <c r="O561" s="4">
        <f>IF(N561&gt;0,1/N561,"")</f>
        <v>1.2671322251516846</v>
      </c>
    </row>
    <row r="562" spans="1:15">
      <c r="A562">
        <v>3</v>
      </c>
      <c r="B562" s="4">
        <f>Thiet_ke!$B$22</f>
        <v>2.6457513110645907</v>
      </c>
      <c r="C562" s="4">
        <f>Dau_vao!$B$21+(Dau_vao!$B$19-Dau_vao!$B$21)*158/200</f>
        <v>2222.0</v>
      </c>
      <c r="D562" s="4">
        <f>2*PI()*C562*Thiet_ke!$B$7/(60*Thiet_ke!$B$15*B562)</f>
        <v>9.47109693821436</v>
      </c>
      <c r="E562" s="4">
        <f>D562*3.6</f>
        <v>34.0959489775717</v>
      </c>
      <c r="F562" s="4">
        <f>Thiet_ke!$B$12*(Dau_vao!$B$22*(C562/Dau_vao!$B$19)+Dau_vao!$B$23*(C562/Dau_vao!$B$19)^2-Dau_vao!$B$24*(C562/Dau_vao!$B$19)^3)</f>
        <v>105.15575177033813</v>
      </c>
      <c r="G562" s="4">
        <f>60000*F562/(2*PI()*C562)</f>
        <v>451.9187494723755</v>
      </c>
      <c r="H562" s="4">
        <f>G562*Thiet_ke!$B$15*B562*Dau_vao!$B$10/Thiet_ke!$B$7</f>
        <v>9881.49732667035</v>
      </c>
      <c r="I562" s="4">
        <f>IF(D562&lt;=Dau_vao!$B$14,Dau_vao!$B$13,Dau_vao!$B$13*(1+D562^2/1500))</f>
        <v>0.015</v>
      </c>
      <c r="J562" s="4">
        <f>Thiet_ke!$B$8*D562^2</f>
        <v>262.3774058481813</v>
      </c>
      <c r="K562" s="4">
        <f>Thiet_ke!$B$3*I562+J562</f>
        <v>1393.9609058481815</v>
      </c>
      <c r="L562" s="4">
        <f>(H562-J562)/Thiet_ke!$B$3</f>
        <v>0.1275087510663884</v>
      </c>
      <c r="M562" s="4">
        <f>1.05+0.05*B562^2</f>
        <v>1.4000000000000001</v>
      </c>
      <c r="N562" s="4">
        <f>(MIN(H562,Thiet_ke!$B$16)-K562)/(Thiet_ke!$B$2*M562)</f>
        <v>0.788364891400907</v>
      </c>
      <c r="O562" s="4">
        <f>IF(N562&gt;0,1/N562,"")</f>
        <v>1.268448165192925</v>
      </c>
    </row>
    <row r="563" spans="1:15">
      <c r="A563">
        <v>3</v>
      </c>
      <c r="B563" s="4">
        <f>Thiet_ke!$B$22</f>
        <v>2.6457513110645907</v>
      </c>
      <c r="C563" s="4">
        <f>Dau_vao!$B$21+(Dau_vao!$B$19-Dau_vao!$B$21)*159/200</f>
        <v>2231.0</v>
      </c>
      <c r="D563" s="4">
        <f>2*PI()*C563*Thiet_ke!$B$7/(60*Thiet_ke!$B$15*B563)</f>
        <v>9.509458716992008</v>
      </c>
      <c r="E563" s="4">
        <f>D563*3.6</f>
        <v>34.23405138117123</v>
      </c>
      <c r="F563" s="4">
        <f>Thiet_ke!$B$12*(Dau_vao!$B$22*(C563/Dau_vao!$B$19)+Dau_vao!$B$23*(C563/Dau_vao!$B$19)^2-Dau_vao!$B$24*(C563/Dau_vao!$B$19)^3)</f>
        <v>105.5077525556028</v>
      </c>
      <c r="G563" s="4">
        <f>60000*F563/(2*PI()*C563)</f>
        <v>451.60234030678816</v>
      </c>
      <c r="H563" s="4">
        <f>G563*Thiet_ke!$B$15*B563*Dau_vao!$B$10/Thiet_ke!$B$7</f>
        <v>9874.578834513219</v>
      </c>
      <c r="I563" s="4">
        <f>IF(D563&lt;=Dau_vao!$B$14,Dau_vao!$B$13,Dau_vao!$B$13*(1+D563^2/1500))</f>
        <v>0.015</v>
      </c>
      <c r="J563" s="4">
        <f>Thiet_ke!$B$8*D563^2</f>
        <v>264.5071798887627</v>
      </c>
      <c r="K563" s="4">
        <f>Thiet_ke!$B$3*I563+J563</f>
        <v>1396.090679888763</v>
      </c>
      <c r="L563" s="4">
        <f>(H563-J563)/Thiet_ke!$B$3</f>
        <v>0.12738880941562583</v>
      </c>
      <c r="M563" s="4">
        <f>1.05+0.05*B563^2</f>
        <v>1.4000000000000001</v>
      </c>
      <c r="N563" s="4">
        <f>(MIN(H563,Thiet_ke!$B$16)-K563)/(Thiet_ke!$B$2*M563)</f>
        <v>0.7875244431194923</v>
      </c>
      <c r="O563" s="4">
        <f>IF(N563&gt;0,1/N563,"")</f>
        <v>1.2698018566114124</v>
      </c>
    </row>
    <row r="564" spans="1:15">
      <c r="A564">
        <v>3</v>
      </c>
      <c r="B564" s="4">
        <f>Thiet_ke!$B$22</f>
        <v>2.6457513110645907</v>
      </c>
      <c r="C564" s="4">
        <f>Dau_vao!$B$21+(Dau_vao!$B$19-Dau_vao!$B$21)*160/200</f>
        <v>2240.0</v>
      </c>
      <c r="D564" s="4">
        <f>2*PI()*C564*Thiet_ke!$B$7/(60*Thiet_ke!$B$15*B564)</f>
        <v>9.547820495769653</v>
      </c>
      <c r="E564" s="4">
        <f>D564*3.6</f>
        <v>34.37215378477075</v>
      </c>
      <c r="F564" s="4">
        <f>Thiet_ke!$B$12*(Dau_vao!$B$22*(C564/Dau_vao!$B$19)+Dau_vao!$B$23*(C564/Dau_vao!$B$19)^2-Dau_vao!$B$24*(C564/Dau_vao!$B$19)^3)</f>
        <v>105.85674105639652</v>
      </c>
      <c r="G564" s="4">
        <f>60000*F564/(2*PI()*C564)</f>
        <v>451.2756321086863</v>
      </c>
      <c r="H564" s="4">
        <f>G564*Thiet_ke!$B$15*B564*Dau_vao!$B$10/Thiet_ke!$B$7</f>
        <v>9867.435147313</v>
      </c>
      <c r="I564" s="4">
        <f>IF(D564&lt;=Dau_vao!$B$14,Dau_vao!$B$13,Dau_vao!$B$13*(1+D564^2/1500))</f>
        <v>0.015</v>
      </c>
      <c r="J564" s="4">
        <f>Thiet_ke!$B$8*D564^2</f>
        <v>266.6455629418593</v>
      </c>
      <c r="K564" s="4">
        <f>Thiet_ke!$B$3*I564+J564</f>
        <v>1398.2290629418594</v>
      </c>
      <c r="L564" s="4">
        <f>(H564-J564)/Thiet_ke!$B$3</f>
        <v>0.12726576851426968</v>
      </c>
      <c r="M564" s="4">
        <f>1.05+0.05*B564^2</f>
        <v>1.4000000000000001</v>
      </c>
      <c r="N564" s="4">
        <f>(MIN(H564,Thiet_ke!$B$16)-K564)/(Thiet_ke!$B$2*M564)</f>
        <v>0.7866622779464183</v>
      </c>
      <c r="O564" s="4">
        <f>IF(N564&gt;0,1/N564,"")</f>
        <v>1.2711935325162658</v>
      </c>
    </row>
    <row r="565" spans="1:15">
      <c r="A565">
        <v>3</v>
      </c>
      <c r="B565" s="4">
        <f>Thiet_ke!$B$22</f>
        <v>2.6457513110645907</v>
      </c>
      <c r="C565" s="4">
        <f>Dau_vao!$B$21+(Dau_vao!$B$19-Dau_vao!$B$21)*161/200</f>
        <v>2249.0</v>
      </c>
      <c r="D565" s="4">
        <f>2*PI()*C565*Thiet_ke!$B$7/(60*Thiet_ke!$B$15*B565)</f>
        <v>9.5861822745473</v>
      </c>
      <c r="E565" s="4">
        <f>D565*3.6</f>
        <v>34.51025618837028</v>
      </c>
      <c r="F565" s="4">
        <f>Thiet_ke!$B$12*(Dau_vao!$B$22*(C565/Dau_vao!$B$19)+Dau_vao!$B$23*(C565/Dau_vao!$B$19)^2-Dau_vao!$B$24*(C565/Dau_vao!$B$19)^3)</f>
        <v>106.20268815289084</v>
      </c>
      <c r="G565" s="4">
        <f>60000*F565/(2*PI()*C565)</f>
        <v>450.9386248780698</v>
      </c>
      <c r="H565" s="4">
        <f>G565*Thiet_ke!$B$15*B565*Dau_vao!$B$10/Thiet_ke!$B$7</f>
        <v>9860.06626506969</v>
      </c>
      <c r="I565" s="4">
        <f>IF(D565&lt;=Dau_vao!$B$14,Dau_vao!$B$13,Dau_vao!$B$13*(1+D565^2/1500))</f>
        <v>0.015</v>
      </c>
      <c r="J565" s="4">
        <f>Thiet_ke!$B$8*D565^2</f>
        <v>268.79255500747115</v>
      </c>
      <c r="K565" s="4">
        <f>Thiet_ke!$B$3*I565+J565</f>
        <v>1400.3760550074712</v>
      </c>
      <c r="L565" s="4">
        <f>(H565-J565)/Thiet_ke!$B$3</f>
        <v>0.12713962836231996</v>
      </c>
      <c r="M565" s="4">
        <f>1.05+0.05*B565^2</f>
        <v>1.4000000000000001</v>
      </c>
      <c r="N565" s="4">
        <f>(MIN(H565,Thiet_ke!$B$16)-K565)/(Thiet_ke!$B$2*M565)</f>
        <v>0.7857783958816847</v>
      </c>
      <c r="O565" s="4">
        <f>IF(N565&gt;0,1/N565,"")</f>
        <v>1.272623433325559</v>
      </c>
    </row>
    <row r="566" spans="1:15">
      <c r="A566">
        <v>3</v>
      </c>
      <c r="B566" s="4">
        <f>Thiet_ke!$B$22</f>
        <v>2.6457513110645907</v>
      </c>
      <c r="C566" s="4">
        <f>Dau_vao!$B$21+(Dau_vao!$B$19-Dau_vao!$B$21)*162/200</f>
        <v>2258.0</v>
      </c>
      <c r="D566" s="4">
        <f>2*PI()*C566*Thiet_ke!$B$7/(60*Thiet_ke!$B$15*B566)</f>
        <v>9.624544053324945</v>
      </c>
      <c r="E566" s="4">
        <f>D566*3.6</f>
        <v>34.6483585919698</v>
      </c>
      <c r="F566" s="4">
        <f>Thiet_ke!$B$12*(Dau_vao!$B$22*(C566/Dau_vao!$B$19)+Dau_vao!$B$23*(C566/Dau_vao!$B$19)^2-Dau_vao!$B$24*(C566/Dau_vao!$B$19)^3)</f>
        <v>106.54556472525739</v>
      </c>
      <c r="G566" s="4">
        <f>60000*F566/(2*PI()*C566)</f>
        <v>450.59131861493864</v>
      </c>
      <c r="H566" s="4">
        <f>G566*Thiet_ke!$B$15*B566*Dau_vao!$B$10/Thiet_ke!$B$7</f>
        <v>9852.47218778329</v>
      </c>
      <c r="I566" s="4">
        <f>IF(D566&lt;=Dau_vao!$B$14,Dau_vao!$B$13,Dau_vao!$B$13*(1+D566^2/1500))</f>
        <v>0.015</v>
      </c>
      <c r="J566" s="4">
        <f>Thiet_ke!$B$8*D566^2</f>
        <v>270.9481560855982</v>
      </c>
      <c r="K566" s="4">
        <f>Thiet_ke!$B$3*I566+J566</f>
        <v>1402.5316560855983</v>
      </c>
      <c r="L566" s="4">
        <f>(H566-J566)/Thiet_ke!$B$3</f>
        <v>0.1270103889597766</v>
      </c>
      <c r="M566" s="4">
        <f>1.05+0.05*B566^2</f>
        <v>1.4000000000000001</v>
      </c>
      <c r="N566" s="4">
        <f>(MIN(H566,Thiet_ke!$B$16)-K566)/(Thiet_ke!$B$2*M566)</f>
        <v>0.7848727969252917</v>
      </c>
      <c r="O566" s="4">
        <f>IF(N566&gt;0,1/N566,"")</f>
        <v>1.2740918068729872</v>
      </c>
    </row>
    <row r="567" spans="1:15">
      <c r="A567">
        <v>3</v>
      </c>
      <c r="B567" s="4">
        <f>Thiet_ke!$B$22</f>
        <v>2.6457513110645907</v>
      </c>
      <c r="C567" s="4">
        <f>Dau_vao!$B$21+(Dau_vao!$B$19-Dau_vao!$B$21)*163/200</f>
        <v>2267.0</v>
      </c>
      <c r="D567" s="4">
        <f>2*PI()*C567*Thiet_ke!$B$7/(60*Thiet_ke!$B$15*B567)</f>
        <v>9.66290583210259</v>
      </c>
      <c r="E567" s="4">
        <f>D567*3.6</f>
        <v>34.78646099556932</v>
      </c>
      <c r="F567" s="4">
        <f>Thiet_ke!$B$12*(Dau_vao!$B$22*(C567/Dau_vao!$B$19)+Dau_vao!$B$23*(C567/Dau_vao!$B$19)^2-Dau_vao!$B$24*(C567/Dau_vao!$B$19)^3)</f>
        <v>106.88534165366778</v>
      </c>
      <c r="G567" s="4">
        <f>60000*F567/(2*PI()*C567)</f>
        <v>450.23371331929303</v>
      </c>
      <c r="H567" s="4">
        <f>G567*Thiet_ke!$B$15*B567*Dau_vao!$B$10/Thiet_ke!$B$7</f>
        <v>9844.652915453806</v>
      </c>
      <c r="I567" s="4">
        <f>IF(D567&lt;=Dau_vao!$B$14,Dau_vao!$B$13,Dau_vao!$B$13*(1+D567^2/1500))</f>
        <v>0.015</v>
      </c>
      <c r="J567" s="4">
        <f>Thiet_ke!$B$8*D567^2</f>
        <v>273.1123661762406</v>
      </c>
      <c r="K567" s="4">
        <f>Thiet_ke!$B$3*I567+J567</f>
        <v>1404.6958661762408</v>
      </c>
      <c r="L567" s="4">
        <f>(H567-J567)/Thiet_ke!$B$3</f>
        <v>0.12687805030663973</v>
      </c>
      <c r="M567" s="4">
        <f>1.05+0.05*B567^2</f>
        <v>1.4000000000000001</v>
      </c>
      <c r="N567" s="4">
        <f>(MIN(H567,Thiet_ke!$B$16)-K567)/(Thiet_ke!$B$2*M567)</f>
        <v>0.7839454810772398</v>
      </c>
      <c r="O567" s="4">
        <f>IF(N567&gt;0,1/N567,"")</f>
        <v>1.2755989085183246</v>
      </c>
    </row>
    <row r="568" spans="1:15">
      <c r="A568">
        <v>3</v>
      </c>
      <c r="B568" s="4">
        <f>Thiet_ke!$B$22</f>
        <v>2.6457513110645907</v>
      </c>
      <c r="C568" s="4">
        <f>Dau_vao!$B$21+(Dau_vao!$B$19-Dau_vao!$B$21)*164/200</f>
        <v>2276.0</v>
      </c>
      <c r="D568" s="4">
        <f>2*PI()*C568*Thiet_ke!$B$7/(60*Thiet_ke!$B$15*B568)</f>
        <v>9.701267610880235</v>
      </c>
      <c r="E568" s="4">
        <f>D568*3.6</f>
        <v>34.924563399168846</v>
      </c>
      <c r="F568" s="4">
        <f>Thiet_ke!$B$12*(Dau_vao!$B$22*(C568/Dau_vao!$B$19)+Dau_vao!$B$23*(C568/Dau_vao!$B$19)^2-Dau_vao!$B$24*(C568/Dau_vao!$B$19)^3)</f>
        <v>107.22198981829357</v>
      </c>
      <c r="G568" s="4">
        <f>60000*F568/(2*PI()*C568)</f>
        <v>449.86580899113255</v>
      </c>
      <c r="H568" s="4">
        <f>G568*Thiet_ke!$B$15*B568*Dau_vao!$B$10/Thiet_ke!$B$7</f>
        <v>9836.608448081228</v>
      </c>
      <c r="I568" s="4">
        <f>IF(D568&lt;=Dau_vao!$B$14,Dau_vao!$B$13,Dau_vao!$B$13*(1+D568^2/1500))</f>
        <v>0.015</v>
      </c>
      <c r="J568" s="4">
        <f>Thiet_ke!$B$8*D568^2</f>
        <v>275.28518527939815</v>
      </c>
      <c r="K568" s="4">
        <f>Thiet_ke!$B$3*I568+J568</f>
        <v>1406.8686852793983</v>
      </c>
      <c r="L568" s="4">
        <f>(H568-J568)/Thiet_ke!$B$3</f>
        <v>0.12674261240290924</v>
      </c>
      <c r="M568" s="4">
        <f>1.05+0.05*B568^2</f>
        <v>1.4000000000000001</v>
      </c>
      <c r="N568" s="4">
        <f>(MIN(H568,Thiet_ke!$B$16)-K568)/(Thiet_ke!$B$2*M568)</f>
        <v>0.7829964483375281</v>
      </c>
      <c r="O568" s="4">
        <f>IF(N568&gt;0,1/N568,"")</f>
        <v>1.277145001261778</v>
      </c>
    </row>
    <row r="569" spans="1:15">
      <c r="A569">
        <v>3</v>
      </c>
      <c r="B569" s="4">
        <f>Thiet_ke!$B$22</f>
        <v>2.6457513110645907</v>
      </c>
      <c r="C569" s="4">
        <f>Dau_vao!$B$21+(Dau_vao!$B$19-Dau_vao!$B$21)*165/200</f>
        <v>2285.0</v>
      </c>
      <c r="D569" s="4">
        <f>2*PI()*C569*Thiet_ke!$B$7/(60*Thiet_ke!$B$15*B569)</f>
        <v>9.739629389657882</v>
      </c>
      <c r="E569" s="4">
        <f>D569*3.6</f>
        <v>35.06266580276838</v>
      </c>
      <c r="F569" s="4">
        <f>Thiet_ke!$B$12*(Dau_vao!$B$22*(C569/Dau_vao!$B$19)+Dau_vao!$B$23*(C569/Dau_vao!$B$19)^2-Dau_vao!$B$24*(C569/Dau_vao!$B$19)^3)</f>
        <v>107.55548009930645</v>
      </c>
      <c r="G569" s="4">
        <f>60000*F569/(2*PI()*C569)</f>
        <v>449.4876056304578</v>
      </c>
      <c r="H569" s="4">
        <f>G569*Thiet_ke!$B$15*B569*Dau_vao!$B$10/Thiet_ke!$B$7</f>
        <v>9828.33878566556</v>
      </c>
      <c r="I569" s="4">
        <f>IF(D569&lt;=Dau_vao!$B$14,Dau_vao!$B$13,Dau_vao!$B$13*(1+D569^2/1500))</f>
        <v>0.015</v>
      </c>
      <c r="J569" s="4">
        <f>Thiet_ke!$B$8*D569^2</f>
        <v>277.46661339507114</v>
      </c>
      <c r="K569" s="4">
        <f>Thiet_ke!$B$3*I569+J569</f>
        <v>1409.0501133950713</v>
      </c>
      <c r="L569" s="4">
        <f>(H569-J569)/Thiet_ke!$B$3</f>
        <v>0.12660407524858514</v>
      </c>
      <c r="M569" s="4">
        <f>1.05+0.05*B569^2</f>
        <v>1.4000000000000001</v>
      </c>
      <c r="N569" s="4">
        <f>(MIN(H569,Thiet_ke!$B$16)-K569)/(Thiet_ke!$B$2*M569)</f>
        <v>0.7820256987061572</v>
      </c>
      <c r="O569" s="4">
        <f>IF(N569&gt;0,1/N569,"")</f>
        <v>1.278730355862315</v>
      </c>
    </row>
    <row r="570" spans="1:15">
      <c r="A570">
        <v>3</v>
      </c>
      <c r="B570" s="4">
        <f>Thiet_ke!$B$22</f>
        <v>2.6457513110645907</v>
      </c>
      <c r="C570" s="4">
        <f>Dau_vao!$B$21+(Dau_vao!$B$19-Dau_vao!$B$21)*166/200</f>
        <v>2294.0</v>
      </c>
      <c r="D570" s="4">
        <f>2*PI()*C570*Thiet_ke!$B$7/(60*Thiet_ke!$B$15*B570)</f>
        <v>9.777991168435529</v>
      </c>
      <c r="E570" s="4">
        <f>D570*3.6</f>
        <v>35.200768206367904</v>
      </c>
      <c r="F570" s="4">
        <f>Thiet_ke!$B$12*(Dau_vao!$B$22*(C570/Dau_vao!$B$19)+Dau_vao!$B$23*(C570/Dau_vao!$B$19)^2-Dau_vao!$B$24*(C570/Dau_vao!$B$19)^3)</f>
        <v>107.88578337687797</v>
      </c>
      <c r="G570" s="4">
        <f>60000*F570/(2*PI()*C570)</f>
        <v>449.09910323726837</v>
      </c>
      <c r="H570" s="4">
        <f>G570*Thiet_ke!$B$15*B570*Dau_vao!$B$10/Thiet_ke!$B$7</f>
        <v>9819.843928206805</v>
      </c>
      <c r="I570" s="4">
        <f>IF(D570&lt;=Dau_vao!$B$14,Dau_vao!$B$13,Dau_vao!$B$13*(1+D570^2/1500))</f>
        <v>0.015</v>
      </c>
      <c r="J570" s="4">
        <f>Thiet_ke!$B$8*D570^2</f>
        <v>279.6566505232594</v>
      </c>
      <c r="K570" s="4">
        <f>Thiet_ke!$B$3*I570+J570</f>
        <v>1411.2401505232597</v>
      </c>
      <c r="L570" s="4">
        <f>(H570-J570)/Thiet_ke!$B$3</f>
        <v>0.12646243884366745</v>
      </c>
      <c r="M570" s="4">
        <f>1.05+0.05*B570^2</f>
        <v>1.4000000000000001</v>
      </c>
      <c r="N570" s="4">
        <f>(MIN(H570,Thiet_ke!$B$16)-K570)/(Thiet_ke!$B$2*M570)</f>
        <v>0.7810332321831269</v>
      </c>
      <c r="O570" s="4">
        <f>IF(N570&gt;0,1/N570,"")</f>
        <v>1.2803552509600928</v>
      </c>
    </row>
    <row r="571" spans="1:15">
      <c r="A571">
        <v>3</v>
      </c>
      <c r="B571" s="4">
        <f>Thiet_ke!$B$22</f>
        <v>2.6457513110645907</v>
      </c>
      <c r="C571" s="4">
        <f>Dau_vao!$B$21+(Dau_vao!$B$19-Dau_vao!$B$21)*167/200</f>
        <v>2303.0</v>
      </c>
      <c r="D571" s="4">
        <f>2*PI()*C571*Thiet_ke!$B$7/(60*Thiet_ke!$B$15*B571)</f>
        <v>9.816352947213174</v>
      </c>
      <c r="E571" s="4">
        <f>D571*3.6</f>
        <v>35.33887060996743</v>
      </c>
      <c r="F571" s="4">
        <f>Thiet_ke!$B$12*(Dau_vao!$B$22*(C571/Dau_vao!$B$19)+Dau_vao!$B$23*(C571/Dau_vao!$B$19)^2-Dau_vao!$B$24*(C571/Dau_vao!$B$19)^3)</f>
        <v>108.21287053117969</v>
      </c>
      <c r="G571" s="4">
        <f>60000*F571/(2*PI()*C571)</f>
        <v>448.7003018115643</v>
      </c>
      <c r="H571" s="4">
        <f>G571*Thiet_ke!$B$15*B571*Dau_vao!$B$10/Thiet_ke!$B$7</f>
        <v>9811.123875704961</v>
      </c>
      <c r="I571" s="4">
        <f>IF(D571&lt;=Dau_vao!$B$14,Dau_vao!$B$13,Dau_vao!$B$13*(1+D571^2/1500))</f>
        <v>0.015</v>
      </c>
      <c r="J571" s="4">
        <f>Thiet_ke!$B$8*D571^2</f>
        <v>281.85529666396275</v>
      </c>
      <c r="K571" s="4">
        <f>Thiet_ke!$B$3*I571+J571</f>
        <v>1413.4387966639629</v>
      </c>
      <c r="L571" s="4">
        <f>(H571-J571)/Thiet_ke!$B$3</f>
        <v>0.1263177031881562</v>
      </c>
      <c r="M571" s="4">
        <f>1.05+0.05*B571^2</f>
        <v>1.4000000000000001</v>
      </c>
      <c r="N571" s="4">
        <f>(MIN(H571,Thiet_ke!$B$16)-K571)/(Thiet_ke!$B$2*M571)</f>
        <v>0.7800190487684374</v>
      </c>
      <c r="O571" s="4">
        <f>IF(N571&gt;0,1/N571,"")</f>
        <v>1.2820199732030748</v>
      </c>
    </row>
    <row r="572" spans="1:15">
      <c r="A572">
        <v>3</v>
      </c>
      <c r="B572" s="4">
        <f>Thiet_ke!$B$22</f>
        <v>2.6457513110645907</v>
      </c>
      <c r="C572" s="4">
        <f>Dau_vao!$B$21+(Dau_vao!$B$19-Dau_vao!$B$21)*168/200</f>
        <v>2312.0</v>
      </c>
      <c r="D572" s="4">
        <f>2*PI()*C572*Thiet_ke!$B$7/(60*Thiet_ke!$B$15*B572)</f>
        <v>9.854714725990819</v>
      </c>
      <c r="E572" s="4">
        <f>D572*3.6</f>
        <v>35.47697301356695</v>
      </c>
      <c r="F572" s="4">
        <f>Thiet_ke!$B$12*(Dau_vao!$B$22*(C572/Dau_vao!$B$19)+Dau_vao!$B$23*(C572/Dau_vao!$B$19)^2-Dau_vao!$B$24*(C572/Dau_vao!$B$19)^3)</f>
        <v>108.53671244238325</v>
      </c>
      <c r="G572" s="4">
        <f>60000*F572/(2*PI()*C572)</f>
        <v>448.29120135334557</v>
      </c>
      <c r="H572" s="4">
        <f>G572*Thiet_ke!$B$15*B572*Dau_vao!$B$10/Thiet_ke!$B$7</f>
        <v>9802.178628160025</v>
      </c>
      <c r="I572" s="4">
        <f>IF(D572&lt;=Dau_vao!$B$14,Dau_vao!$B$13,Dau_vao!$B$13*(1+D572^2/1500))</f>
        <v>0.015</v>
      </c>
      <c r="J572" s="4">
        <f>Thiet_ke!$B$8*D572^2</f>
        <v>284.06255181718143</v>
      </c>
      <c r="K572" s="4">
        <f>Thiet_ke!$B$3*I572+J572</f>
        <v>1415.6460518171816</v>
      </c>
      <c r="L572" s="4">
        <f>(H572-J572)/Thiet_ke!$B$3</f>
        <v>0.12616986828205135</v>
      </c>
      <c r="M572" s="4">
        <f>1.05+0.05*B572^2</f>
        <v>1.4000000000000001</v>
      </c>
      <c r="N572" s="4">
        <f>(MIN(H572,Thiet_ke!$B$16)-K572)/(Thiet_ke!$B$2*M572)</f>
        <v>0.7789831484620884</v>
      </c>
      <c r="O572" s="4">
        <f>IF(N572&gt;0,1/N572,"")</f>
        <v>1.2837248173779565</v>
      </c>
    </row>
    <row r="573" spans="1:15">
      <c r="A573">
        <v>3</v>
      </c>
      <c r="B573" s="4">
        <f>Thiet_ke!$B$22</f>
        <v>2.6457513110645907</v>
      </c>
      <c r="C573" s="4">
        <f>Dau_vao!$B$21+(Dau_vao!$B$19-Dau_vao!$B$21)*169/200</f>
        <v>2321.0</v>
      </c>
      <c r="D573" s="4">
        <f>2*PI()*C573*Thiet_ke!$B$7/(60*Thiet_ke!$B$15*B573)</f>
        <v>9.893076504768466</v>
      </c>
      <c r="E573" s="4">
        <f>D573*3.6</f>
        <v>35.61507541716648</v>
      </c>
      <c r="F573" s="4">
        <f>Thiet_ke!$B$12*(Dau_vao!$B$22*(C573/Dau_vao!$B$19)+Dau_vao!$B$23*(C573/Dau_vao!$B$19)^2-Dau_vao!$B$24*(C573/Dau_vao!$B$19)^3)</f>
        <v>108.8572799906603</v>
      </c>
      <c r="G573" s="4">
        <f>60000*F573/(2*PI()*C573)</f>
        <v>447.8718018626125</v>
      </c>
      <c r="H573" s="4">
        <f>G573*Thiet_ke!$B$15*B573*Dau_vao!$B$10/Thiet_ke!$B$7</f>
        <v>9793.008185572004</v>
      </c>
      <c r="I573" s="4">
        <f>IF(D573&lt;=Dau_vao!$B$14,Dau_vao!$B$13,Dau_vao!$B$13*(1+D573^2/1500))</f>
        <v>0.015</v>
      </c>
      <c r="J573" s="4">
        <f>Thiet_ke!$B$8*D573^2</f>
        <v>286.2784159829154</v>
      </c>
      <c r="K573" s="4">
        <f>Thiet_ke!$B$3*I573+J573</f>
        <v>1417.8619159829157</v>
      </c>
      <c r="L573" s="4">
        <f>(H573-J573)/Thiet_ke!$B$3</f>
        <v>0.12601893412535292</v>
      </c>
      <c r="M573" s="4">
        <f>1.05+0.05*B573^2</f>
        <v>1.4000000000000001</v>
      </c>
      <c r="N573" s="4">
        <f>(MIN(H573,Thiet_ke!$B$16)-K573)/(Thiet_ke!$B$2*M573)</f>
        <v>0.7779255312640802</v>
      </c>
      <c r="O573" s="4">
        <f>IF(N573&gt;0,1/N573,"")</f>
        <v>1.2854700865455113</v>
      </c>
    </row>
    <row r="574" spans="1:15">
      <c r="A574">
        <v>3</v>
      </c>
      <c r="B574" s="4">
        <f>Thiet_ke!$B$22</f>
        <v>2.6457513110645907</v>
      </c>
      <c r="C574" s="4">
        <f>Dau_vao!$B$21+(Dau_vao!$B$19-Dau_vao!$B$21)*170/200</f>
        <v>2330.0</v>
      </c>
      <c r="D574" s="4">
        <f>2*PI()*C574*Thiet_ke!$B$7/(60*Thiet_ke!$B$15*B574)</f>
        <v>9.931438283546113</v>
      </c>
      <c r="E574" s="4">
        <f>D574*3.6</f>
        <v>35.753177820766005</v>
      </c>
      <c r="F574" s="4">
        <f>Thiet_ke!$B$12*(Dau_vao!$B$22*(C574/Dau_vao!$B$19)+Dau_vao!$B$23*(C574/Dau_vao!$B$19)^2-Dau_vao!$B$24*(C574/Dau_vao!$B$19)^3)</f>
        <v>109.17454405618234</v>
      </c>
      <c r="G574" s="4">
        <f>60000*F574/(2*PI()*C574)</f>
        <v>447.4421033393645</v>
      </c>
      <c r="H574" s="4">
        <f>G574*Thiet_ke!$B$15*B574*Dau_vao!$B$10/Thiet_ke!$B$7</f>
        <v>9783.612547940891</v>
      </c>
      <c r="I574" s="4">
        <f>IF(D574&lt;=Dau_vao!$B$14,Dau_vao!$B$13,Dau_vao!$B$13*(1+D574^2/1500))</f>
        <v>0.015</v>
      </c>
      <c r="J574" s="4">
        <f>Thiet_ke!$B$8*D574^2</f>
        <v>288.5028891611647</v>
      </c>
      <c r="K574" s="4">
        <f>Thiet_ke!$B$3*I574+J574</f>
        <v>1420.0863891611648</v>
      </c>
      <c r="L574" s="4">
        <f>(H574-J574)/Thiet_ke!$B$3</f>
        <v>0.1258649007180609</v>
      </c>
      <c r="M574" s="4">
        <f>1.05+0.05*B574^2</f>
        <v>1.4000000000000001</v>
      </c>
      <c r="N574" s="4">
        <f>(MIN(H574,Thiet_ke!$B$16)-K574)/(Thiet_ke!$B$2*M574)</f>
        <v>0.7768461971744125</v>
      </c>
      <c r="O574" s="4">
        <f>IF(N574&gt;0,1/N574,"")</f>
        <v>1.2872560921804788</v>
      </c>
    </row>
    <row r="575" spans="1:15">
      <c r="A575">
        <v>3</v>
      </c>
      <c r="B575" s="4">
        <f>Thiet_ke!$B$22</f>
        <v>2.6457513110645907</v>
      </c>
      <c r="C575" s="4">
        <f>Dau_vao!$B$21+(Dau_vao!$B$19-Dau_vao!$B$21)*171/200</f>
        <v>2339.0</v>
      </c>
      <c r="D575" s="4">
        <f>2*PI()*C575*Thiet_ke!$B$7/(60*Thiet_ke!$B$15*B575)</f>
        <v>9.969800062323758</v>
      </c>
      <c r="E575" s="4">
        <f>D575*3.6</f>
        <v>35.89128022436553</v>
      </c>
      <c r="F575" s="4">
        <f>Thiet_ke!$B$12*(Dau_vao!$B$22*(C575/Dau_vao!$B$19)+Dau_vao!$B$23*(C575/Dau_vao!$B$19)^2-Dau_vao!$B$24*(C575/Dau_vao!$B$19)^3)</f>
        <v>109.48847551912104</v>
      </c>
      <c r="G575" s="4">
        <f>60000*F575/(2*PI()*C575)</f>
        <v>447.002105783602</v>
      </c>
      <c r="H575" s="4">
        <f>G575*Thiet_ke!$B$15*B575*Dau_vao!$B$10/Thiet_ke!$B$7</f>
        <v>9773.99171526669</v>
      </c>
      <c r="I575" s="4">
        <f>IF(D575&lt;=Dau_vao!$B$14,Dau_vao!$B$13,Dau_vao!$B$13*(1+D575^2/1500))</f>
        <v>0.015</v>
      </c>
      <c r="J575" s="4">
        <f>Thiet_ke!$B$8*D575^2</f>
        <v>290.73597135192915</v>
      </c>
      <c r="K575" s="4">
        <f>Thiet_ke!$B$3*I575+J575</f>
        <v>1422.3194713519292</v>
      </c>
      <c r="L575" s="4">
        <f>(H575-J575)/Thiet_ke!$B$3</f>
        <v>0.1257077680601753</v>
      </c>
      <c r="M575" s="4">
        <f>1.05+0.05*B575^2</f>
        <v>1.4000000000000001</v>
      </c>
      <c r="N575" s="4">
        <f>(MIN(H575,Thiet_ke!$B$16)-K575)/(Thiet_ke!$B$2*M575)</f>
        <v>0.7757451461930854</v>
      </c>
      <c r="O575" s="4">
        <f>IF(N575&gt;0,1/N575,"")</f>
        <v>1.2890831543161172</v>
      </c>
    </row>
    <row r="576" spans="1:15">
      <c r="A576">
        <v>3</v>
      </c>
      <c r="B576" s="4">
        <f>Thiet_ke!$B$22</f>
        <v>2.6457513110645907</v>
      </c>
      <c r="C576" s="4">
        <f>Dau_vao!$B$21+(Dau_vao!$B$19-Dau_vao!$B$21)*172/200</f>
        <v>2348.0</v>
      </c>
      <c r="D576" s="4">
        <f>2*PI()*C576*Thiet_ke!$B$7/(60*Thiet_ke!$B$15*B576)</f>
        <v>10.008161841101403</v>
      </c>
      <c r="E576" s="4">
        <f>D576*3.6</f>
        <v>36.02938262796505</v>
      </c>
      <c r="F576" s="4">
        <f>Thiet_ke!$B$12*(Dau_vao!$B$22*(C576/Dau_vao!$B$19)+Dau_vao!$B$23*(C576/Dau_vao!$B$19)^2-Dau_vao!$B$24*(C576/Dau_vao!$B$19)^3)</f>
        <v>109.799045259648</v>
      </c>
      <c r="G576" s="4">
        <f>60000*F576/(2*PI()*C576)</f>
        <v>446.551809195325</v>
      </c>
      <c r="H576" s="4">
        <f>G576*Thiet_ke!$B$15*B576*Dau_vao!$B$10/Thiet_ke!$B$7</f>
        <v>9764.1456875494</v>
      </c>
      <c r="I576" s="4">
        <f>IF(D576&lt;=Dau_vao!$B$14,Dau_vao!$B$13,Dau_vao!$B$13*(1+D576^2/1500))</f>
        <v>0.015</v>
      </c>
      <c r="J576" s="4">
        <f>Thiet_ke!$B$8*D576^2</f>
        <v>292.97766255520884</v>
      </c>
      <c r="K576" s="4">
        <f>Thiet_ke!$B$3*I576+J576</f>
        <v>1424.561162555209</v>
      </c>
      <c r="L576" s="4">
        <f>(H576-J576)/Thiet_ke!$B$3</f>
        <v>0.12554753615169614</v>
      </c>
      <c r="M576" s="4">
        <f>1.05+0.05*B576^2</f>
        <v>1.4000000000000001</v>
      </c>
      <c r="N576" s="4">
        <f>(MIN(H576,Thiet_ke!$B$16)-K576)/(Thiet_ke!$B$2*M576)</f>
        <v>0.7746223783200995</v>
      </c>
      <c r="O576" s="4">
        <f>IF(N576&gt;0,1/N576,"")</f>
        <v>1.2909516016935507</v>
      </c>
    </row>
    <row r="577" spans="1:15">
      <c r="A577">
        <v>3</v>
      </c>
      <c r="B577" s="4">
        <f>Thiet_ke!$B$22</f>
        <v>2.6457513110645907</v>
      </c>
      <c r="C577" s="4">
        <f>Dau_vao!$B$21+(Dau_vao!$B$19-Dau_vao!$B$21)*173/200</f>
        <v>2357.0</v>
      </c>
      <c r="D577" s="4">
        <f>2*PI()*C577*Thiet_ke!$B$7/(60*Thiet_ke!$B$15*B577)</f>
        <v>10.04652361987905</v>
      </c>
      <c r="E577" s="4">
        <f>D577*3.6</f>
        <v>36.16748503156458</v>
      </c>
      <c r="F577" s="4">
        <f>Thiet_ke!$B$12*(Dau_vao!$B$22*(C577/Dau_vao!$B$19)+Dau_vao!$B$23*(C577/Dau_vao!$B$19)^2-Dau_vao!$B$24*(C577/Dau_vao!$B$19)^3)</f>
        <v>110.1062241579348</v>
      </c>
      <c r="G577" s="4">
        <f>60000*F577/(2*PI()*C577)</f>
        <v>446.0912135745334</v>
      </c>
      <c r="H577" s="4">
        <f>G577*Thiet_ke!$B$15*B577*Dau_vao!$B$10/Thiet_ke!$B$7</f>
        <v>9754.074464789019</v>
      </c>
      <c r="I577" s="4">
        <f>IF(D577&lt;=Dau_vao!$B$14,Dau_vao!$B$13,Dau_vao!$B$13*(1+D577^2/1500))</f>
        <v>0.015</v>
      </c>
      <c r="J577" s="4">
        <f>Thiet_ke!$B$8*D577^2</f>
        <v>295.2279627710039</v>
      </c>
      <c r="K577" s="4">
        <f>Thiet_ke!$B$3*I577+J577</f>
        <v>1426.811462771004</v>
      </c>
      <c r="L577" s="4">
        <f>(H577-J577)/Thiet_ke!$B$3</f>
        <v>0.12538420499262337</v>
      </c>
      <c r="M577" s="4">
        <f>1.05+0.05*B577^2</f>
        <v>1.4000000000000001</v>
      </c>
      <c r="N577" s="4">
        <f>(MIN(H577,Thiet_ke!$B$16)-K577)/(Thiet_ke!$B$2*M577)</f>
        <v>0.7734778935554536</v>
      </c>
      <c r="O577" s="4">
        <f>IF(N577&gt;0,1/N577,"")</f>
        <v>1.2928617719160531</v>
      </c>
    </row>
    <row r="578" spans="1:15">
      <c r="A578">
        <v>3</v>
      </c>
      <c r="B578" s="4">
        <f>Thiet_ke!$B$22</f>
        <v>2.6457513110645907</v>
      </c>
      <c r="C578" s="4">
        <f>Dau_vao!$B$21+(Dau_vao!$B$19-Dau_vao!$B$21)*174/200</f>
        <v>2366.0</v>
      </c>
      <c r="D578" s="4">
        <f>2*PI()*C578*Thiet_ke!$B$7/(60*Thiet_ke!$B$15*B578)</f>
        <v>10.084885398656695</v>
      </c>
      <c r="E578" s="4">
        <f>D578*3.6</f>
        <v>36.30558743516411</v>
      </c>
      <c r="F578" s="4">
        <f>Thiet_ke!$B$12*(Dau_vao!$B$22*(C578/Dau_vao!$B$19)+Dau_vao!$B$23*(C578/Dau_vao!$B$19)^2-Dau_vao!$B$24*(C578/Dau_vao!$B$19)^3)</f>
        <v>110.40998309415305</v>
      </c>
      <c r="G578" s="4">
        <f>60000*F578/(2*PI()*C578)</f>
        <v>445.62031892122707</v>
      </c>
      <c r="H578" s="4">
        <f>G578*Thiet_ke!$B$15*B578*Dau_vao!$B$10/Thiet_ke!$B$7</f>
        <v>9743.778046985548</v>
      </c>
      <c r="I578" s="4">
        <f>IF(D578&lt;=Dau_vao!$B$14,Dau_vao!$B$13,Dau_vao!$B$13*(1+D578^2/1500))</f>
        <v>0.015</v>
      </c>
      <c r="J578" s="4">
        <f>Thiet_ke!$B$8*D578^2</f>
        <v>297.48687199931413</v>
      </c>
      <c r="K578" s="4">
        <f>Thiet_ke!$B$3*I578+J578</f>
        <v>1429.0703719993144</v>
      </c>
      <c r="L578" s="4">
        <f>(H578-J578)/Thiet_ke!$B$3</f>
        <v>0.12521777458295696</v>
      </c>
      <c r="M578" s="4">
        <f>1.05+0.05*B578^2</f>
        <v>1.4000000000000001</v>
      </c>
      <c r="N578" s="4">
        <f>(MIN(H578,Thiet_ke!$B$16)-K578)/(Thiet_ke!$B$2*M578)</f>
        <v>0.7723116918991484</v>
      </c>
      <c r="O578" s="4">
        <f>IF(N578&gt;0,1/N578,"")</f>
        <v>1.294814011608391</v>
      </c>
    </row>
    <row r="579" spans="1:15">
      <c r="A579">
        <v>3</v>
      </c>
      <c r="B579" s="4">
        <f>Thiet_ke!$B$22</f>
        <v>2.6457513110645907</v>
      </c>
      <c r="C579" s="4">
        <f>Dau_vao!$B$21+(Dau_vao!$B$19-Dau_vao!$B$21)*175/200</f>
        <v>2375.0</v>
      </c>
      <c r="D579" s="4">
        <f>2*PI()*C579*Thiet_ke!$B$7/(60*Thiet_ke!$B$15*B579)</f>
        <v>10.123247177434342</v>
      </c>
      <c r="E579" s="4">
        <f>D579*3.6</f>
        <v>36.44368983876363</v>
      </c>
      <c r="F579" s="4">
        <f>Thiet_ke!$B$12*(Dau_vao!$B$22*(C579/Dau_vao!$B$19)+Dau_vao!$B$23*(C579/Dau_vao!$B$19)^2-Dau_vao!$B$24*(C579/Dau_vao!$B$19)^3)</f>
        <v>110.71029294847435</v>
      </c>
      <c r="G579" s="4">
        <f>60000*F579/(2*PI()*C579)</f>
        <v>445.1391252354063</v>
      </c>
      <c r="H579" s="4">
        <f>G579*Thiet_ke!$B$15*B579*Dau_vao!$B$10/Thiet_ke!$B$7</f>
        <v>9733.25643413899</v>
      </c>
      <c r="I579" s="4">
        <f>IF(D579&lt;=Dau_vao!$B$14,Dau_vao!$B$13,Dau_vao!$B$13*(1+D579^2/1500))</f>
        <v>0.015</v>
      </c>
      <c r="J579" s="4">
        <f>Thiet_ke!$B$8*D579^2</f>
        <v>299.75439024013974</v>
      </c>
      <c r="K579" s="4">
        <f>Thiet_ke!$B$3*I579+J579</f>
        <v>1431.33789024014</v>
      </c>
      <c r="L579" s="4">
        <f>(H579-J579)/Thiet_ke!$B$3</f>
        <v>0.12504824492269703</v>
      </c>
      <c r="M579" s="4">
        <f>1.05+0.05*B579^2</f>
        <v>1.4000000000000001</v>
      </c>
      <c r="N579" s="4">
        <f>(MIN(H579,Thiet_ke!$B$16)-K579)/(Thiet_ke!$B$2*M579)</f>
        <v>0.7711237733511841</v>
      </c>
      <c r="O579" s="4">
        <f>IF(N579&gt;0,1/N579,"")</f>
        <v>1.2968086765813942</v>
      </c>
    </row>
    <row r="580" spans="1:15">
      <c r="A580">
        <v>3</v>
      </c>
      <c r="B580" s="4">
        <f>Thiet_ke!$B$22</f>
        <v>2.6457513110645907</v>
      </c>
      <c r="C580" s="4">
        <f>Dau_vao!$B$21+(Dau_vao!$B$19-Dau_vao!$B$21)*176/200</f>
        <v>2384.0</v>
      </c>
      <c r="D580" s="4">
        <f>2*PI()*C580*Thiet_ke!$B$7/(60*Thiet_ke!$B$15*B580)</f>
        <v>10.161608956211987</v>
      </c>
      <c r="E580" s="4">
        <f>D580*3.6</f>
        <v>36.58179224236316</v>
      </c>
      <c r="F580" s="4">
        <f>Thiet_ke!$B$12*(Dau_vao!$B$22*(C580/Dau_vao!$B$19)+Dau_vao!$B$23*(C580/Dau_vao!$B$19)^2-Dau_vao!$B$24*(C580/Dau_vao!$B$19)^3)</f>
        <v>111.0071246010703</v>
      </c>
      <c r="G580" s="4">
        <f>60000*F580/(2*PI()*C580)</f>
        <v>444.64763251707075</v>
      </c>
      <c r="H580" s="4">
        <f>G580*Thiet_ke!$B$15*B580*Dau_vao!$B$10/Thiet_ke!$B$7</f>
        <v>9722.50962624934</v>
      </c>
      <c r="I580" s="4">
        <f>IF(D580&lt;=Dau_vao!$B$14,Dau_vao!$B$13,Dau_vao!$B$13*(1+D580^2/1500))</f>
        <v>0.015</v>
      </c>
      <c r="J580" s="4">
        <f>Thiet_ke!$B$8*D580^2</f>
        <v>302.0305174934805</v>
      </c>
      <c r="K580" s="4">
        <f>Thiet_ke!$B$3*I580+J580</f>
        <v>1433.6140174934808</v>
      </c>
      <c r="L580" s="4">
        <f>(H580-J580)/Thiet_ke!$B$3</f>
        <v>0.12487561601184348</v>
      </c>
      <c r="M580" s="4">
        <f>1.05+0.05*B580^2</f>
        <v>1.4000000000000001</v>
      </c>
      <c r="N580" s="4">
        <f>(MIN(H580,Thiet_ke!$B$16)-K580)/(Thiet_ke!$B$2*M580)</f>
        <v>0.7699141379115604</v>
      </c>
      <c r="O580" s="4">
        <f>IF(N580&gt;0,1/N580,"")</f>
        <v>1.29884613200189</v>
      </c>
    </row>
    <row r="581" spans="1:15">
      <c r="A581">
        <v>3</v>
      </c>
      <c r="B581" s="4">
        <f>Thiet_ke!$B$22</f>
        <v>2.6457513110645907</v>
      </c>
      <c r="C581" s="4">
        <f>Dau_vao!$B$21+(Dau_vao!$B$19-Dau_vao!$B$21)*177/200</f>
        <v>2393.0</v>
      </c>
      <c r="D581" s="4">
        <f>2*PI()*C581*Thiet_ke!$B$7/(60*Thiet_ke!$B$15*B581)</f>
        <v>10.199970734989632</v>
      </c>
      <c r="E581" s="4">
        <f>D581*3.6</f>
        <v>36.719894645962675</v>
      </c>
      <c r="F581" s="4">
        <f>Thiet_ke!$B$12*(Dau_vao!$B$22*(C581/Dau_vao!$B$19)+Dau_vao!$B$23*(C581/Dau_vao!$B$19)^2-Dau_vao!$B$24*(C581/Dau_vao!$B$19)^3)</f>
        <v>111.30044893211249</v>
      </c>
      <c r="G581" s="4">
        <f>60000*F581/(2*PI()*C581)</f>
        <v>444.14584076622066</v>
      </c>
      <c r="H581" s="4">
        <f>G581*Thiet_ke!$B$15*B581*Dau_vao!$B$10/Thiet_ke!$B$7</f>
        <v>9711.537623316606</v>
      </c>
      <c r="I581" s="4">
        <f>IF(D581&lt;=Dau_vao!$B$14,Dau_vao!$B$13,Dau_vao!$B$13*(1+D581^2/1500))</f>
        <v>0.015</v>
      </c>
      <c r="J581" s="4">
        <f>Thiet_ke!$B$8*D581^2</f>
        <v>304.3152537593365</v>
      </c>
      <c r="K581" s="4">
        <f>Thiet_ke!$B$3*I581+J581</f>
        <v>1435.8987537593366</v>
      </c>
      <c r="L581" s="4">
        <f>(H581-J581)/Thiet_ke!$B$3</f>
        <v>0.1246998878503964</v>
      </c>
      <c r="M581" s="4">
        <f>1.05+0.05*B581^2</f>
        <v>1.4000000000000001</v>
      </c>
      <c r="N581" s="4">
        <f>(MIN(H581,Thiet_ke!$B$16)-K581)/(Thiet_ke!$B$2*M581)</f>
        <v>0.7686827855802776</v>
      </c>
      <c r="O581" s="4">
        <f>IF(N581&gt;0,1/N581,"")</f>
        <v>1.300926752568163</v>
      </c>
    </row>
    <row r="582" spans="1:15">
      <c r="A582">
        <v>3</v>
      </c>
      <c r="B582" s="4">
        <f>Thiet_ke!$B$22</f>
        <v>2.6457513110645907</v>
      </c>
      <c r="C582" s="4">
        <f>Dau_vao!$B$21+(Dau_vao!$B$19-Dau_vao!$B$21)*178/200</f>
        <v>2402.0</v>
      </c>
      <c r="D582" s="4">
        <f>2*PI()*C582*Thiet_ke!$B$7/(60*Thiet_ke!$B$15*B582)</f>
        <v>10.238332513767277</v>
      </c>
      <c r="E582" s="4">
        <f>D582*3.6</f>
        <v>36.8579970495622</v>
      </c>
      <c r="F582" s="4">
        <f>Thiet_ke!$B$12*(Dau_vao!$B$22*(C582/Dau_vao!$B$19)+Dau_vao!$B$23*(C582/Dau_vao!$B$19)^2-Dau_vao!$B$24*(C582/Dau_vao!$B$19)^3)</f>
        <v>111.59023682177258</v>
      </c>
      <c r="G582" s="4">
        <f>60000*F582/(2*PI()*C582)</f>
        <v>443.63374998285605</v>
      </c>
      <c r="H582" s="4">
        <f>G582*Thiet_ke!$B$15*B582*Dau_vao!$B$10/Thiet_ke!$B$7</f>
        <v>9700.340425340779</v>
      </c>
      <c r="I582" s="4">
        <f>IF(D582&lt;=Dau_vao!$B$14,Dau_vao!$B$13,Dau_vao!$B$13*(1+D582^2/1500))</f>
        <v>0.015</v>
      </c>
      <c r="J582" s="4">
        <f>Thiet_ke!$B$8*D582^2</f>
        <v>306.60859903770773</v>
      </c>
      <c r="K582" s="4">
        <f>Thiet_ke!$B$3*I582+J582</f>
        <v>1438.192099037708</v>
      </c>
      <c r="L582" s="4">
        <f>(H582-J582)/Thiet_ke!$B$3</f>
        <v>0.12452106043835569</v>
      </c>
      <c r="M582" s="4">
        <f>1.05+0.05*B582^2</f>
        <v>1.4000000000000001</v>
      </c>
      <c r="N582" s="4">
        <f>(MIN(H582,Thiet_ke!$B$16)-K582)/(Thiet_ke!$B$2*M582)</f>
        <v>0.7674297163573351</v>
      </c>
      <c r="O582" s="4">
        <f>IF(N582&gt;0,1/N582,"")</f>
        <v>1.303050922691107</v>
      </c>
    </row>
    <row r="583" spans="1:15">
      <c r="A583">
        <v>3</v>
      </c>
      <c r="B583" s="4">
        <f>Thiet_ke!$B$22</f>
        <v>2.6457513110645907</v>
      </c>
      <c r="C583" s="4">
        <f>Dau_vao!$B$21+(Dau_vao!$B$19-Dau_vao!$B$21)*179/200</f>
        <v>2411.0</v>
      </c>
      <c r="D583" s="4">
        <f>2*PI()*C583*Thiet_ke!$B$7/(60*Thiet_ke!$B$15*B583)</f>
        <v>10.276694292544924</v>
      </c>
      <c r="E583" s="4">
        <f>D583*3.6</f>
        <v>36.996099453161726</v>
      </c>
      <c r="F583" s="4">
        <f>Thiet_ke!$B$12*(Dau_vao!$B$22*(C583/Dau_vao!$B$19)+Dau_vao!$B$23*(C583/Dau_vao!$B$19)^2-Dau_vao!$B$24*(C583/Dau_vao!$B$19)^3)</f>
        <v>111.87645915022212</v>
      </c>
      <c r="G583" s="4">
        <f>60000*F583/(2*PI()*C583)</f>
        <v>443.11136016697697</v>
      </c>
      <c r="H583" s="4">
        <f>G583*Thiet_ke!$B$15*B583*Dau_vao!$B$10/Thiet_ke!$B$7</f>
        <v>9688.918032321864</v>
      </c>
      <c r="I583" s="4">
        <f>IF(D583&lt;=Dau_vao!$B$14,Dau_vao!$B$13,Dau_vao!$B$13*(1+D583^2/1500))</f>
        <v>0.015</v>
      </c>
      <c r="J583" s="4">
        <f>Thiet_ke!$B$8*D583^2</f>
        <v>308.9105533285944</v>
      </c>
      <c r="K583" s="4">
        <f>Thiet_ke!$B$3*I583+J583</f>
        <v>1440.4940533285946</v>
      </c>
      <c r="L583" s="4">
        <f>(H583-J583)/Thiet_ke!$B$3</f>
        <v>0.1243391337757214</v>
      </c>
      <c r="M583" s="4">
        <f>1.05+0.05*B583^2</f>
        <v>1.4000000000000001</v>
      </c>
      <c r="N583" s="4">
        <f>(MIN(H583,Thiet_ke!$B$16)-K583)/(Thiet_ke!$B$2*M583)</f>
        <v>0.7661549302427334</v>
      </c>
      <c r="O583" s="4">
        <f>IF(N583&gt;0,1/N583,"")</f>
        <v>1.305219036681236</v>
      </c>
    </row>
    <row r="584" spans="1:15">
      <c r="A584">
        <v>3</v>
      </c>
      <c r="B584" s="4">
        <f>Thiet_ke!$B$22</f>
        <v>2.6457513110645907</v>
      </c>
      <c r="C584" s="4">
        <f>Dau_vao!$B$21+(Dau_vao!$B$19-Dau_vao!$B$21)*180/200</f>
        <v>2420.0</v>
      </c>
      <c r="D584" s="4">
        <f>2*PI()*C584*Thiet_ke!$B$7/(60*Thiet_ke!$B$15*B584)</f>
        <v>10.315056071322571</v>
      </c>
      <c r="E584" s="4">
        <f>D584*3.6</f>
        <v>37.13420185676126</v>
      </c>
      <c r="F584" s="4">
        <f>Thiet_ke!$B$12*(Dau_vao!$B$22*(C584/Dau_vao!$B$19)+Dau_vao!$B$23*(C584/Dau_vao!$B$19)^2-Dau_vao!$B$24*(C584/Dau_vao!$B$19)^3)</f>
        <v>112.1590867976327</v>
      </c>
      <c r="G584" s="4">
        <f>60000*F584/(2*PI()*C584)</f>
        <v>442.5786713185831</v>
      </c>
      <c r="H584" s="4">
        <f>G584*Thiet_ke!$B$15*B584*Dau_vao!$B$10/Thiet_ke!$B$7</f>
        <v>9677.270444259857</v>
      </c>
      <c r="I584" s="4">
        <f>IF(D584&lt;=Dau_vao!$B$14,Dau_vao!$B$13,Dau_vao!$B$13*(1+D584^2/1500))</f>
        <v>0.015</v>
      </c>
      <c r="J584" s="4">
        <f>Thiet_ke!$B$8*D584^2</f>
        <v>311.22111663199627</v>
      </c>
      <c r="K584" s="4">
        <f>Thiet_ke!$B$3*I584+J584</f>
        <v>1442.8046166319964</v>
      </c>
      <c r="L584" s="4">
        <f>(H584-J584)/Thiet_ke!$B$3</f>
        <v>0.12415410786249349</v>
      </c>
      <c r="M584" s="4">
        <f>1.05+0.05*B584^2</f>
        <v>1.4000000000000001</v>
      </c>
      <c r="N584" s="4">
        <f>(MIN(H584,Thiet_ke!$B$16)-K584)/(Thiet_ke!$B$2*M584)</f>
        <v>0.7648584272364721</v>
      </c>
      <c r="O584" s="4">
        <f>IF(N584&gt;0,1/N584,"")</f>
        <v>1.3074314989417366</v>
      </c>
    </row>
    <row r="585" spans="1:15">
      <c r="A585">
        <v>3</v>
      </c>
      <c r="B585" s="4">
        <f>Thiet_ke!$B$22</f>
        <v>2.6457513110645907</v>
      </c>
      <c r="C585" s="4">
        <f>Dau_vao!$B$21+(Dau_vao!$B$19-Dau_vao!$B$21)*181/200</f>
        <v>2429.0</v>
      </c>
      <c r="D585" s="4">
        <f>2*PI()*C585*Thiet_ke!$B$7/(60*Thiet_ke!$B$15*B585)</f>
        <v>10.353417850100218</v>
      </c>
      <c r="E585" s="4">
        <f>D585*3.6</f>
        <v>37.272304260360784</v>
      </c>
      <c r="F585" s="4">
        <f>Thiet_ke!$B$12*(Dau_vao!$B$22*(C585/Dau_vao!$B$19)+Dau_vao!$B$23*(C585/Dau_vao!$B$19)^2-Dau_vao!$B$24*(C585/Dau_vao!$B$19)^3)</f>
        <v>112.43809064417597</v>
      </c>
      <c r="G585" s="4">
        <f>60000*F585/(2*PI()*C585)</f>
        <v>442.0356834376747</v>
      </c>
      <c r="H585" s="4">
        <f>G585*Thiet_ke!$B$15*B585*Dau_vao!$B$10/Thiet_ke!$B$7</f>
        <v>9665.397661154766</v>
      </c>
      <c r="I585" s="4">
        <f>IF(D585&lt;=Dau_vao!$B$14,Dau_vao!$B$13,Dau_vao!$B$13*(1+D585^2/1500))</f>
        <v>0.015</v>
      </c>
      <c r="J585" s="4">
        <f>Thiet_ke!$B$8*D585^2</f>
        <v>313.54028894791344</v>
      </c>
      <c r="K585" s="4">
        <f>Thiet_ke!$B$3*I585+J585</f>
        <v>1445.1237889479137</v>
      </c>
      <c r="L585" s="4">
        <f>(H585-J585)/Thiet_ke!$B$3</f>
        <v>0.12396598269867205</v>
      </c>
      <c r="M585" s="4">
        <f>1.05+0.05*B585^2</f>
        <v>1.4000000000000001</v>
      </c>
      <c r="N585" s="4">
        <f>(MIN(H585,Thiet_ke!$B$16)-K585)/(Thiet_ke!$B$2*M585)</f>
        <v>0.763540207338552</v>
      </c>
      <c r="O585" s="4">
        <f>IF(N585&gt;0,1/N585,"")</f>
        <v>1.3096887241677402</v>
      </c>
    </row>
    <row r="586" spans="1:15">
      <c r="A586">
        <v>3</v>
      </c>
      <c r="B586" s="4">
        <f>Thiet_ke!$B$22</f>
        <v>2.6457513110645907</v>
      </c>
      <c r="C586" s="4">
        <f>Dau_vao!$B$21+(Dau_vao!$B$19-Dau_vao!$B$21)*182/200</f>
        <v>2438.0</v>
      </c>
      <c r="D586" s="4">
        <f>2*PI()*C586*Thiet_ke!$B$7/(60*Thiet_ke!$B$15*B586)</f>
        <v>10.391779628877863</v>
      </c>
      <c r="E586" s="4">
        <f>D586*3.6</f>
        <v>37.41040666396031</v>
      </c>
      <c r="F586" s="4">
        <f>Thiet_ke!$B$12*(Dau_vao!$B$22*(C586/Dau_vao!$B$19)+Dau_vao!$B$23*(C586/Dau_vao!$B$19)^2-Dau_vao!$B$24*(C586/Dau_vao!$B$19)^3)</f>
        <v>112.71344157002348</v>
      </c>
      <c r="G586" s="4">
        <f>60000*F586/(2*PI()*C586)</f>
        <v>441.4823965242516</v>
      </c>
      <c r="H586" s="4">
        <f>G586*Thiet_ke!$B$15*B586*Dau_vao!$B$10/Thiet_ke!$B$7</f>
        <v>9653.299683006579</v>
      </c>
      <c r="I586" s="4">
        <f>IF(D586&lt;=Dau_vao!$B$14,Dau_vao!$B$13,Dau_vao!$B$13*(1+D586^2/1500))</f>
        <v>0.015</v>
      </c>
      <c r="J586" s="4">
        <f>Thiet_ke!$B$8*D586^2</f>
        <v>315.8680702763458</v>
      </c>
      <c r="K586" s="4">
        <f>Thiet_ke!$B$3*I586+J586</f>
        <v>1447.451570276346</v>
      </c>
      <c r="L586" s="4">
        <f>(H586-J586)/Thiet_ke!$B$3</f>
        <v>0.12377475828425696</v>
      </c>
      <c r="M586" s="4">
        <f>1.05+0.05*B586^2</f>
        <v>1.4000000000000001</v>
      </c>
      <c r="N586" s="4">
        <f>(MIN(H586,Thiet_ke!$B$16)-K586)/(Thiet_ke!$B$2*M586)</f>
        <v>0.7622002705489719</v>
      </c>
      <c r="O586" s="4">
        <f>IF(N586&gt;0,1/N586,"")</f>
        <v>1.3119911375520161</v>
      </c>
    </row>
    <row r="587" spans="1:15">
      <c r="A587">
        <v>3</v>
      </c>
      <c r="B587" s="4">
        <f>Thiet_ke!$B$22</f>
        <v>2.6457513110645907</v>
      </c>
      <c r="C587" s="4">
        <f>Dau_vao!$B$21+(Dau_vao!$B$19-Dau_vao!$B$21)*183/200</f>
        <v>2447.0</v>
      </c>
      <c r="D587" s="4">
        <f>2*PI()*C587*Thiet_ke!$B$7/(60*Thiet_ke!$B$15*B587)</f>
        <v>10.430141407655508</v>
      </c>
      <c r="E587" s="4">
        <f>D587*3.6</f>
        <v>37.548509067559834</v>
      </c>
      <c r="F587" s="4">
        <f>Thiet_ke!$B$12*(Dau_vao!$B$22*(C587/Dau_vao!$B$19)+Dau_vao!$B$23*(C587/Dau_vao!$B$19)^2-Dau_vao!$B$24*(C587/Dau_vao!$B$19)^3)</f>
        <v>112.98511045534687</v>
      </c>
      <c r="G587" s="4">
        <f>60000*F587/(2*PI()*C587)</f>
        <v>440.91881057831404</v>
      </c>
      <c r="H587" s="4">
        <f>G587*Thiet_ke!$B$15*B587*Dau_vao!$B$10/Thiet_ke!$B$7</f>
        <v>9640.976509815308</v>
      </c>
      <c r="I587" s="4">
        <f>IF(D587&lt;=Dau_vao!$B$14,Dau_vao!$B$13,Dau_vao!$B$13*(1+D587^2/1500))</f>
        <v>0.015</v>
      </c>
      <c r="J587" s="4">
        <f>Thiet_ke!$B$8*D587^2</f>
        <v>318.20446061729336</v>
      </c>
      <c r="K587" s="4">
        <f>Thiet_ke!$B$3*I587+J587</f>
        <v>1449.7879606172935</v>
      </c>
      <c r="L587" s="4">
        <f>(H587-J587)/Thiet_ke!$B$3</f>
        <v>0.12358043461924834</v>
      </c>
      <c r="M587" s="4">
        <f>1.05+0.05*B587^2</f>
        <v>1.4000000000000001</v>
      </c>
      <c r="N587" s="4">
        <f>(MIN(H587,Thiet_ke!$B$16)-K587)/(Thiet_ke!$B$2*M587)</f>
        <v>0.7608386168677329</v>
      </c>
      <c r="O587" s="4">
        <f>IF(N587&gt;0,1/N587,"")</f>
        <v>1.31433917499727</v>
      </c>
    </row>
    <row r="588" spans="1:15">
      <c r="A588">
        <v>3</v>
      </c>
      <c r="B588" s="4">
        <f>Thiet_ke!$B$22</f>
        <v>2.6457513110645907</v>
      </c>
      <c r="C588" s="4">
        <f>Dau_vao!$B$21+(Dau_vao!$B$19-Dau_vao!$B$21)*184/200</f>
        <v>2456.0</v>
      </c>
      <c r="D588" s="4">
        <f>2*PI()*C588*Thiet_ke!$B$7/(60*Thiet_ke!$B$15*B588)</f>
        <v>10.468503186433155</v>
      </c>
      <c r="E588" s="4">
        <f>D588*3.6</f>
        <v>37.68661147115936</v>
      </c>
      <c r="F588" s="4">
        <f>Thiet_ke!$B$12*(Dau_vao!$B$22*(C588/Dau_vao!$B$19)+Dau_vao!$B$23*(C588/Dau_vao!$B$19)^2-Dau_vao!$B$24*(C588/Dau_vao!$B$19)^3)</f>
        <v>113.25306818031773</v>
      </c>
      <c r="G588" s="4">
        <f>60000*F588/(2*PI()*C588)</f>
        <v>440.3449255998618</v>
      </c>
      <c r="H588" s="4">
        <f>G588*Thiet_ke!$B$15*B588*Dau_vao!$B$10/Thiet_ke!$B$7</f>
        <v>9628.428141580944</v>
      </c>
      <c r="I588" s="4">
        <f>IF(D588&lt;=Dau_vao!$B$14,Dau_vao!$B$13,Dau_vao!$B$13*(1+D588^2/1500))</f>
        <v>0.015</v>
      </c>
      <c r="J588" s="4">
        <f>Thiet_ke!$B$8*D588^2</f>
        <v>320.54945997075635</v>
      </c>
      <c r="K588" s="4">
        <f>Thiet_ke!$B$3*I588+J588</f>
        <v>1452.1329599707565</v>
      </c>
      <c r="L588" s="4">
        <f>(H588-J588)/Thiet_ke!$B$3</f>
        <v>0.12338301170364609</v>
      </c>
      <c r="M588" s="4">
        <f>1.05+0.05*B588^2</f>
        <v>1.4000000000000001</v>
      </c>
      <c r="N588" s="4">
        <f>(MIN(H588,Thiet_ke!$B$16)-K588)/(Thiet_ke!$B$2*M588)</f>
        <v>0.7594552462948342</v>
      </c>
      <c r="O588" s="4">
        <f>IF(N588&gt;0,1/N588,"")</f>
        <v>1.316733283335279</v>
      </c>
    </row>
    <row r="589" spans="1:15">
      <c r="A589">
        <v>3</v>
      </c>
      <c r="B589" s="4">
        <f>Thiet_ke!$B$22</f>
        <v>2.6457513110645907</v>
      </c>
      <c r="C589" s="4">
        <f>Dau_vao!$B$21+(Dau_vao!$B$19-Dau_vao!$B$21)*185/200</f>
        <v>2465.0</v>
      </c>
      <c r="D589" s="4">
        <f>2*PI()*C589*Thiet_ke!$B$7/(60*Thiet_ke!$B$15*B589)</f>
        <v>10.506864965210802</v>
      </c>
      <c r="E589" s="4">
        <f>D589*3.6</f>
        <v>37.82471387475889</v>
      </c>
      <c r="F589" s="4">
        <f>Thiet_ke!$B$12*(Dau_vao!$B$22*(C589/Dau_vao!$B$19)+Dau_vao!$B$23*(C589/Dau_vao!$B$19)^2-Dau_vao!$B$24*(C589/Dau_vao!$B$19)^3)</f>
        <v>113.51728562510766</v>
      </c>
      <c r="G589" s="4">
        <f>60000*F589/(2*PI()*C589)</f>
        <v>439.7607415888951</v>
      </c>
      <c r="H589" s="4">
        <f>G589*Thiet_ke!$B$15*B589*Dau_vao!$B$10/Thiet_ke!$B$7</f>
        <v>9615.654578303496</v>
      </c>
      <c r="I589" s="4">
        <f>IF(D589&lt;=Dau_vao!$B$14,Dau_vao!$B$13,Dau_vao!$B$13*(1+D589^2/1500))</f>
        <v>0.015</v>
      </c>
      <c r="J589" s="4">
        <f>Thiet_ke!$B$8*D589^2</f>
        <v>322.9030683367345</v>
      </c>
      <c r="K589" s="4">
        <f>Thiet_ke!$B$3*I589+J589</f>
        <v>1454.4865683367348</v>
      </c>
      <c r="L589" s="4">
        <f>(H589-J589)/Thiet_ke!$B$3</f>
        <v>0.12318248953745031</v>
      </c>
      <c r="M589" s="4">
        <f>1.05+0.05*B589^2</f>
        <v>1.4000000000000001</v>
      </c>
      <c r="N589" s="4">
        <f>(MIN(H589,Thiet_ke!$B$16)-K589)/(Thiet_ke!$B$2*M589)</f>
        <v>0.7580501588302767</v>
      </c>
      <c r="O589" s="4">
        <f>IF(N589&gt;0,1/N589,"")</f>
        <v>1.3191739205530522</v>
      </c>
    </row>
    <row r="590" spans="1:15">
      <c r="A590">
        <v>3</v>
      </c>
      <c r="B590" s="4">
        <f>Thiet_ke!$B$22</f>
        <v>2.6457513110645907</v>
      </c>
      <c r="C590" s="4">
        <f>Dau_vao!$B$21+(Dau_vao!$B$19-Dau_vao!$B$21)*186/200</f>
        <v>2474.0</v>
      </c>
      <c r="D590" s="4">
        <f>2*PI()*C590*Thiet_ke!$B$7/(60*Thiet_ke!$B$15*B590)</f>
        <v>10.545226743988447</v>
      </c>
      <c r="E590" s="4">
        <f>D590*3.6</f>
        <v>37.96281627835841</v>
      </c>
      <c r="F590" s="4">
        <f>Thiet_ke!$B$12*(Dau_vao!$B$22*(C590/Dau_vao!$B$19)+Dau_vao!$B$23*(C590/Dau_vao!$B$19)^2-Dau_vao!$B$24*(C590/Dau_vao!$B$19)^3)</f>
        <v>113.77773366988825</v>
      </c>
      <c r="G590" s="4">
        <f>60000*F590/(2*PI()*C590)</f>
        <v>439.1662585454136</v>
      </c>
      <c r="H590" s="4">
        <f>G590*Thiet_ke!$B$15*B590*Dau_vao!$B$10/Thiet_ke!$B$7</f>
        <v>9602.655819982954</v>
      </c>
      <c r="I590" s="4">
        <f>IF(D590&lt;=Dau_vao!$B$14,Dau_vao!$B$13,Dau_vao!$B$13*(1+D590^2/1500))</f>
        <v>0.015</v>
      </c>
      <c r="J590" s="4">
        <f>Thiet_ke!$B$8*D590^2</f>
        <v>325.26528571522795</v>
      </c>
      <c r="K590" s="4">
        <f>Thiet_ke!$B$3*I590+J590</f>
        <v>1456.8487857152281</v>
      </c>
      <c r="L590" s="4">
        <f>(H590-J590)/Thiet_ke!$B$3</f>
        <v>0.12297886812066089</v>
      </c>
      <c r="M590" s="4">
        <f>1.05+0.05*B590^2</f>
        <v>1.4000000000000001</v>
      </c>
      <c r="N590" s="4">
        <f>(MIN(H590,Thiet_ke!$B$16)-K590)/(Thiet_ke!$B$2*M590)</f>
        <v>0.7566233544740595</v>
      </c>
      <c r="O590" s="4">
        <f>IF(N590&gt;0,1/N590,"")</f>
        <v>1.321661556026268</v>
      </c>
    </row>
    <row r="591" spans="1:15">
      <c r="A591">
        <v>3</v>
      </c>
      <c r="B591" s="4">
        <f>Thiet_ke!$B$22</f>
        <v>2.6457513110645907</v>
      </c>
      <c r="C591" s="4">
        <f>Dau_vao!$B$21+(Dau_vao!$B$19-Dau_vao!$B$21)*187/200</f>
        <v>2483.0</v>
      </c>
      <c r="D591" s="4">
        <f>2*PI()*C591*Thiet_ke!$B$7/(60*Thiet_ke!$B$15*B591)</f>
        <v>10.583588522766092</v>
      </c>
      <c r="E591" s="4">
        <f>D591*3.6</f>
        <v>38.100918681957936</v>
      </c>
      <c r="F591" s="4">
        <f>Thiet_ke!$B$12*(Dau_vao!$B$22*(C591/Dau_vao!$B$19)+Dau_vao!$B$23*(C591/Dau_vao!$B$19)^2-Dau_vao!$B$24*(C591/Dau_vao!$B$19)^3)</f>
        <v>114.03438319483111</v>
      </c>
      <c r="G591" s="4">
        <f>60000*F591/(2*PI()*C591)</f>
        <v>438.56147646941764</v>
      </c>
      <c r="H591" s="4">
        <f>G591*Thiet_ke!$B$15*B591*Dau_vao!$B$10/Thiet_ke!$B$7</f>
        <v>9589.431866619323</v>
      </c>
      <c r="I591" s="4">
        <f>IF(D591&lt;=Dau_vao!$B$14,Dau_vao!$B$13,Dau_vao!$B$13*(1+D591^2/1500))</f>
        <v>0.015</v>
      </c>
      <c r="J591" s="4">
        <f>Thiet_ke!$B$8*D591^2</f>
        <v>327.63611210623657</v>
      </c>
      <c r="K591" s="4">
        <f>Thiet_ke!$B$3*I591+J591</f>
        <v>1459.2196121062368</v>
      </c>
      <c r="L591" s="4">
        <f>(H591-J591)/Thiet_ke!$B$3</f>
        <v>0.12277214745327789</v>
      </c>
      <c r="M591" s="4">
        <f>1.05+0.05*B591^2</f>
        <v>1.4000000000000001</v>
      </c>
      <c r="N591" s="4">
        <f>(MIN(H591,Thiet_ke!$B$16)-K591)/(Thiet_ke!$B$2*M591)</f>
        <v>0.7551748332261828</v>
      </c>
      <c r="O591" s="4">
        <f>IF(N591&gt;0,1/N591,"")</f>
        <v>1.3241966707601993</v>
      </c>
    </row>
    <row r="592" spans="1:15">
      <c r="A592">
        <v>3</v>
      </c>
      <c r="B592" s="4">
        <f>Thiet_ke!$B$22</f>
        <v>2.6457513110645907</v>
      </c>
      <c r="C592" s="4">
        <f>Dau_vao!$B$21+(Dau_vao!$B$19-Dau_vao!$B$21)*188/200</f>
        <v>2492.0</v>
      </c>
      <c r="D592" s="4">
        <f>2*PI()*C592*Thiet_ke!$B$7/(60*Thiet_ke!$B$15*B592)</f>
        <v>10.621950301543738</v>
      </c>
      <c r="E592" s="4">
        <f>D592*3.6</f>
        <v>38.239021085557454</v>
      </c>
      <c r="F592" s="4">
        <f>Thiet_ke!$B$12*(Dau_vao!$B$22*(C592/Dau_vao!$B$19)+Dau_vao!$B$23*(C592/Dau_vao!$B$19)^2-Dau_vao!$B$24*(C592/Dau_vao!$B$19)^3)</f>
        <v>114.28720508010785</v>
      </c>
      <c r="G592" s="4">
        <f>60000*F592/(2*PI()*C592)</f>
        <v>437.94639536090705</v>
      </c>
      <c r="H592" s="4">
        <f>G592*Thiet_ke!$B$15*B592*Dau_vao!$B$10/Thiet_ke!$B$7</f>
        <v>9575.982718212605</v>
      </c>
      <c r="I592" s="4">
        <f>IF(D592&lt;=Dau_vao!$B$14,Dau_vao!$B$13,Dau_vao!$B$13*(1+D592^2/1500))</f>
        <v>0.015</v>
      </c>
      <c r="J592" s="4">
        <f>Thiet_ke!$B$8*D592^2</f>
        <v>330.01554750976044</v>
      </c>
      <c r="K592" s="4">
        <f>Thiet_ke!$B$3*I592+J592</f>
        <v>1461.5990475097606</v>
      </c>
      <c r="L592" s="4">
        <f>(H592-J592)/Thiet_ke!$B$3</f>
        <v>0.12256232753530133</v>
      </c>
      <c r="M592" s="4">
        <f>1.05+0.05*B592^2</f>
        <v>1.4000000000000001</v>
      </c>
      <c r="N592" s="4">
        <f>(MIN(H592,Thiet_ke!$B$16)-K592)/(Thiet_ke!$B$2*M592)</f>
        <v>0.7537045950866471</v>
      </c>
      <c r="O592" s="4">
        <f>IF(N592&gt;0,1/N592,"")</f>
        <v>1.3267797576383866</v>
      </c>
    </row>
    <row r="593" spans="1:15">
      <c r="A593">
        <v>3</v>
      </c>
      <c r="B593" s="4">
        <f>Thiet_ke!$B$22</f>
        <v>2.6457513110645907</v>
      </c>
      <c r="C593" s="4">
        <f>Dau_vao!$B$21+(Dau_vao!$B$19-Dau_vao!$B$21)*189/200</f>
        <v>2501.0</v>
      </c>
      <c r="D593" s="4">
        <f>2*PI()*C593*Thiet_ke!$B$7/(60*Thiet_ke!$B$15*B593)</f>
        <v>10.660312080321383</v>
      </c>
      <c r="E593" s="4">
        <f>D593*3.6</f>
        <v>38.37712348915698</v>
      </c>
      <c r="F593" s="4">
        <f>Thiet_ke!$B$12*(Dau_vao!$B$22*(C593/Dau_vao!$B$19)+Dau_vao!$B$23*(C593/Dau_vao!$B$19)^2-Dau_vao!$B$24*(C593/Dau_vao!$B$19)^3)</f>
        <v>114.5361702058901</v>
      </c>
      <c r="G593" s="4">
        <f>60000*F593/(2*PI()*C593)</f>
        <v>437.32101521988193</v>
      </c>
      <c r="H593" s="4">
        <f>G593*Thiet_ke!$B$15*B593*Dau_vao!$B$10/Thiet_ke!$B$7</f>
        <v>9562.308374762797</v>
      </c>
      <c r="I593" s="4">
        <f>IF(D593&lt;=Dau_vao!$B$14,Dau_vao!$B$13,Dau_vao!$B$13*(1+D593^2/1500))</f>
        <v>0.015</v>
      </c>
      <c r="J593" s="4">
        <f>Thiet_ke!$B$8*D593^2</f>
        <v>332.4035919257996</v>
      </c>
      <c r="K593" s="4">
        <f>Thiet_ke!$B$3*I593+J593</f>
        <v>1463.9870919257999</v>
      </c>
      <c r="L593" s="4">
        <f>(H593-J593)/Thiet_ke!$B$3</f>
        <v>0.12234940836673117</v>
      </c>
      <c r="M593" s="4">
        <f>1.05+0.05*B593^2</f>
        <v>1.4000000000000001</v>
      </c>
      <c r="N593" s="4">
        <f>(MIN(H593,Thiet_ke!$B$16)-K593)/(Thiet_ke!$B$2*M593)</f>
        <v>0.752212640055452</v>
      </c>
      <c r="O593" s="4">
        <f>IF(N593&gt;0,1/N593,"")</f>
        <v>1.329411321679308</v>
      </c>
    </row>
    <row r="594" spans="1:15">
      <c r="A594">
        <v>3</v>
      </c>
      <c r="B594" s="4">
        <f>Thiet_ke!$B$22</f>
        <v>2.6457513110645907</v>
      </c>
      <c r="C594" s="4">
        <f>Dau_vao!$B$21+(Dau_vao!$B$19-Dau_vao!$B$21)*190/200</f>
        <v>2510.0</v>
      </c>
      <c r="D594" s="4">
        <f>2*PI()*C594*Thiet_ke!$B$7/(60*Thiet_ke!$B$15*B594)</f>
        <v>10.69867385909903</v>
      </c>
      <c r="E594" s="4">
        <f>D594*3.6</f>
        <v>38.515225892756504</v>
      </c>
      <c r="F594" s="4">
        <f>Thiet_ke!$B$12*(Dau_vao!$B$22*(C594/Dau_vao!$B$19)+Dau_vao!$B$23*(C594/Dau_vao!$B$19)^2-Dau_vao!$B$24*(C594/Dau_vao!$B$19)^3)</f>
        <v>114.78124945234941</v>
      </c>
      <c r="G594" s="4">
        <f>60000*F594/(2*PI()*C594)</f>
        <v>436.6853360463422</v>
      </c>
      <c r="H594" s="4">
        <f>G594*Thiet_ke!$B$15*B594*Dau_vao!$B$10/Thiet_ke!$B$7</f>
        <v>9548.4088362699</v>
      </c>
      <c r="I594" s="4">
        <f>IF(D594&lt;=Dau_vao!$B$14,Dau_vao!$B$13,Dau_vao!$B$13*(1+D594^2/1500))</f>
        <v>0.015</v>
      </c>
      <c r="J594" s="4">
        <f>Thiet_ke!$B$8*D594^2</f>
        <v>334.8002453543541</v>
      </c>
      <c r="K594" s="4">
        <f>Thiet_ke!$B$3*I594+J594</f>
        <v>1466.3837453543542</v>
      </c>
      <c r="L594" s="4">
        <f>(H594-J594)/Thiet_ke!$B$3</f>
        <v>0.12213338994756744</v>
      </c>
      <c r="M594" s="4">
        <f>1.05+0.05*B594^2</f>
        <v>1.4000000000000001</v>
      </c>
      <c r="N594" s="4">
        <f>(MIN(H594,Thiet_ke!$B$16)-K594)/(Thiet_ke!$B$2*M594)</f>
        <v>0.7506989681325975</v>
      </c>
      <c r="O594" s="4">
        <f>IF(N594&gt;0,1/N594,"")</f>
        <v>1.3320918803013033</v>
      </c>
    </row>
    <row r="595" spans="1:15">
      <c r="A595">
        <v>3</v>
      </c>
      <c r="B595" s="4">
        <f>Thiet_ke!$B$22</f>
        <v>2.6457513110645907</v>
      </c>
      <c r="C595" s="4">
        <f>Dau_vao!$B$21+(Dau_vao!$B$19-Dau_vao!$B$21)*191/200</f>
        <v>2519.0</v>
      </c>
      <c r="D595" s="4">
        <f>2*PI()*C595*Thiet_ke!$B$7/(60*Thiet_ke!$B$15*B595)</f>
        <v>10.737035637876676</v>
      </c>
      <c r="E595" s="4">
        <f>D595*3.6</f>
        <v>38.65332829635604</v>
      </c>
      <c r="F595" s="4">
        <f>Thiet_ke!$B$12*(Dau_vao!$B$22*(C595/Dau_vao!$B$19)+Dau_vao!$B$23*(C595/Dau_vao!$B$19)^2-Dau_vao!$B$24*(C595/Dau_vao!$B$19)^3)</f>
        <v>115.02241369965739</v>
      </c>
      <c r="G595" s="4">
        <f>60000*F595/(2*PI()*C595)</f>
        <v>436.03935784028783</v>
      </c>
      <c r="H595" s="4">
        <f>G595*Thiet_ke!$B$15*B595*Dau_vao!$B$10/Thiet_ke!$B$7</f>
        <v>9534.284102733916</v>
      </c>
      <c r="I595" s="4">
        <f>IF(D595&lt;=Dau_vao!$B$14,Dau_vao!$B$13,Dau_vao!$B$13*(1+D595^2/1500))</f>
        <v>0.015</v>
      </c>
      <c r="J595" s="4">
        <f>Thiet_ke!$B$8*D595^2</f>
        <v>337.2055077954239</v>
      </c>
      <c r="K595" s="4">
        <f>Thiet_ke!$B$3*I595+J595</f>
        <v>1468.7890077954241</v>
      </c>
      <c r="L595" s="4">
        <f>(H595-J595)/Thiet_ke!$B$3</f>
        <v>0.12191427227781013</v>
      </c>
      <c r="M595" s="4">
        <f>1.05+0.05*B595^2</f>
        <v>1.4000000000000001</v>
      </c>
      <c r="N595" s="4">
        <f>(MIN(H595,Thiet_ke!$B$16)-K595)/(Thiet_ke!$B$2*M595)</f>
        <v>0.7491635793180839</v>
      </c>
      <c r="O595" s="4">
        <f>IF(N595&gt;0,1/N595,"")</f>
        <v>1.3348219635960368</v>
      </c>
    </row>
    <row r="596" spans="1:15">
      <c r="A596">
        <v>3</v>
      </c>
      <c r="B596" s="4">
        <f>Thiet_ke!$B$22</f>
        <v>2.6457513110645907</v>
      </c>
      <c r="C596" s="4">
        <f>Dau_vao!$B$21+(Dau_vao!$B$19-Dau_vao!$B$21)*192/200</f>
        <v>2528.0</v>
      </c>
      <c r="D596" s="4">
        <f>2*PI()*C596*Thiet_ke!$B$7/(60*Thiet_ke!$B$15*B596)</f>
        <v>10.775397416654323</v>
      </c>
      <c r="E596" s="4">
        <f>D596*3.6</f>
        <v>38.79143069995556</v>
      </c>
      <c r="F596" s="4">
        <f>Thiet_ke!$B$12*(Dau_vao!$B$22*(C596/Dau_vao!$B$19)+Dau_vao!$B$23*(C596/Dau_vao!$B$19)^2-Dau_vao!$B$24*(C596/Dau_vao!$B$19)^3)</f>
        <v>115.25963382798565</v>
      </c>
      <c r="G596" s="4">
        <f>60000*F596/(2*PI()*C596)</f>
        <v>435.3830806017188</v>
      </c>
      <c r="H596" s="4">
        <f>G596*Thiet_ke!$B$15*B596*Dau_vao!$B$10/Thiet_ke!$B$7</f>
        <v>9519.934174154836</v>
      </c>
      <c r="I596" s="4">
        <f>IF(D596&lt;=Dau_vao!$B$14,Dau_vao!$B$13,Dau_vao!$B$13*(1+D596^2/1500))</f>
        <v>0.015</v>
      </c>
      <c r="J596" s="4">
        <f>Thiet_ke!$B$8*D596^2</f>
        <v>339.61937924900894</v>
      </c>
      <c r="K596" s="4">
        <f>Thiet_ke!$B$3*I596+J596</f>
        <v>1471.2028792490091</v>
      </c>
      <c r="L596" s="4">
        <f>(H596-J596)/Thiet_ke!$B$3</f>
        <v>0.12169205535745917</v>
      </c>
      <c r="M596" s="4">
        <f>1.05+0.05*B596^2</f>
        <v>1.4000000000000001</v>
      </c>
      <c r="N596" s="4">
        <f>(MIN(H596,Thiet_ke!$B$16)-K596)/(Thiet_ke!$B$2*M596)</f>
        <v>0.7476064736119102</v>
      </c>
      <c r="O596" s="4">
        <f>IF(N596&gt;0,1/N596,"")</f>
        <v>1.3376021146107808</v>
      </c>
    </row>
    <row r="597" spans="1:15">
      <c r="A597">
        <v>3</v>
      </c>
      <c r="B597" s="4">
        <f>Thiet_ke!$B$22</f>
        <v>2.6457513110645907</v>
      </c>
      <c r="C597" s="4">
        <f>Dau_vao!$B$21+(Dau_vao!$B$19-Dau_vao!$B$21)*193/200</f>
        <v>2537.0</v>
      </c>
      <c r="D597" s="4">
        <f>2*PI()*C597*Thiet_ke!$B$7/(60*Thiet_ke!$B$15*B597)</f>
        <v>10.813759195431967</v>
      </c>
      <c r="E597" s="4">
        <f>D597*3.6</f>
        <v>38.92953310355508</v>
      </c>
      <c r="F597" s="4">
        <f>Thiet_ke!$B$12*(Dau_vao!$B$22*(C597/Dau_vao!$B$19)+Dau_vao!$B$23*(C597/Dau_vao!$B$19)^2-Dau_vao!$B$24*(C597/Dau_vao!$B$19)^3)</f>
        <v>115.49288071750577</v>
      </c>
      <c r="G597" s="4">
        <f>60000*F597/(2*PI()*C597)</f>
        <v>434.71650433063513</v>
      </c>
      <c r="H597" s="4">
        <f>G597*Thiet_ke!$B$15*B597*Dau_vao!$B$10/Thiet_ke!$B$7</f>
        <v>9505.35905053267</v>
      </c>
      <c r="I597" s="4">
        <f>IF(D597&lt;=Dau_vao!$B$14,Dau_vao!$B$13,Dau_vao!$B$13*(1+D597^2/1500))</f>
        <v>0.015</v>
      </c>
      <c r="J597" s="4">
        <f>Thiet_ke!$B$8*D597^2</f>
        <v>342.04185971510907</v>
      </c>
      <c r="K597" s="4">
        <f>Thiet_ke!$B$3*I597+J597</f>
        <v>1473.6253597151092</v>
      </c>
      <c r="L597" s="4">
        <f>(H597-J597)/Thiet_ke!$B$3</f>
        <v>0.12146673918651464</v>
      </c>
      <c r="M597" s="4">
        <f>1.05+0.05*B597^2</f>
        <v>1.4000000000000001</v>
      </c>
      <c r="N597" s="4">
        <f>(MIN(H597,Thiet_ke!$B$16)-K597)/(Thiet_ke!$B$2*M597)</f>
        <v>0.7460276510140776</v>
      </c>
      <c r="O597" s="4">
        <f>IF(N597&gt;0,1/N597,"")</f>
        <v>1.3404328896398103</v>
      </c>
    </row>
    <row r="598" spans="1:15">
      <c r="A598">
        <v>3</v>
      </c>
      <c r="B598" s="4">
        <f>Thiet_ke!$B$22</f>
        <v>2.6457513110645907</v>
      </c>
      <c r="C598" s="4">
        <f>Dau_vao!$B$21+(Dau_vao!$B$19-Dau_vao!$B$21)*194/200</f>
        <v>2546.0</v>
      </c>
      <c r="D598" s="4">
        <f>2*PI()*C598*Thiet_ke!$B$7/(60*Thiet_ke!$B$15*B598)</f>
        <v>10.852120974209614</v>
      </c>
      <c r="E598" s="4">
        <f>D598*3.6</f>
        <v>39.06763550715461</v>
      </c>
      <c r="F598" s="4">
        <f>Thiet_ke!$B$12*(Dau_vao!$B$22*(C598/Dau_vao!$B$19)+Dau_vao!$B$23*(C598/Dau_vao!$B$19)^2-Dau_vao!$B$24*(C598/Dau_vao!$B$19)^3)</f>
        <v>115.72212524838945</v>
      </c>
      <c r="G598" s="4">
        <f>60000*F598/(2*PI()*C598)</f>
        <v>434.0396290270371</v>
      </c>
      <c r="H598" s="4">
        <f>G598*Thiet_ke!$B$15*B598*Dau_vao!$B$10/Thiet_ke!$B$7</f>
        <v>9490.558731867417</v>
      </c>
      <c r="I598" s="4">
        <f>IF(D598&lt;=Dau_vao!$B$14,Dau_vao!$B$13,Dau_vao!$B$13*(1+D598^2/1500))</f>
        <v>0.015</v>
      </c>
      <c r="J598" s="4">
        <f>Thiet_ke!$B$8*D598^2</f>
        <v>344.4729491937247</v>
      </c>
      <c r="K598" s="4">
        <f>Thiet_ke!$B$3*I598+J598</f>
        <v>1476.0564491937248</v>
      </c>
      <c r="L598" s="4">
        <f>(H598-J598)/Thiet_ke!$B$3</f>
        <v>0.12123832376497656</v>
      </c>
      <c r="M598" s="4">
        <f>1.05+0.05*B598^2</f>
        <v>1.4000000000000001</v>
      </c>
      <c r="N598" s="4">
        <f>(MIN(H598,Thiet_ke!$B$16)-K598)/(Thiet_ke!$B$2*M598)</f>
        <v>0.7444271115245858</v>
      </c>
      <c r="O598" s="4">
        <f>IF(N598&gt;0,1/N598,"")</f>
        <v>1.3433148585252372</v>
      </c>
    </row>
    <row r="599" spans="1:15">
      <c r="A599">
        <v>3</v>
      </c>
      <c r="B599" s="4">
        <f>Thiet_ke!$B$22</f>
        <v>2.6457513110645907</v>
      </c>
      <c r="C599" s="4">
        <f>Dau_vao!$B$21+(Dau_vao!$B$19-Dau_vao!$B$21)*195/200</f>
        <v>2555.0</v>
      </c>
      <c r="D599" s="4">
        <f>2*PI()*C599*Thiet_ke!$B$7/(60*Thiet_ke!$B$15*B599)</f>
        <v>10.89048275298726</v>
      </c>
      <c r="E599" s="4">
        <f>D599*3.6</f>
        <v>39.20573791075414</v>
      </c>
      <c r="F599" s="4">
        <f>Thiet_ke!$B$12*(Dau_vao!$B$22*(C599/Dau_vao!$B$19)+Dau_vao!$B$23*(C599/Dau_vao!$B$19)^2-Dau_vao!$B$24*(C599/Dau_vao!$B$19)^3)</f>
        <v>115.94733830080816</v>
      </c>
      <c r="G599" s="4">
        <f>60000*F599/(2*PI()*C599)</f>
        <v>433.3524546909243</v>
      </c>
      <c r="H599" s="4">
        <f>G599*Thiet_ke!$B$15*B599*Dau_vao!$B$10/Thiet_ke!$B$7</f>
        <v>9475.533218159075</v>
      </c>
      <c r="I599" s="4">
        <f>IF(D599&lt;=Dau_vao!$B$14,Dau_vao!$B$13,Dau_vao!$B$13*(1+D599^2/1500))</f>
        <v>0.015</v>
      </c>
      <c r="J599" s="4">
        <f>Thiet_ke!$B$8*D599^2</f>
        <v>346.9126476848555</v>
      </c>
      <c r="K599" s="4">
        <f>Thiet_ke!$B$3*I599+J599</f>
        <v>1478.4961476848557</v>
      </c>
      <c r="L599" s="4">
        <f>(H599-J599)/Thiet_ke!$B$3</f>
        <v>0.1210068090928449</v>
      </c>
      <c r="M599" s="4">
        <f>1.05+0.05*B599^2</f>
        <v>1.4000000000000001</v>
      </c>
      <c r="N599" s="4">
        <f>(MIN(H599,Thiet_ke!$B$16)-K599)/(Thiet_ke!$B$2*M599)</f>
        <v>0.7428048551434346</v>
      </c>
      <c r="O599" s="4">
        <f>IF(N599&gt;0,1/N599,"")</f>
        <v>1.3462486049675877</v>
      </c>
    </row>
    <row r="600" spans="1:15">
      <c r="A600">
        <v>3</v>
      </c>
      <c r="B600" s="4">
        <f>Thiet_ke!$B$22</f>
        <v>2.6457513110645907</v>
      </c>
      <c r="C600" s="4">
        <f>Dau_vao!$B$21+(Dau_vao!$B$19-Dau_vao!$B$21)*196/200</f>
        <v>2564.0</v>
      </c>
      <c r="D600" s="4">
        <f>2*PI()*C600*Thiet_ke!$B$7/(60*Thiet_ke!$B$15*B600)</f>
        <v>10.928844531764907</v>
      </c>
      <c r="E600" s="4">
        <f>D600*3.6</f>
        <v>39.34384031435367</v>
      </c>
      <c r="F600" s="4">
        <f>Thiet_ke!$B$12*(Dau_vao!$B$22*(C600/Dau_vao!$B$19)+Dau_vao!$B$23*(C600/Dau_vao!$B$19)^2-Dau_vao!$B$24*(C600/Dau_vao!$B$19)^3)</f>
        <v>116.16849075493356</v>
      </c>
      <c r="G600" s="4">
        <f>60000*F600/(2*PI()*C600)</f>
        <v>432.654981322297</v>
      </c>
      <c r="H600" s="4">
        <f>G600*Thiet_ke!$B$15*B600*Dau_vao!$B$10/Thiet_ke!$B$7</f>
        <v>9460.282509407642</v>
      </c>
      <c r="I600" s="4">
        <f>IF(D600&lt;=Dau_vao!$B$14,Dau_vao!$B$13,Dau_vao!$B$13*(1+D600^2/1500))</f>
        <v>0.015</v>
      </c>
      <c r="J600" s="4">
        <f>Thiet_ke!$B$8*D600^2</f>
        <v>349.3609551885016</v>
      </c>
      <c r="K600" s="4">
        <f>Thiet_ke!$B$3*I600+J600</f>
        <v>1480.9444551885017</v>
      </c>
      <c r="L600" s="4">
        <f>(H600-J600)/Thiet_ke!$B$3</f>
        <v>0.12077219517011964</v>
      </c>
      <c r="M600" s="4">
        <f>1.05+0.05*B600^2</f>
        <v>1.4000000000000001</v>
      </c>
      <c r="N600" s="4">
        <f>(MIN(H600,Thiet_ke!$B$16)-K600)/(Thiet_ke!$B$2*M600)</f>
        <v>0.741160881870624</v>
      </c>
      <c r="O600" s="4">
        <f>IF(N600&gt;0,1/N600,"")</f>
        <v>1.3492347268464697</v>
      </c>
    </row>
    <row r="601" spans="1:15">
      <c r="A601">
        <v>3</v>
      </c>
      <c r="B601" s="4">
        <f>Thiet_ke!$B$22</f>
        <v>2.6457513110645907</v>
      </c>
      <c r="C601" s="4">
        <f>Dau_vao!$B$21+(Dau_vao!$B$19-Dau_vao!$B$21)*197/200</f>
        <v>2573.0</v>
      </c>
      <c r="D601" s="4">
        <f>2*PI()*C601*Thiet_ke!$B$7/(60*Thiet_ke!$B$15*B601)</f>
        <v>10.967206310542553</v>
      </c>
      <c r="E601" s="4">
        <f>D601*3.6</f>
        <v>39.48194271795319</v>
      </c>
      <c r="F601" s="4">
        <f>Thiet_ke!$B$12*(Dau_vao!$B$22*(C601/Dau_vao!$B$19)+Dau_vao!$B$23*(C601/Dau_vao!$B$19)^2-Dau_vao!$B$24*(C601/Dau_vao!$B$19)^3)</f>
        <v>116.38555349093728</v>
      </c>
      <c r="G601" s="4">
        <f>60000*F601/(2*PI()*C601)</f>
        <v>431.94720892115504</v>
      </c>
      <c r="H601" s="4">
        <f>G601*Thiet_ke!$B$15*B601*Dau_vao!$B$10/Thiet_ke!$B$7</f>
        <v>9444.80660561312</v>
      </c>
      <c r="I601" s="4">
        <f>IF(D601&lt;=Dau_vao!$B$14,Dau_vao!$B$13,Dau_vao!$B$13*(1+D601^2/1500))</f>
        <v>0.015</v>
      </c>
      <c r="J601" s="4">
        <f>Thiet_ke!$B$8*D601^2</f>
        <v>351.8178717046629</v>
      </c>
      <c r="K601" s="4">
        <f>Thiet_ke!$B$3*I601+J601</f>
        <v>1483.401371704663</v>
      </c>
      <c r="L601" s="4">
        <f>(H601-J601)/Thiet_ke!$B$3</f>
        <v>0.1205344819968008</v>
      </c>
      <c r="M601" s="4">
        <f>1.05+0.05*B601^2</f>
        <v>1.4000000000000001</v>
      </c>
      <c r="N601" s="4">
        <f>(MIN(H601,Thiet_ke!$B$16)-K601)/(Thiet_ke!$B$2*M601)</f>
        <v>0.7394951917061541</v>
      </c>
      <c r="O601" s="4">
        <f>IF(N601&gt;0,1/N601,"")</f>
        <v>1.3522738365516787</v>
      </c>
    </row>
    <row r="602" spans="1:15">
      <c r="A602">
        <v>3</v>
      </c>
      <c r="B602" s="4">
        <f>Thiet_ke!$B$22</f>
        <v>2.6457513110645907</v>
      </c>
      <c r="C602" s="4">
        <f>Dau_vao!$B$21+(Dau_vao!$B$19-Dau_vao!$B$21)*198/200</f>
        <v>2582.0</v>
      </c>
      <c r="D602" s="4">
        <f>2*PI()*C602*Thiet_ke!$B$7/(60*Thiet_ke!$B$15*B602)</f>
        <v>11.005568089320198</v>
      </c>
      <c r="E602" s="4">
        <f>D602*3.6</f>
        <v>39.620045121552714</v>
      </c>
      <c r="F602" s="4">
        <f>Thiet_ke!$B$12*(Dau_vao!$B$22*(C602/Dau_vao!$B$19)+Dau_vao!$B$23*(C602/Dau_vao!$B$19)^2-Dau_vao!$B$24*(C602/Dau_vao!$B$19)^3)</f>
        <v>116.59849738899089</v>
      </c>
      <c r="G602" s="4">
        <f>60000*F602/(2*PI()*C602)</f>
        <v>431.2291374874985</v>
      </c>
      <c r="H602" s="4">
        <f>G602*Thiet_ke!$B$15*B602*Dau_vao!$B$10/Thiet_ke!$B$7</f>
        <v>9429.10550677551</v>
      </c>
      <c r="I602" s="4">
        <f>IF(D602&lt;=Dau_vao!$B$14,Dau_vao!$B$13,Dau_vao!$B$13*(1+D602^2/1500))</f>
        <v>0.015</v>
      </c>
      <c r="J602" s="4">
        <f>Thiet_ke!$B$8*D602^2</f>
        <v>354.28339723333943</v>
      </c>
      <c r="K602" s="4">
        <f>Thiet_ke!$B$3*I602+J602</f>
        <v>1485.8668972333396</v>
      </c>
      <c r="L602" s="4">
        <f>(H602-J602)/Thiet_ke!$B$3</f>
        <v>0.12029366957288838</v>
      </c>
      <c r="M602" s="4">
        <f>1.05+0.05*B602^2</f>
        <v>1.4000000000000001</v>
      </c>
      <c r="N602" s="4">
        <f>(MIN(H602,Thiet_ke!$B$16)-K602)/(Thiet_ke!$B$2*M602)</f>
        <v>0.737807784650025</v>
      </c>
      <c r="O602" s="4">
        <f>IF(N602&gt;0,1/N602,"")</f>
        <v>1.3553665613251078</v>
      </c>
    </row>
    <row r="603" spans="1:15">
      <c r="A603">
        <v>3</v>
      </c>
      <c r="B603" s="4">
        <f>Thiet_ke!$B$22</f>
        <v>2.6457513110645907</v>
      </c>
      <c r="C603" s="4">
        <f>Dau_vao!$B$21+(Dau_vao!$B$19-Dau_vao!$B$21)*199/200</f>
        <v>2591.0</v>
      </c>
      <c r="D603" s="4">
        <f>2*PI()*C603*Thiet_ke!$B$7/(60*Thiet_ke!$B$15*B603)</f>
        <v>11.043929868097843</v>
      </c>
      <c r="E603" s="4">
        <f>D603*3.6</f>
        <v>39.75814752515223</v>
      </c>
      <c r="F603" s="4">
        <f>Thiet_ke!$B$12*(Dau_vao!$B$22*(C603/Dau_vao!$B$19)+Dau_vao!$B$23*(C603/Dau_vao!$B$19)^2-Dau_vao!$B$24*(C603/Dau_vao!$B$19)^3)</f>
        <v>116.80729332926596</v>
      </c>
      <c r="G603" s="4">
        <f>60000*F603/(2*PI()*C603)</f>
        <v>430.5007670213273</v>
      </c>
      <c r="H603" s="4">
        <f>G603*Thiet_ke!$B$15*B603*Dau_vao!$B$10/Thiet_ke!$B$7</f>
        <v>9413.179212894807</v>
      </c>
      <c r="I603" s="4">
        <f>IF(D603&lt;=Dau_vao!$B$14,Dau_vao!$B$13,Dau_vao!$B$13*(1+D603^2/1500))</f>
        <v>0.015</v>
      </c>
      <c r="J603" s="4">
        <f>Thiet_ke!$B$8*D603^2</f>
        <v>356.7575317745312</v>
      </c>
      <c r="K603" s="4">
        <f>Thiet_ke!$B$3*I603+J603</f>
        <v>1488.3410317745313</v>
      </c>
      <c r="L603" s="4">
        <f>(H603-J603)/Thiet_ke!$B$3</f>
        <v>0.12004975789838235</v>
      </c>
      <c r="M603" s="4">
        <f>1.05+0.05*B603^2</f>
        <v>1.4000000000000001</v>
      </c>
      <c r="N603" s="4">
        <f>(MIN(H603,Thiet_ke!$B$16)-K603)/(Thiet_ke!$B$2*M603)</f>
        <v>0.7360986607022362</v>
      </c>
      <c r="O603" s="4">
        <f>IF(N603&gt;0,1/N603,"")</f>
        <v>1.3585135436138447</v>
      </c>
    </row>
    <row r="604" spans="1:15">
      <c r="A604">
        <v>3</v>
      </c>
      <c r="B604" s="4">
        <f>Thiet_ke!$B$22</f>
        <v>2.6457513110645907</v>
      </c>
      <c r="C604" s="4">
        <f>Dau_vao!$B$21+(Dau_vao!$B$19-Dau_vao!$B$21)*200/200</f>
        <v>2600.0</v>
      </c>
      <c r="D604" s="4">
        <f>2*PI()*C604*Thiet_ke!$B$7/(60*Thiet_ke!$B$15*B604)</f>
        <v>11.082291646875488</v>
      </c>
      <c r="E604" s="4">
        <f>D604*3.6</f>
        <v>39.89624992875176</v>
      </c>
      <c r="F604" s="4">
        <f>Thiet_ke!$B$12*(Dau_vao!$B$22*(C604/Dau_vao!$B$19)+Dau_vao!$B$23*(C604/Dau_vao!$B$19)^2-Dau_vao!$B$24*(C604/Dau_vao!$B$19)^3)</f>
        <v>117.01191219193416</v>
      </c>
      <c r="G604" s="4">
        <f>60000*F604/(2*PI()*C604)</f>
        <v>429.7620975226416</v>
      </c>
      <c r="H604" s="4">
        <f>G604*Thiet_ke!$B$15*B604*Dau_vao!$B$10/Thiet_ke!$B$7</f>
        <v>9397.027723971016</v>
      </c>
      <c r="I604" s="4">
        <f>IF(D604&lt;=Dau_vao!$B$14,Dau_vao!$B$13,Dau_vao!$B$13*(1+D604^2/1500))</f>
        <v>0.015</v>
      </c>
      <c r="J604" s="4">
        <f>Thiet_ke!$B$8*D604^2</f>
        <v>359.24027532823817</v>
      </c>
      <c r="K604" s="4">
        <f>Thiet_ke!$B$3*I604+J604</f>
        <v>1490.8237753282383</v>
      </c>
      <c r="L604" s="4">
        <f>(H604-J604)/Thiet_ke!$B$3</f>
        <v>0.11980274697328269</v>
      </c>
      <c r="M604" s="4">
        <f>1.05+0.05*B604^2</f>
        <v>1.4000000000000001</v>
      </c>
      <c r="N604" s="4">
        <f>(MIN(H604,Thiet_ke!$B$16)-K604)/(Thiet_ke!$B$2*M604)</f>
        <v>0.7343678198627881</v>
      </c>
      <c r="O604" s="4">
        <f>IF(N604&gt;0,1/N604,"")</f>
        <v>1.3617154414348434</v>
      </c>
    </row>
    <row r="605" spans="1:15">
      <c r="A605">
        <v>4</v>
      </c>
      <c r="B605" s="4">
        <f>Thiet_ke!$B$23</f>
        <v>1.6265765616977859</v>
      </c>
      <c r="C605" s="4">
        <f>Dau_vao!$B$21+(Dau_vao!$B$19-Dau_vao!$B$21)*0/200</f>
        <v>800.0</v>
      </c>
      <c r="D605" s="4">
        <f>2*PI()*C605*Thiet_ke!$B$7/(60*Thiet_ke!$B$15*B605)</f>
        <v>5.546521797755946</v>
      </c>
      <c r="E605" s="4">
        <f>D605*3.6</f>
        <v>19.967478471921407</v>
      </c>
      <c r="F605" s="4">
        <f>Thiet_ke!$B$12*(Dau_vao!$B$22*(C605/Dau_vao!$B$19)+Dau_vao!$B$23*(C605/Dau_vao!$B$19)^2-Dau_vao!$B$24*(C605/Dau_vao!$B$19)^3)</f>
        <v>31.210277899168606</v>
      </c>
      <c r="G605" s="4">
        <f>60000*F605/(2*PI()*C605)</f>
        <v>372.54525021933136</v>
      </c>
      <c r="H605" s="4">
        <f>G605*Thiet_ke!$B$15*B605*Dau_vao!$B$10/Thiet_ke!$B$7</f>
        <v>5008.029958792977</v>
      </c>
      <c r="I605" s="4">
        <f>IF(D605&lt;=Dau_vao!$B$14,Dau_vao!$B$13,Dau_vao!$B$13*(1+D605^2/1500))</f>
        <v>0.015</v>
      </c>
      <c r="J605" s="4">
        <f>Thiet_ke!$B$8*D605^2</f>
        <v>89.98441935497192</v>
      </c>
      <c r="K605" s="4">
        <f>Thiet_ke!$B$3*I605+J605</f>
        <v>1221.5679193549722</v>
      </c>
      <c r="L605" s="4">
        <f>(H605-J605)/Thiet_ke!$B$3</f>
        <v>0.06519243439973282</v>
      </c>
      <c r="M605" s="4">
        <f>1.05+0.05*B605^2</f>
        <v>1.1822875655532297</v>
      </c>
      <c r="N605" s="4">
        <f>(MIN(H605,Thiet_ke!$B$16)-K605)/(Thiet_ke!$B$2*M605)</f>
        <v>0.41647040517674333</v>
      </c>
      <c r="O605" s="4">
        <f>IF(N605&gt;0,1/N605,"")</f>
        <v>2.401130998913635</v>
      </c>
    </row>
    <row r="606" spans="1:15">
      <c r="A606">
        <v>4</v>
      </c>
      <c r="B606" s="4">
        <f>Thiet_ke!$B$23</f>
        <v>1.6265765616977859</v>
      </c>
      <c r="C606" s="4">
        <f>Dau_vao!$B$21+(Dau_vao!$B$19-Dau_vao!$B$21)*1/200</f>
        <v>809.0</v>
      </c>
      <c r="D606" s="4">
        <f>2*PI()*C606*Thiet_ke!$B$7/(60*Thiet_ke!$B$15*B606)</f>
        <v>5.6089201679807</v>
      </c>
      <c r="E606" s="4">
        <f>D606*3.6</f>
        <v>20.19211260473052</v>
      </c>
      <c r="F606" s="4">
        <f>Thiet_ke!$B$12*(Dau_vao!$B$22*(C606/Dau_vao!$B$19)+Dau_vao!$B$23*(C606/Dau_vao!$B$19)^2-Dau_vao!$B$24*(C606/Dau_vao!$B$19)^3)</f>
        <v>31.67244546633681</v>
      </c>
      <c r="G606" s="4">
        <f>60000*F606/(2*PI()*C606)</f>
        <v>373.8560881910502</v>
      </c>
      <c r="H606" s="4">
        <f>G606*Thiet_ke!$B$15*B606*Dau_vao!$B$10/Thiet_ke!$B$7</f>
        <v>5025.651216424437</v>
      </c>
      <c r="I606" s="4">
        <f>IF(D606&lt;=Dau_vao!$B$14,Dau_vao!$B$13,Dau_vao!$B$13*(1+D606^2/1500))</f>
        <v>0.015</v>
      </c>
      <c r="J606" s="4">
        <f>Thiet_ke!$B$8*D606^2</f>
        <v>92.02045744353339</v>
      </c>
      <c r="K606" s="4">
        <f>Thiet_ke!$B$3*I606+J606</f>
        <v>1223.6039574435335</v>
      </c>
      <c r="L606" s="4">
        <f>(H606-J606)/Thiet_ke!$B$3</f>
        <v>0.06539902833923748</v>
      </c>
      <c r="M606" s="4">
        <f>1.05+0.05*B606^2</f>
        <v>1.1822875655532297</v>
      </c>
      <c r="N606" s="4">
        <f>(MIN(H606,Thiet_ke!$B$16)-K606)/(Thiet_ke!$B$2*M606)</f>
        <v>0.4181846129596802</v>
      </c>
      <c r="O606" s="4">
        <f>IF(N606&gt;0,1/N606,"")</f>
        <v>2.3912883664526805</v>
      </c>
    </row>
    <row r="607" spans="1:15">
      <c r="A607">
        <v>4</v>
      </c>
      <c r="B607" s="4">
        <f>Thiet_ke!$B$23</f>
        <v>1.6265765616977859</v>
      </c>
      <c r="C607" s="4">
        <f>Dau_vao!$B$21+(Dau_vao!$B$19-Dau_vao!$B$21)*2/200</f>
        <v>818.0</v>
      </c>
      <c r="D607" s="4">
        <f>2*PI()*C607*Thiet_ke!$B$7/(60*Thiet_ke!$B$15*B607)</f>
        <v>5.671318538205455</v>
      </c>
      <c r="E607" s="4">
        <f>D607*3.6</f>
        <v>20.416746737539636</v>
      </c>
      <c r="F607" s="4">
        <f>Thiet_ke!$B$12*(Dau_vao!$B$22*(C607/Dau_vao!$B$19)+Dau_vao!$B$23*(C607/Dau_vao!$B$19)^2-Dau_vao!$B$24*(C607/Dau_vao!$B$19)^3)</f>
        <v>32.13620168192096</v>
      </c>
      <c r="G607" s="4">
        <f>60000*F607/(2*PI()*C607)</f>
        <v>375.15662713025444</v>
      </c>
      <c r="H607" s="4">
        <f>G607*Thiet_ke!$B$15*B607*Dau_vao!$B$10/Thiet_ke!$B$7</f>
        <v>5043.134026811302</v>
      </c>
      <c r="I607" s="4">
        <f>IF(D607&lt;=Dau_vao!$B$14,Dau_vao!$B$13,Dau_vao!$B$13*(1+D607^2/1500))</f>
        <v>0.015</v>
      </c>
      <c r="J607" s="4">
        <f>Thiet_ke!$B$8*D607^2</f>
        <v>94.07927283824411</v>
      </c>
      <c r="K607" s="4">
        <f>Thiet_ke!$B$3*I607+J607</f>
        <v>1225.6627728382443</v>
      </c>
      <c r="L607" s="4">
        <f>(H607-J607)/Thiet_ke!$B$3</f>
        <v>0.06560348512469107</v>
      </c>
      <c r="M607" s="4">
        <f>1.05+0.05*B607^2</f>
        <v>1.1822875655532297</v>
      </c>
      <c r="N607" s="4">
        <f>(MIN(H607,Thiet_ke!$B$16)-K607)/(Thiet_ke!$B$2*M607)</f>
        <v>0.4198810877630509</v>
      </c>
      <c r="O607" s="4">
        <f>IF(N607&gt;0,1/N607,"")</f>
        <v>2.3816266775138115</v>
      </c>
    </row>
    <row r="608" spans="1:15">
      <c r="A608">
        <v>4</v>
      </c>
      <c r="B608" s="4">
        <f>Thiet_ke!$B$23</f>
        <v>1.6265765616977859</v>
      </c>
      <c r="C608" s="4">
        <f>Dau_vao!$B$21+(Dau_vao!$B$19-Dau_vao!$B$21)*3/200</f>
        <v>827.0</v>
      </c>
      <c r="D608" s="4">
        <f>2*PI()*C608*Thiet_ke!$B$7/(60*Thiet_ke!$B$15*B608)</f>
        <v>5.733716908430209</v>
      </c>
      <c r="E608" s="4">
        <f>D608*3.6</f>
        <v>20.64138087034875</v>
      </c>
      <c r="F608" s="4">
        <f>Thiet_ke!$B$12*(Dau_vao!$B$22*(C608/Dau_vao!$B$19)+Dau_vao!$B$23*(C608/Dau_vao!$B$19)^2-Dau_vao!$B$24*(C608/Dau_vao!$B$19)^3)</f>
        <v>32.60151742609266</v>
      </c>
      <c r="G608" s="4">
        <f>60000*F608/(2*PI()*C608)</f>
        <v>376.44686703694407</v>
      </c>
      <c r="H608" s="4">
        <f>G608*Thiet_ke!$B$15*B608*Dau_vao!$B$10/Thiet_ke!$B$7</f>
        <v>5060.478389953571</v>
      </c>
      <c r="I608" s="4">
        <f>IF(D608&lt;=Dau_vao!$B$14,Dau_vao!$B$13,Dau_vao!$B$13*(1+D608^2/1500))</f>
        <v>0.015</v>
      </c>
      <c r="J608" s="4">
        <f>Thiet_ke!$B$8*D608^2</f>
        <v>96.16086553910402</v>
      </c>
      <c r="K608" s="4">
        <f>Thiet_ke!$B$3*I608+J608</f>
        <v>1227.7443655391041</v>
      </c>
      <c r="L608" s="4">
        <f>(H608-J608)/Thiet_ke!$B$3</f>
        <v>0.06580580475609357</v>
      </c>
      <c r="M608" s="4">
        <f>1.05+0.05*B608^2</f>
        <v>1.1822875655532297</v>
      </c>
      <c r="N608" s="4">
        <f>(MIN(H608,Thiet_ke!$B$16)-K608)/(Thiet_ke!$B$2*M608)</f>
        <v>0.42155982958685567</v>
      </c>
      <c r="O608" s="4">
        <f>IF(N608&gt;0,1/N608,"")</f>
        <v>2.3721425283334923</v>
      </c>
    </row>
    <row r="609" spans="1:15">
      <c r="A609">
        <v>4</v>
      </c>
      <c r="B609" s="4">
        <f>Thiet_ke!$B$23</f>
        <v>1.6265765616977859</v>
      </c>
      <c r="C609" s="4">
        <f>Dau_vao!$B$21+(Dau_vao!$B$19-Dau_vao!$B$21)*4/200</f>
        <v>836.0</v>
      </c>
      <c r="D609" s="4">
        <f>2*PI()*C609*Thiet_ke!$B$7/(60*Thiet_ke!$B$15*B609)</f>
        <v>5.7961152786549635</v>
      </c>
      <c r="E609" s="4">
        <f>D609*3.6</f>
        <v>20.86601500315787</v>
      </c>
      <c r="F609" s="4">
        <f>Thiet_ke!$B$12*(Dau_vao!$B$22*(C609/Dau_vao!$B$19)+Dau_vao!$B$23*(C609/Dau_vao!$B$19)^2-Dau_vao!$B$24*(C609/Dau_vao!$B$19)^3)</f>
        <v>33.068363579023526</v>
      </c>
      <c r="G609" s="4">
        <f>60000*F609/(2*PI()*C609)</f>
        <v>377.7268079111192</v>
      </c>
      <c r="H609" s="4">
        <f>G609*Thiet_ke!$B$15*B609*Dau_vao!$B$10/Thiet_ke!$B$7</f>
        <v>5077.684305851248</v>
      </c>
      <c r="I609" s="4">
        <f>IF(D609&lt;=Dau_vao!$B$14,Dau_vao!$B$13,Dau_vao!$B$13*(1+D609^2/1500))</f>
        <v>0.015</v>
      </c>
      <c r="J609" s="4">
        <f>Thiet_ke!$B$8*D609^2</f>
        <v>98.26523554611322</v>
      </c>
      <c r="K609" s="4">
        <f>Thiet_ke!$B$3*I609+J609</f>
        <v>1229.8487355461134</v>
      </c>
      <c r="L609" s="4">
        <f>(H609-J609)/Thiet_ke!$B$3</f>
        <v>0.066005987233445</v>
      </c>
      <c r="M609" s="4">
        <f>1.05+0.05*B609^2</f>
        <v>1.1822875655532297</v>
      </c>
      <c r="N609" s="4">
        <f>(MIN(H609,Thiet_ke!$B$16)-K609)/(Thiet_ke!$B$2*M609)</f>
        <v>0.42322083843109454</v>
      </c>
      <c r="O609" s="4">
        <f>IF(N609&gt;0,1/N609,"")</f>
        <v>2.3628326140722677</v>
      </c>
    </row>
    <row r="610" spans="1:15">
      <c r="A610">
        <v>4</v>
      </c>
      <c r="B610" s="4">
        <f>Thiet_ke!$B$23</f>
        <v>1.6265765616977859</v>
      </c>
      <c r="C610" s="4">
        <f>Dau_vao!$B$21+(Dau_vao!$B$19-Dau_vao!$B$21)*5/200</f>
        <v>845.0</v>
      </c>
      <c r="D610" s="4">
        <f>2*PI()*C610*Thiet_ke!$B$7/(60*Thiet_ke!$B$15*B610)</f>
        <v>5.858513648879718</v>
      </c>
      <c r="E610" s="4">
        <f>D610*3.6</f>
        <v>21.090649135966988</v>
      </c>
      <c r="F610" s="4">
        <f>Thiet_ke!$B$12*(Dau_vao!$B$22*(C610/Dau_vao!$B$19)+Dau_vao!$B$23*(C610/Dau_vao!$B$19)^2-Dau_vao!$B$24*(C610/Dau_vao!$B$19)^3)</f>
        <v>33.53671102088513</v>
      </c>
      <c r="G610" s="4">
        <f>60000*F610/(2*PI()*C610)</f>
        <v>378.9964497527796</v>
      </c>
      <c r="H610" s="4">
        <f>G610*Thiet_ke!$B$15*B610*Dau_vao!$B$10/Thiet_ke!$B$7</f>
        <v>5094.751774504329</v>
      </c>
      <c r="I610" s="4">
        <f>IF(D610&lt;=Dau_vao!$B$14,Dau_vao!$B$13,Dau_vao!$B$13*(1+D610^2/1500))</f>
        <v>0.015</v>
      </c>
      <c r="J610" s="4">
        <f>Thiet_ke!$B$8*D610^2</f>
        <v>100.3923828592716</v>
      </c>
      <c r="K610" s="4">
        <f>Thiet_ke!$B$3*I610+J610</f>
        <v>1231.9758828592717</v>
      </c>
      <c r="L610" s="4">
        <f>(H610-J610)/Thiet_ke!$B$3</f>
        <v>0.06620403255674535</v>
      </c>
      <c r="M610" s="4">
        <f>1.05+0.05*B610^2</f>
        <v>1.1822875655532297</v>
      </c>
      <c r="N610" s="4">
        <f>(MIN(H610,Thiet_ke!$B$16)-K610)/(Thiet_ke!$B$2*M610)</f>
        <v>0.42486411429576737</v>
      </c>
      <c r="O610" s="4">
        <f>IF(N610&gt;0,1/N610,"")</f>
        <v>2.3536937254810235</v>
      </c>
    </row>
    <row r="611" spans="1:15">
      <c r="A611">
        <v>4</v>
      </c>
      <c r="B611" s="4">
        <f>Thiet_ke!$B$23</f>
        <v>1.6265765616977859</v>
      </c>
      <c r="C611" s="4">
        <f>Dau_vao!$B$21+(Dau_vao!$B$19-Dau_vao!$B$21)*6/200</f>
        <v>854.0</v>
      </c>
      <c r="D611" s="4">
        <f>2*PI()*C611*Thiet_ke!$B$7/(60*Thiet_ke!$B$15*B611)</f>
        <v>5.920912019104472</v>
      </c>
      <c r="E611" s="4">
        <f>D611*3.6</f>
        <v>21.3152832687761</v>
      </c>
      <c r="F611" s="4">
        <f>Thiet_ke!$B$12*(Dau_vao!$B$22*(C611/Dau_vao!$B$19)+Dau_vao!$B$23*(C611/Dau_vao!$B$19)^2-Dau_vao!$B$24*(C611/Dau_vao!$B$19)^3)</f>
        <v>34.006530631849095</v>
      </c>
      <c r="G611" s="4">
        <f>60000*F611/(2*PI()*C611)</f>
        <v>380.25579256192543</v>
      </c>
      <c r="H611" s="4">
        <f>G611*Thiet_ke!$B$15*B611*Dau_vao!$B$10/Thiet_ke!$B$7</f>
        <v>5111.680795912814</v>
      </c>
      <c r="I611" s="4">
        <f>IF(D611&lt;=Dau_vao!$B$14,Dau_vao!$B$13,Dau_vao!$B$13*(1+D611^2/1500))</f>
        <v>0.015</v>
      </c>
      <c r="J611" s="4">
        <f>Thiet_ke!$B$8*D611^2</f>
        <v>102.54230747857923</v>
      </c>
      <c r="K611" s="4">
        <f>Thiet_ke!$B$3*I611+J611</f>
        <v>1234.1258074785794</v>
      </c>
      <c r="L611" s="4">
        <f>(H611-J611)/Thiet_ke!$B$3</f>
        <v>0.06639994072599459</v>
      </c>
      <c r="M611" s="4">
        <f>1.05+0.05*B611^2</f>
        <v>1.1822875655532297</v>
      </c>
      <c r="N611" s="4">
        <f>(MIN(H611,Thiet_ke!$B$16)-K611)/(Thiet_ke!$B$2*M611)</f>
        <v>0.42648965718087406</v>
      </c>
      <c r="O611" s="4">
        <f>IF(N611&gt;0,1/N611,"")</f>
        <v>2.3447227457051802</v>
      </c>
    </row>
    <row r="612" spans="1:15">
      <c r="A612">
        <v>4</v>
      </c>
      <c r="B612" s="4">
        <f>Thiet_ke!$B$23</f>
        <v>1.6265765616977859</v>
      </c>
      <c r="C612" s="4">
        <f>Dau_vao!$B$21+(Dau_vao!$B$19-Dau_vao!$B$21)*7/200</f>
        <v>863.0</v>
      </c>
      <c r="D612" s="4">
        <f>2*PI()*C612*Thiet_ke!$B$7/(60*Thiet_ke!$B$15*B612)</f>
        <v>5.983310389329226</v>
      </c>
      <c r="E612" s="4">
        <f>D612*3.6</f>
        <v>21.539917401585214</v>
      </c>
      <c r="F612" s="4">
        <f>Thiet_ke!$B$12*(Dau_vao!$B$22*(C612/Dau_vao!$B$19)+Dau_vao!$B$23*(C612/Dau_vao!$B$19)^2-Dau_vao!$B$24*(C612/Dau_vao!$B$19)^3)</f>
        <v>34.47779329208702</v>
      </c>
      <c r="G612" s="4">
        <f>60000*F612/(2*PI()*C612)</f>
        <v>381.50483633855674</v>
      </c>
      <c r="H612" s="4">
        <f>G612*Thiet_ke!$B$15*B612*Dau_vao!$B$10/Thiet_ke!$B$7</f>
        <v>5128.471370076706</v>
      </c>
      <c r="I612" s="4">
        <f>IF(D612&lt;=Dau_vao!$B$14,Dau_vao!$B$13,Dau_vao!$B$13*(1+D612^2/1500))</f>
        <v>0.015</v>
      </c>
      <c r="J612" s="4">
        <f>Thiet_ke!$B$8*D612^2</f>
        <v>104.71500940403605</v>
      </c>
      <c r="K612" s="4">
        <f>Thiet_ke!$B$3*I612+J612</f>
        <v>1236.2985094040362</v>
      </c>
      <c r="L612" s="4">
        <f>(H612-J612)/Thiet_ke!$B$3</f>
        <v>0.0665937117411928</v>
      </c>
      <c r="M612" s="4">
        <f>1.05+0.05*B612^2</f>
        <v>1.1822875655532297</v>
      </c>
      <c r="N612" s="4">
        <f>(MIN(H612,Thiet_ke!$B$16)-K612)/(Thiet_ke!$B$2*M612)</f>
        <v>0.428097467086415</v>
      </c>
      <c r="O612" s="4">
        <f>IF(N612&gt;0,1/N612,"")</f>
        <v>2.335916647220297</v>
      </c>
    </row>
    <row r="613" spans="1:15">
      <c r="A613">
        <v>4</v>
      </c>
      <c r="B613" s="4">
        <f>Thiet_ke!$B$23</f>
        <v>1.6265765616977859</v>
      </c>
      <c r="C613" s="4">
        <f>Dau_vao!$B$21+(Dau_vao!$B$19-Dau_vao!$B$21)*8/200</f>
        <v>872.0</v>
      </c>
      <c r="D613" s="4">
        <f>2*PI()*C613*Thiet_ke!$B$7/(60*Thiet_ke!$B$15*B613)</f>
        <v>6.04570875955398</v>
      </c>
      <c r="E613" s="4">
        <f>D613*3.6</f>
        <v>21.76455153439433</v>
      </c>
      <c r="F613" s="4">
        <f>Thiet_ke!$B$12*(Dau_vao!$B$22*(C613/Dau_vao!$B$19)+Dau_vao!$B$23*(C613/Dau_vao!$B$19)^2-Dau_vao!$B$24*(C613/Dau_vao!$B$19)^3)</f>
        <v>34.9504698817705</v>
      </c>
      <c r="G613" s="4">
        <f>60000*F613/(2*PI()*C613)</f>
        <v>382.7435810826734</v>
      </c>
      <c r="H613" s="4">
        <f>G613*Thiet_ke!$B$15*B613*Dau_vao!$B$10/Thiet_ke!$B$7</f>
        <v>5145.123496996003</v>
      </c>
      <c r="I613" s="4">
        <f>IF(D613&lt;=Dau_vao!$B$14,Dau_vao!$B$13,Dau_vao!$B$13*(1+D613^2/1500))</f>
        <v>0.015</v>
      </c>
      <c r="J613" s="4">
        <f>Thiet_ke!$B$8*D613^2</f>
        <v>106.9104886356421</v>
      </c>
      <c r="K613" s="4">
        <f>Thiet_ke!$B$3*I613+J613</f>
        <v>1238.4939886356424</v>
      </c>
      <c r="L613" s="4">
        <f>(H613-J613)/Thiet_ke!$B$3</f>
        <v>0.06678534560233992</v>
      </c>
      <c r="M613" s="4">
        <f>1.05+0.05*B613^2</f>
        <v>1.1822875655532297</v>
      </c>
      <c r="N613" s="4">
        <f>(MIN(H613,Thiet_ke!$B$16)-K613)/(Thiet_ke!$B$2*M613)</f>
        <v>0.42968754401238984</v>
      </c>
      <c r="O613" s="4">
        <f>IF(N613&gt;0,1/N613,"")</f>
        <v>2.3272724888929184</v>
      </c>
    </row>
    <row r="614" spans="1:15">
      <c r="A614">
        <v>4</v>
      </c>
      <c r="B614" s="4">
        <f>Thiet_ke!$B$23</f>
        <v>1.6265765616977859</v>
      </c>
      <c r="C614" s="4">
        <f>Dau_vao!$B$21+(Dau_vao!$B$19-Dau_vao!$B$21)*9/200</f>
        <v>881.0</v>
      </c>
      <c r="D614" s="4">
        <f>2*PI()*C614*Thiet_ke!$B$7/(60*Thiet_ke!$B$15*B614)</f>
        <v>6.108107129778735</v>
      </c>
      <c r="E614" s="4">
        <f>D614*3.6</f>
        <v>21.989185667203447</v>
      </c>
      <c r="F614" s="4">
        <f>Thiet_ke!$B$12*(Dau_vao!$B$22*(C614/Dau_vao!$B$19)+Dau_vao!$B$23*(C614/Dau_vao!$B$19)^2-Dau_vao!$B$24*(C614/Dau_vao!$B$19)^3)</f>
        <v>35.42453128107114</v>
      </c>
      <c r="G614" s="4">
        <f>60000*F614/(2*PI()*C614)</f>
        <v>383.9720267942754</v>
      </c>
      <c r="H614" s="4">
        <f>G614*Thiet_ke!$B$15*B614*Dau_vao!$B$10/Thiet_ke!$B$7</f>
        <v>5161.637176670705</v>
      </c>
      <c r="I614" s="4">
        <f>IF(D614&lt;=Dau_vao!$B$14,Dau_vao!$B$13,Dau_vao!$B$13*(1+D614^2/1500))</f>
        <v>0.015</v>
      </c>
      <c r="J614" s="4">
        <f>Thiet_ke!$B$8*D614^2</f>
        <v>109.12874517339742</v>
      </c>
      <c r="K614" s="4">
        <f>Thiet_ke!$B$3*I614+J614</f>
        <v>1240.7122451733976</v>
      </c>
      <c r="L614" s="4">
        <f>(H614-J614)/Thiet_ke!$B$3</f>
        <v>0.06697484230943596</v>
      </c>
      <c r="M614" s="4">
        <f>1.05+0.05*B614^2</f>
        <v>1.1822875655532297</v>
      </c>
      <c r="N614" s="4">
        <f>(MIN(H614,Thiet_ke!$B$16)-K614)/(Thiet_ke!$B$2*M614)</f>
        <v>0.4312598879587987</v>
      </c>
      <c r="O614" s="4">
        <f>IF(N614&gt;0,1/N614,"")</f>
        <v>2.3187874131608015</v>
      </c>
    </row>
    <row r="615" spans="1:15">
      <c r="A615">
        <v>4</v>
      </c>
      <c r="B615" s="4">
        <f>Thiet_ke!$B$23</f>
        <v>1.6265765616977859</v>
      </c>
      <c r="C615" s="4">
        <f>Dau_vao!$B$21+(Dau_vao!$B$19-Dau_vao!$B$21)*10/200</f>
        <v>890.0</v>
      </c>
      <c r="D615" s="4">
        <f>2*PI()*C615*Thiet_ke!$B$7/(60*Thiet_ke!$B$15*B615)</f>
        <v>6.17050550000349</v>
      </c>
      <c r="E615" s="4">
        <f>D615*3.6</f>
        <v>22.213819800012562</v>
      </c>
      <c r="F615" s="4">
        <f>Thiet_ke!$B$12*(Dau_vao!$B$22*(C615/Dau_vao!$B$19)+Dau_vao!$B$23*(C615/Dau_vao!$B$19)^2-Dau_vao!$B$24*(C615/Dau_vao!$B$19)^3)</f>
        <v>35.89994837016054</v>
      </c>
      <c r="G615" s="4">
        <f>60000*F615/(2*PI()*C615)</f>
        <v>385.1901734733628</v>
      </c>
      <c r="H615" s="4">
        <f>G615*Thiet_ke!$B$15*B615*Dau_vao!$B$10/Thiet_ke!$B$7</f>
        <v>5178.012409100814</v>
      </c>
      <c r="I615" s="4">
        <f>IF(D615&lt;=Dau_vao!$B$14,Dau_vao!$B$13,Dau_vao!$B$13*(1+D615^2/1500))</f>
        <v>0.015</v>
      </c>
      <c r="J615" s="4">
        <f>Thiet_ke!$B$8*D615^2</f>
        <v>111.36977901730197</v>
      </c>
      <c r="K615" s="4">
        <f>Thiet_ke!$B$3*I615+J615</f>
        <v>1242.953279017302</v>
      </c>
      <c r="L615" s="4">
        <f>(H615-J615)/Thiet_ke!$B$3</f>
        <v>0.06716220186248091</v>
      </c>
      <c r="M615" s="4">
        <f>1.05+0.05*B615^2</f>
        <v>1.1822875655532297</v>
      </c>
      <c r="N615" s="4">
        <f>(MIN(H615,Thiet_ke!$B$16)-K615)/(Thiet_ke!$B$2*M615)</f>
        <v>0.43281449892564167</v>
      </c>
      <c r="O615" s="4">
        <f>IF(N615&gt;0,1/N615,"")</f>
        <v>2.3104586433270153</v>
      </c>
    </row>
    <row r="616" spans="1:15">
      <c r="A616">
        <v>4</v>
      </c>
      <c r="B616" s="4">
        <f>Thiet_ke!$B$23</f>
        <v>1.6265765616977859</v>
      </c>
      <c r="C616" s="4">
        <f>Dau_vao!$B$21+(Dau_vao!$B$19-Dau_vao!$B$21)*11/200</f>
        <v>899.0</v>
      </c>
      <c r="D616" s="4">
        <f>2*PI()*C616*Thiet_ke!$B$7/(60*Thiet_ke!$B$15*B616)</f>
        <v>6.232903870228244</v>
      </c>
      <c r="E616" s="4">
        <f>D616*3.6</f>
        <v>22.43845393282168</v>
      </c>
      <c r="F616" s="4">
        <f>Thiet_ke!$B$12*(Dau_vao!$B$22*(C616/Dau_vao!$B$19)+Dau_vao!$B$23*(C616/Dau_vao!$B$19)^2-Dau_vao!$B$24*(C616/Dau_vao!$B$19)^3)</f>
        <v>36.37669202921032</v>
      </c>
      <c r="G616" s="4">
        <f>60000*F616/(2*PI()*C616)</f>
        <v>386.3980211199358</v>
      </c>
      <c r="H616" s="4">
        <f>G616*Thiet_ke!$B$15*B616*Dau_vao!$B$10/Thiet_ke!$B$7</f>
        <v>5194.249194286328</v>
      </c>
      <c r="I616" s="4">
        <f>IF(D616&lt;=Dau_vao!$B$14,Dau_vao!$B$13,Dau_vao!$B$13*(1+D616^2/1500))</f>
        <v>0.015</v>
      </c>
      <c r="J616" s="4">
        <f>Thiet_ke!$B$8*D616^2</f>
        <v>113.63359016735573</v>
      </c>
      <c r="K616" s="4">
        <f>Thiet_ke!$B$3*I616+J616</f>
        <v>1245.217090167356</v>
      </c>
      <c r="L616" s="4">
        <f>(H616-J616)/Thiet_ke!$B$3</f>
        <v>0.0673474242614748</v>
      </c>
      <c r="M616" s="4">
        <f>1.05+0.05*B616^2</f>
        <v>1.1822875655532297</v>
      </c>
      <c r="N616" s="4">
        <f>(MIN(H616,Thiet_ke!$B$16)-K616)/(Thiet_ke!$B$2*M616)</f>
        <v>0.43435137691291864</v>
      </c>
      <c r="O616" s="4">
        <f>IF(N616&gt;0,1/N616,"")</f>
        <v>2.302283480962663</v>
      </c>
    </row>
    <row r="617" spans="1:15">
      <c r="A617">
        <v>4</v>
      </c>
      <c r="B617" s="4">
        <f>Thiet_ke!$B$23</f>
        <v>1.6265765616977859</v>
      </c>
      <c r="C617" s="4">
        <f>Dau_vao!$B$21+(Dau_vao!$B$19-Dau_vao!$B$21)*12/200</f>
        <v>908.0</v>
      </c>
      <c r="D617" s="4">
        <f>2*PI()*C617*Thiet_ke!$B$7/(60*Thiet_ke!$B$15*B617)</f>
        <v>6.295302240452998</v>
      </c>
      <c r="E617" s="4">
        <f>D617*3.6</f>
        <v>22.663088065630795</v>
      </c>
      <c r="F617" s="4">
        <f>Thiet_ke!$B$12*(Dau_vao!$B$22*(C617/Dau_vao!$B$19)+Dau_vao!$B$23*(C617/Dau_vao!$B$19)^2-Dau_vao!$B$24*(C617/Dau_vao!$B$19)^3)</f>
        <v>36.854733138392056</v>
      </c>
      <c r="G617" s="4">
        <f>60000*F617/(2*PI()*C617)</f>
        <v>387.59556973399407</v>
      </c>
      <c r="H617" s="4">
        <f>G617*Thiet_ke!$B$15*B617*Dau_vao!$B$10/Thiet_ke!$B$7</f>
        <v>5210.347532227246</v>
      </c>
      <c r="I617" s="4">
        <f>IF(D617&lt;=Dau_vao!$B$14,Dau_vao!$B$13,Dau_vao!$B$13*(1+D617^2/1500))</f>
        <v>0.015</v>
      </c>
      <c r="J617" s="4">
        <f>Thiet_ke!$B$8*D617^2</f>
        <v>115.9201786235587</v>
      </c>
      <c r="K617" s="4">
        <f>Thiet_ke!$B$3*I617+J617</f>
        <v>1247.503678623559</v>
      </c>
      <c r="L617" s="4">
        <f>(H617-J617)/Thiet_ke!$B$3</f>
        <v>0.0675305095064176</v>
      </c>
      <c r="M617" s="4">
        <f>1.05+0.05*B617^2</f>
        <v>1.1822875655532297</v>
      </c>
      <c r="N617" s="4">
        <f>(MIN(H617,Thiet_ke!$B$16)-K617)/(Thiet_ke!$B$2*M617)</f>
        <v>0.4358705219206296</v>
      </c>
      <c r="O617" s="4">
        <f>IF(N617&gt;0,1/N617,"")</f>
        <v>2.2942593034132654</v>
      </c>
    </row>
    <row r="618" spans="1:15">
      <c r="A618">
        <v>4</v>
      </c>
      <c r="B618" s="4">
        <f>Thiet_ke!$B$23</f>
        <v>1.6265765616977859</v>
      </c>
      <c r="C618" s="4">
        <f>Dau_vao!$B$21+(Dau_vao!$B$19-Dau_vao!$B$21)*13/200</f>
        <v>917.0</v>
      </c>
      <c r="D618" s="4">
        <f>2*PI()*C618*Thiet_ke!$B$7/(60*Thiet_ke!$B$15*B618)</f>
        <v>6.357700610677752</v>
      </c>
      <c r="E618" s="4">
        <f>D618*3.6</f>
        <v>22.88772219843991</v>
      </c>
      <c r="F618" s="4">
        <f>Thiet_ke!$B$12*(Dau_vao!$B$22*(C618/Dau_vao!$B$19)+Dau_vao!$B$23*(C618/Dau_vao!$B$19)^2-Dau_vao!$B$24*(C618/Dau_vao!$B$19)^3)</f>
        <v>37.33404257787736</v>
      </c>
      <c r="G618" s="4">
        <f>60000*F618/(2*PI()*C618)</f>
        <v>388.7828193155378</v>
      </c>
      <c r="H618" s="4">
        <f>G618*Thiet_ke!$B$15*B618*Dau_vao!$B$10/Thiet_ke!$B$7</f>
        <v>5226.307422923569</v>
      </c>
      <c r="I618" s="4">
        <f>IF(D618&lt;=Dau_vao!$B$14,Dau_vao!$B$13,Dau_vao!$B$13*(1+D618^2/1500))</f>
        <v>0.015</v>
      </c>
      <c r="J618" s="4">
        <f>Thiet_ke!$B$8*D618^2</f>
        <v>118.2295443859109</v>
      </c>
      <c r="K618" s="4">
        <f>Thiet_ke!$B$3*I618+J618</f>
        <v>1249.813044385911</v>
      </c>
      <c r="L618" s="4">
        <f>(H618-J618)/Thiet_ke!$B$3</f>
        <v>0.06771145759730932</v>
      </c>
      <c r="M618" s="4">
        <f>1.05+0.05*B618^2</f>
        <v>1.1822875655532297</v>
      </c>
      <c r="N618" s="4">
        <f>(MIN(H618,Thiet_ke!$B$16)-K618)/(Thiet_ke!$B$2*M618)</f>
        <v>0.43737193394877444</v>
      </c>
      <c r="O618" s="4">
        <f>IF(N618&gt;0,1/N618,"")</f>
        <v>2.2863835614041053</v>
      </c>
    </row>
    <row r="619" spans="1:15">
      <c r="A619">
        <v>4</v>
      </c>
      <c r="B619" s="4">
        <f>Thiet_ke!$B$23</f>
        <v>1.6265765616977859</v>
      </c>
      <c r="C619" s="4">
        <f>Dau_vao!$B$21+(Dau_vao!$B$19-Dau_vao!$B$21)*14/200</f>
        <v>926.0</v>
      </c>
      <c r="D619" s="4">
        <f>2*PI()*C619*Thiet_ke!$B$7/(60*Thiet_ke!$B$15*B619)</f>
        <v>6.420098980902506</v>
      </c>
      <c r="E619" s="4">
        <f>D619*3.6</f>
        <v>23.11235633124902</v>
      </c>
      <c r="F619" s="4">
        <f>Thiet_ke!$B$12*(Dau_vao!$B$22*(C619/Dau_vao!$B$19)+Dau_vao!$B$23*(C619/Dau_vao!$B$19)^2-Dau_vao!$B$24*(C619/Dau_vao!$B$19)^3)</f>
        <v>37.81459122783783</v>
      </c>
      <c r="G619" s="4">
        <f>60000*F619/(2*PI()*C619)</f>
        <v>389.9597698645668</v>
      </c>
      <c r="H619" s="4">
        <f>G619*Thiet_ke!$B$15*B619*Dau_vao!$B$10/Thiet_ke!$B$7</f>
        <v>5242.1288663752985</v>
      </c>
      <c r="I619" s="4">
        <f>IF(D619&lt;=Dau_vao!$B$14,Dau_vao!$B$13,Dau_vao!$B$13*(1+D619^2/1500))</f>
        <v>0.015</v>
      </c>
      <c r="J619" s="4">
        <f>Thiet_ke!$B$8*D619^2</f>
        <v>120.56168745441231</v>
      </c>
      <c r="K619" s="4">
        <f>Thiet_ke!$B$3*I619+J619</f>
        <v>1252.1451874544125</v>
      </c>
      <c r="L619" s="4">
        <f>(H619-J619)/Thiet_ke!$B$3</f>
        <v>0.06789026853414996</v>
      </c>
      <c r="M619" s="4">
        <f>1.05+0.05*B619^2</f>
        <v>1.1822875655532297</v>
      </c>
      <c r="N619" s="4">
        <f>(MIN(H619,Thiet_ke!$B$16)-K619)/(Thiet_ke!$B$2*M619)</f>
        <v>0.4388556129973533</v>
      </c>
      <c r="O619" s="4">
        <f>IF(N619&gt;0,1/N619,"")</f>
        <v>2.278653776740075</v>
      </c>
    </row>
    <row r="620" spans="1:15">
      <c r="A620">
        <v>4</v>
      </c>
      <c r="B620" s="4">
        <f>Thiet_ke!$B$23</f>
        <v>1.6265765616977859</v>
      </c>
      <c r="C620" s="4">
        <f>Dau_vao!$B$21+(Dau_vao!$B$19-Dau_vao!$B$21)*15/200</f>
        <v>935.0</v>
      </c>
      <c r="D620" s="4">
        <f>2*PI()*C620*Thiet_ke!$B$7/(60*Thiet_ke!$B$15*B620)</f>
        <v>6.482497351127262</v>
      </c>
      <c r="E620" s="4">
        <f>D620*3.6</f>
        <v>23.336990464058143</v>
      </c>
      <c r="F620" s="4">
        <f>Thiet_ke!$B$12*(Dau_vao!$B$22*(C620/Dau_vao!$B$19)+Dau_vao!$B$23*(C620/Dau_vao!$B$19)^2-Dau_vao!$B$24*(C620/Dau_vao!$B$19)^3)</f>
        <v>38.29634996844507</v>
      </c>
      <c r="G620" s="4">
        <f>60000*F620/(2*PI()*C620)</f>
        <v>391.1264213810813</v>
      </c>
      <c r="H620" s="4">
        <f>G620*Thiet_ke!$B$15*B620*Dau_vao!$B$10/Thiet_ke!$B$7</f>
        <v>5257.811862582433</v>
      </c>
      <c r="I620" s="4">
        <f>IF(D620&lt;=Dau_vao!$B$14,Dau_vao!$B$13,Dau_vao!$B$13*(1+D620^2/1500))</f>
        <v>0.015</v>
      </c>
      <c r="J620" s="4">
        <f>Thiet_ke!$B$8*D620^2</f>
        <v>122.91660782906303</v>
      </c>
      <c r="K620" s="4">
        <f>Thiet_ke!$B$3*I620+J620</f>
        <v>1254.5001078290632</v>
      </c>
      <c r="L620" s="4">
        <f>(H620-J620)/Thiet_ke!$B$3</f>
        <v>0.06806694231693952</v>
      </c>
      <c r="M620" s="4">
        <f>1.05+0.05*B620^2</f>
        <v>1.1822875655532297</v>
      </c>
      <c r="N620" s="4">
        <f>(MIN(H620,Thiet_ke!$B$16)-K620)/(Thiet_ke!$B$2*M620)</f>
        <v>0.4403215590663663</v>
      </c>
      <c r="O620" s="4">
        <f>IF(N620&gt;0,1/N620,"")</f>
        <v>2.2710675400958</v>
      </c>
    </row>
    <row r="621" spans="1:15">
      <c r="A621">
        <v>4</v>
      </c>
      <c r="B621" s="4">
        <f>Thiet_ke!$B$23</f>
        <v>1.6265765616977859</v>
      </c>
      <c r="C621" s="4">
        <f>Dau_vao!$B$21+(Dau_vao!$B$19-Dau_vao!$B$21)*16/200</f>
        <v>944.0</v>
      </c>
      <c r="D621" s="4">
        <f>2*PI()*C621*Thiet_ke!$B$7/(60*Thiet_ke!$B$15*B621)</f>
        <v>6.544895721352016</v>
      </c>
      <c r="E621" s="4">
        <f>D621*3.6</f>
        <v>23.561624596867258</v>
      </c>
      <c r="F621" s="4">
        <f>Thiet_ke!$B$12*(Dau_vao!$B$22*(C621/Dau_vao!$B$19)+Dau_vao!$B$23*(C621/Dau_vao!$B$19)^2-Dau_vao!$B$24*(C621/Dau_vao!$B$19)^3)</f>
        <v>38.7792896798707</v>
      </c>
      <c r="G621" s="4">
        <f>60000*F621/(2*PI()*C621)</f>
        <v>392.2827738650813</v>
      </c>
      <c r="H621" s="4">
        <f>G621*Thiet_ke!$B$15*B621*Dau_vao!$B$10/Thiet_ke!$B$7</f>
        <v>5273.356411544974</v>
      </c>
      <c r="I621" s="4">
        <f>IF(D621&lt;=Dau_vao!$B$14,Dau_vao!$B$13,Dau_vao!$B$13*(1+D621^2/1500))</f>
        <v>0.015</v>
      </c>
      <c r="J621" s="4">
        <f>Thiet_ke!$B$8*D621^2</f>
        <v>125.29430550986288</v>
      </c>
      <c r="K621" s="4">
        <f>Thiet_ke!$B$3*I621+J621</f>
        <v>1256.877805509863</v>
      </c>
      <c r="L621" s="4">
        <f>(H621-J621)/Thiet_ke!$B$3</f>
        <v>0.06824147894567803</v>
      </c>
      <c r="M621" s="4">
        <f>1.05+0.05*B621^2</f>
        <v>1.1822875655532297</v>
      </c>
      <c r="N621" s="4">
        <f>(MIN(H621,Thiet_ke!$B$16)-K621)/(Thiet_ke!$B$2*M621)</f>
        <v>0.4417697721558135</v>
      </c>
      <c r="O621" s="4">
        <f>IF(N621&gt;0,1/N621,"")</f>
        <v>2.2636225088920234</v>
      </c>
    </row>
    <row r="622" spans="1:15">
      <c r="A622">
        <v>4</v>
      </c>
      <c r="B622" s="4">
        <f>Thiet_ke!$B$23</f>
        <v>1.6265765616977859</v>
      </c>
      <c r="C622" s="4">
        <f>Dau_vao!$B$21+(Dau_vao!$B$19-Dau_vao!$B$21)*17/200</f>
        <v>953.0</v>
      </c>
      <c r="D622" s="4">
        <f>2*PI()*C622*Thiet_ke!$B$7/(60*Thiet_ke!$B$15*B622)</f>
        <v>6.6072940915767715</v>
      </c>
      <c r="E622" s="4">
        <f>D622*3.6</f>
        <v>23.786258729676376</v>
      </c>
      <c r="F622" s="4">
        <f>Thiet_ke!$B$12*(Dau_vao!$B$22*(C622/Dau_vao!$B$19)+Dau_vao!$B$23*(C622/Dau_vao!$B$19)^2-Dau_vao!$B$24*(C622/Dau_vao!$B$19)^3)</f>
        <v>39.26338124228629</v>
      </c>
      <c r="G622" s="4">
        <f>60000*F622/(2*PI()*C622)</f>
        <v>393.4288273165666</v>
      </c>
      <c r="H622" s="4">
        <f>G622*Thiet_ke!$B$15*B622*Dau_vao!$B$10/Thiet_ke!$B$7</f>
        <v>5288.762513262919</v>
      </c>
      <c r="I622" s="4">
        <f>IF(D622&lt;=Dau_vao!$B$14,Dau_vao!$B$13,Dau_vao!$B$13*(1+D622^2/1500))</f>
        <v>0.015</v>
      </c>
      <c r="J622" s="4">
        <f>Thiet_ke!$B$8*D622^2</f>
        <v>127.69478049681204</v>
      </c>
      <c r="K622" s="4">
        <f>Thiet_ke!$B$3*I622+J622</f>
        <v>1259.2782804968122</v>
      </c>
      <c r="L622" s="4">
        <f>(H622-J622)/Thiet_ke!$B$3</f>
        <v>0.06841387842036543</v>
      </c>
      <c r="M622" s="4">
        <f>1.05+0.05*B622^2</f>
        <v>1.1822875655532297</v>
      </c>
      <c r="N622" s="4">
        <f>(MIN(H622,Thiet_ke!$B$16)-K622)/(Thiet_ke!$B$2*M622)</f>
        <v>0.4432002522656944</v>
      </c>
      <c r="O622" s="4">
        <f>IF(N622&gt;0,1/N622,"")</f>
        <v>2.2563164052544566</v>
      </c>
    </row>
    <row r="623" spans="1:15">
      <c r="A623">
        <v>4</v>
      </c>
      <c r="B623" s="4">
        <f>Thiet_ke!$B$23</f>
        <v>1.6265765616977859</v>
      </c>
      <c r="C623" s="4">
        <f>Dau_vao!$B$21+(Dau_vao!$B$19-Dau_vao!$B$21)*18/200</f>
        <v>962.0</v>
      </c>
      <c r="D623" s="4">
        <f>2*PI()*C623*Thiet_ke!$B$7/(60*Thiet_ke!$B$15*B623)</f>
        <v>6.669692461801525</v>
      </c>
      <c r="E623" s="4">
        <f>D623*3.6</f>
        <v>24.01089286248549</v>
      </c>
      <c r="F623" s="4">
        <f>Thiet_ke!$B$12*(Dau_vao!$B$22*(C623/Dau_vao!$B$19)+Dau_vao!$B$23*(C623/Dau_vao!$B$19)^2-Dau_vao!$B$24*(C623/Dau_vao!$B$19)^3)</f>
        <v>39.74859553586345</v>
      </c>
      <c r="G623" s="4">
        <f>60000*F623/(2*PI()*C623)</f>
        <v>394.5645817355372</v>
      </c>
      <c r="H623" s="4">
        <f>G623*Thiet_ke!$B$15*B623*Dau_vao!$B$10/Thiet_ke!$B$7</f>
        <v>5304.03016773627</v>
      </c>
      <c r="I623" s="4">
        <f>IF(D623&lt;=Dau_vao!$B$14,Dau_vao!$B$13,Dau_vao!$B$13*(1+D623^2/1500))</f>
        <v>0.015</v>
      </c>
      <c r="J623" s="4">
        <f>Thiet_ke!$B$8*D623^2</f>
        <v>130.1180327899104</v>
      </c>
      <c r="K623" s="4">
        <f>Thiet_ke!$B$3*I623+J623</f>
        <v>1261.7015327899105</v>
      </c>
      <c r="L623" s="4">
        <f>(H623-J623)/Thiet_ke!$B$3</f>
        <v>0.06858414074100179</v>
      </c>
      <c r="M623" s="4">
        <f>1.05+0.05*B623^2</f>
        <v>1.1822875655532297</v>
      </c>
      <c r="N623" s="4">
        <f>(MIN(H623,Thiet_ke!$B$16)-K623)/(Thiet_ke!$B$2*M623)</f>
        <v>0.4446129993960094</v>
      </c>
      <c r="O623" s="4">
        <f>IF(N623&gt;0,1/N623,"")</f>
        <v>2.249147014051464</v>
      </c>
    </row>
    <row r="624" spans="1:15">
      <c r="A624">
        <v>4</v>
      </c>
      <c r="B624" s="4">
        <f>Thiet_ke!$B$23</f>
        <v>1.6265765616977859</v>
      </c>
      <c r="C624" s="4">
        <f>Dau_vao!$B$21+(Dau_vao!$B$19-Dau_vao!$B$21)*19/200</f>
        <v>971.0</v>
      </c>
      <c r="D624" s="4">
        <f>2*PI()*C624*Thiet_ke!$B$7/(60*Thiet_ke!$B$15*B624)</f>
        <v>6.732090832026279</v>
      </c>
      <c r="E624" s="4">
        <f>D624*3.6</f>
        <v>24.235526995294606</v>
      </c>
      <c r="F624" s="4">
        <f>Thiet_ke!$B$12*(Dau_vao!$B$22*(C624/Dau_vao!$B$19)+Dau_vao!$B$23*(C624/Dau_vao!$B$19)^2-Dau_vao!$B$24*(C624/Dau_vao!$B$19)^3)</f>
        <v>40.234903440773806</v>
      </c>
      <c r="G624" s="4">
        <f>60000*F624/(2*PI()*C624)</f>
        <v>395.6900371219933</v>
      </c>
      <c r="H624" s="4">
        <f>G624*Thiet_ke!$B$15*B624*Dau_vao!$B$10/Thiet_ke!$B$7</f>
        <v>5319.159374965026</v>
      </c>
      <c r="I624" s="4">
        <f>IF(D624&lt;=Dau_vao!$B$14,Dau_vao!$B$13,Dau_vao!$B$13*(1+D624^2/1500))</f>
        <v>0.015</v>
      </c>
      <c r="J624" s="4">
        <f>Thiet_ke!$B$8*D624^2</f>
        <v>132.56406238915795</v>
      </c>
      <c r="K624" s="4">
        <f>Thiet_ke!$B$3*I624+J624</f>
        <v>1264.147562389158</v>
      </c>
      <c r="L624" s="4">
        <f>(H624-J624)/Thiet_ke!$B$3</f>
        <v>0.06875226590758703</v>
      </c>
      <c r="M624" s="4">
        <f>1.05+0.05*B624^2</f>
        <v>1.1822875655532297</v>
      </c>
      <c r="N624" s="4">
        <f>(MIN(H624,Thiet_ke!$B$16)-K624)/(Thiet_ke!$B$2*M624)</f>
        <v>0.44600801354675834</v>
      </c>
      <c r="O624" s="4">
        <f>IF(N624&gt;0,1/N624,"")</f>
        <v>2.242112181007175</v>
      </c>
    </row>
    <row r="625" spans="1:15">
      <c r="A625">
        <v>4</v>
      </c>
      <c r="B625" s="4">
        <f>Thiet_ke!$B$23</f>
        <v>1.6265765616977859</v>
      </c>
      <c r="C625" s="4">
        <f>Dau_vao!$B$21+(Dau_vao!$B$19-Dau_vao!$B$21)*20/200</f>
        <v>980.0</v>
      </c>
      <c r="D625" s="4">
        <f>2*PI()*C625*Thiet_ke!$B$7/(60*Thiet_ke!$B$15*B625)</f>
        <v>6.794489202251033</v>
      </c>
      <c r="E625" s="4">
        <f>D625*3.6</f>
        <v>24.46016112810372</v>
      </c>
      <c r="F625" s="4">
        <f>Thiet_ke!$B$12*(Dau_vao!$B$22*(C625/Dau_vao!$B$19)+Dau_vao!$B$23*(C625/Dau_vao!$B$19)^2-Dau_vao!$B$24*(C625/Dau_vao!$B$19)^3)</f>
        <v>40.72227583718894</v>
      </c>
      <c r="G625" s="4">
        <f>60000*F625/(2*PI()*C625)</f>
        <v>396.8051934759349</v>
      </c>
      <c r="H625" s="4">
        <f>G625*Thiet_ke!$B$15*B625*Dau_vao!$B$10/Thiet_ke!$B$7</f>
        <v>5334.150134949188</v>
      </c>
      <c r="I625" s="4">
        <f>IF(D625&lt;=Dau_vao!$B$14,Dau_vao!$B$13,Dau_vao!$B$13*(1+D625^2/1500))</f>
        <v>0.015</v>
      </c>
      <c r="J625" s="4">
        <f>Thiet_ke!$B$8*D625^2</f>
        <v>135.03286929455473</v>
      </c>
      <c r="K625" s="4">
        <f>Thiet_ke!$B$3*I625+J625</f>
        <v>1266.616369294555</v>
      </c>
      <c r="L625" s="4">
        <f>(H625-J625)/Thiet_ke!$B$3</f>
        <v>0.06891825392012121</v>
      </c>
      <c r="M625" s="4">
        <f>1.05+0.05*B625^2</f>
        <v>1.1822875655532297</v>
      </c>
      <c r="N625" s="4">
        <f>(MIN(H625,Thiet_ke!$B$16)-K625)/(Thiet_ke!$B$2*M625)</f>
        <v>0.44738529471794153</v>
      </c>
      <c r="O625" s="4">
        <f>IF(N625&gt;0,1/N625,"")</f>
        <v>2.2352098108867433</v>
      </c>
    </row>
    <row r="626" spans="1:15">
      <c r="A626">
        <v>4</v>
      </c>
      <c r="B626" s="4">
        <f>Thiet_ke!$B$23</f>
        <v>1.6265765616977859</v>
      </c>
      <c r="C626" s="4">
        <f>Dau_vao!$B$21+(Dau_vao!$B$19-Dau_vao!$B$21)*21/200</f>
        <v>989.0</v>
      </c>
      <c r="D626" s="4">
        <f>2*PI()*C626*Thiet_ke!$B$7/(60*Thiet_ke!$B$15*B626)</f>
        <v>6.856887572475787</v>
      </c>
      <c r="E626" s="4">
        <f>D626*3.6</f>
        <v>24.684795260912836</v>
      </c>
      <c r="F626" s="4">
        <f>Thiet_ke!$B$12*(Dau_vao!$B$22*(C626/Dau_vao!$B$19)+Dau_vao!$B$23*(C626/Dau_vao!$B$19)^2-Dau_vao!$B$24*(C626/Dau_vao!$B$19)^3)</f>
        <v>41.210683605280444</v>
      </c>
      <c r="G626" s="4">
        <f>60000*F626/(2*PI()*C626)</f>
        <v>397.91005079736175</v>
      </c>
      <c r="H626" s="4">
        <f>G626*Thiet_ke!$B$15*B626*Dau_vao!$B$10/Thiet_ke!$B$7</f>
        <v>5349.002447688755</v>
      </c>
      <c r="I626" s="4">
        <f>IF(D626&lt;=Dau_vao!$B$14,Dau_vao!$B$13,Dau_vao!$B$13*(1+D626^2/1500))</f>
        <v>0.015</v>
      </c>
      <c r="J626" s="4">
        <f>Thiet_ke!$B$8*D626^2</f>
        <v>137.52445350610074</v>
      </c>
      <c r="K626" s="4">
        <f>Thiet_ke!$B$3*I626+J626</f>
        <v>1269.107953506101</v>
      </c>
      <c r="L626" s="4">
        <f>(H626-J626)/Thiet_ke!$B$3</f>
        <v>0.06908210477860431</v>
      </c>
      <c r="M626" s="4">
        <f>1.05+0.05*B626^2</f>
        <v>1.1822875655532297</v>
      </c>
      <c r="N626" s="4">
        <f>(MIN(H626,Thiet_ke!$B$16)-K626)/(Thiet_ke!$B$2*M626)</f>
        <v>0.44874484290955857</v>
      </c>
      <c r="O626" s="4">
        <f>IF(N626&gt;0,1/N626,"")</f>
        <v>2.2284378657506783</v>
      </c>
    </row>
    <row r="627" spans="1:15">
      <c r="A627">
        <v>4</v>
      </c>
      <c r="B627" s="4">
        <f>Thiet_ke!$B$23</f>
        <v>1.6265765616977859</v>
      </c>
      <c r="C627" s="4">
        <f>Dau_vao!$B$21+(Dau_vao!$B$19-Dau_vao!$B$21)*22/200</f>
        <v>998.0</v>
      </c>
      <c r="D627" s="4">
        <f>2*PI()*C627*Thiet_ke!$B$7/(60*Thiet_ke!$B$15*B627)</f>
        <v>6.919285942700543</v>
      </c>
      <c r="E627" s="4">
        <f>D627*3.6</f>
        <v>24.909429393721954</v>
      </c>
      <c r="F627" s="4">
        <f>Thiet_ke!$B$12*(Dau_vao!$B$22*(C627/Dau_vao!$B$19)+Dau_vao!$B$23*(C627/Dau_vao!$B$19)^2-Dau_vao!$B$24*(C627/Dau_vao!$B$19)^3)</f>
        <v>41.70009762521995</v>
      </c>
      <c r="G627" s="4">
        <f>60000*F627/(2*PI()*C627)</f>
        <v>399.0046090862742</v>
      </c>
      <c r="H627" s="4">
        <f>G627*Thiet_ke!$B$15*B627*Dau_vao!$B$10/Thiet_ke!$B$7</f>
        <v>5363.716313183729</v>
      </c>
      <c r="I627" s="4">
        <f>IF(D627&lt;=Dau_vao!$B$14,Dau_vao!$B$13,Dau_vao!$B$13*(1+D627^2/1500))</f>
        <v>0.015</v>
      </c>
      <c r="J627" s="4">
        <f>Thiet_ke!$B$8*D627^2</f>
        <v>140.03881502379605</v>
      </c>
      <c r="K627" s="4">
        <f>Thiet_ke!$B$3*I627+J627</f>
        <v>1271.6223150237963</v>
      </c>
      <c r="L627" s="4">
        <f>(H627-J627)/Thiet_ke!$B$3</f>
        <v>0.06924381848303637</v>
      </c>
      <c r="M627" s="4">
        <f>1.05+0.05*B627^2</f>
        <v>1.1822875655532297</v>
      </c>
      <c r="N627" s="4">
        <f>(MIN(H627,Thiet_ke!$B$16)-K627)/(Thiet_ke!$B$2*M627)</f>
        <v>0.45008665812160975</v>
      </c>
      <c r="O627" s="4">
        <f>IF(N627&gt;0,1/N627,"")</f>
        <v>2.221794363275279</v>
      </c>
    </row>
    <row r="628" spans="1:15">
      <c r="A628">
        <v>4</v>
      </c>
      <c r="B628" s="4">
        <f>Thiet_ke!$B$23</f>
        <v>1.6265765616977859</v>
      </c>
      <c r="C628" s="4">
        <f>Dau_vao!$B$21+(Dau_vao!$B$19-Dau_vao!$B$21)*23/200</f>
        <v>1007.0</v>
      </c>
      <c r="D628" s="4">
        <f>2*PI()*C628*Thiet_ke!$B$7/(60*Thiet_ke!$B$15*B628)</f>
        <v>6.981684312925297</v>
      </c>
      <c r="E628" s="4">
        <f>D628*3.6</f>
        <v>25.13406352653107</v>
      </c>
      <c r="F628" s="4">
        <f>Thiet_ke!$B$12*(Dau_vao!$B$22*(C628/Dau_vao!$B$19)+Dau_vao!$B$23*(C628/Dau_vao!$B$19)^2-Dau_vao!$B$24*(C628/Dau_vao!$B$19)^3)</f>
        <v>42.19048877717902</v>
      </c>
      <c r="G628" s="4">
        <f>60000*F628/(2*PI()*C628)</f>
        <v>400.0888683426719</v>
      </c>
      <c r="H628" s="4">
        <f>G628*Thiet_ke!$B$15*B628*Dau_vao!$B$10/Thiet_ke!$B$7</f>
        <v>5378.291731434107</v>
      </c>
      <c r="I628" s="4">
        <f>IF(D628&lt;=Dau_vao!$B$14,Dau_vao!$B$13,Dau_vao!$B$13*(1+D628^2/1500))</f>
        <v>0.015</v>
      </c>
      <c r="J628" s="4">
        <f>Thiet_ke!$B$8*D628^2</f>
        <v>142.5759538476405</v>
      </c>
      <c r="K628" s="4">
        <f>Thiet_ke!$B$3*I628+J628</f>
        <v>1274.1594538476406</v>
      </c>
      <c r="L628" s="4">
        <f>(H628-J628)/Thiet_ke!$B$3</f>
        <v>0.06940339503341732</v>
      </c>
      <c r="M628" s="4">
        <f>1.05+0.05*B628^2</f>
        <v>1.1822875655532297</v>
      </c>
      <c r="N628" s="4">
        <f>(MIN(H628,Thiet_ke!$B$16)-K628)/(Thiet_ke!$B$2*M628)</f>
        <v>0.451410740354095</v>
      </c>
      <c r="O628" s="4">
        <f>IF(N628&gt;0,1/N628,"")</f>
        <v>2.215277375136403</v>
      </c>
    </row>
    <row r="629" spans="1:15">
      <c r="A629">
        <v>4</v>
      </c>
      <c r="B629" s="4">
        <f>Thiet_ke!$B$23</f>
        <v>1.6265765616977859</v>
      </c>
      <c r="C629" s="4">
        <f>Dau_vao!$B$21+(Dau_vao!$B$19-Dau_vao!$B$21)*24/200</f>
        <v>1016.0</v>
      </c>
      <c r="D629" s="4">
        <f>2*PI()*C629*Thiet_ke!$B$7/(60*Thiet_ke!$B$15*B629)</f>
        <v>7.044082683150051</v>
      </c>
      <c r="E629" s="4">
        <f>D629*3.6</f>
        <v>25.358697659340184</v>
      </c>
      <c r="F629" s="4">
        <f>Thiet_ke!$B$12*(Dau_vao!$B$22*(C629/Dau_vao!$B$19)+Dau_vao!$B$23*(C629/Dau_vao!$B$19)^2-Dau_vao!$B$24*(C629/Dau_vao!$B$19)^3)</f>
        <v>42.681827941329296</v>
      </c>
      <c r="G629" s="4">
        <f>60000*F629/(2*PI()*C629)</f>
        <v>401.1628285665551</v>
      </c>
      <c r="H629" s="4">
        <f>G629*Thiet_ke!$B$15*B629*Dau_vao!$B$10/Thiet_ke!$B$7</f>
        <v>5392.728702439889</v>
      </c>
      <c r="I629" s="4">
        <f>IF(D629&lt;=Dau_vao!$B$14,Dau_vao!$B$13,Dau_vao!$B$13*(1+D629^2/1500))</f>
        <v>0.015</v>
      </c>
      <c r="J629" s="4">
        <f>Thiet_ke!$B$8*D629^2</f>
        <v>145.1358699776342</v>
      </c>
      <c r="K629" s="4">
        <f>Thiet_ke!$B$3*I629+J629</f>
        <v>1276.7193699776344</v>
      </c>
      <c r="L629" s="4">
        <f>(H629-J629)/Thiet_ke!$B$3</f>
        <v>0.06956083442974718</v>
      </c>
      <c r="M629" s="4">
        <f>1.05+0.05*B629^2</f>
        <v>1.1822875655532297</v>
      </c>
      <c r="N629" s="4">
        <f>(MIN(H629,Thiet_ke!$B$16)-K629)/(Thiet_ke!$B$2*M629)</f>
        <v>0.452717089607014</v>
      </c>
      <c r="O629" s="4">
        <f>IF(N629&gt;0,1/N629,"")</f>
        <v>2.2088850254538897</v>
      </c>
    </row>
    <row r="630" spans="1:15">
      <c r="A630">
        <v>4</v>
      </c>
      <c r="B630" s="4">
        <f>Thiet_ke!$B$23</f>
        <v>1.6265765616977859</v>
      </c>
      <c r="C630" s="4">
        <f>Dau_vao!$B$21+(Dau_vao!$B$19-Dau_vao!$B$21)*25/200</f>
        <v>1025.0</v>
      </c>
      <c r="D630" s="4">
        <f>2*PI()*C630*Thiet_ke!$B$7/(60*Thiet_ke!$B$15*B630)</f>
        <v>7.106481053374805</v>
      </c>
      <c r="E630" s="4">
        <f>D630*3.6</f>
        <v>25.5833317921493</v>
      </c>
      <c r="F630" s="4">
        <f>Thiet_ke!$B$12*(Dau_vao!$B$22*(C630/Dau_vao!$B$19)+Dau_vao!$B$23*(C630/Dau_vao!$B$19)^2-Dau_vao!$B$24*(C630/Dau_vao!$B$19)^3)</f>
        <v>43.17408599784235</v>
      </c>
      <c r="G630" s="4">
        <f>60000*F630/(2*PI()*C630)</f>
        <v>402.22648975792356</v>
      </c>
      <c r="H630" s="4">
        <f>G630*Thiet_ke!$B$15*B630*Dau_vao!$B$10/Thiet_ke!$B$7</f>
        <v>5407.0272262010785</v>
      </c>
      <c r="I630" s="4">
        <f>IF(D630&lt;=Dau_vao!$B$14,Dau_vao!$B$13,Dau_vao!$B$13*(1+D630^2/1500))</f>
        <v>0.015</v>
      </c>
      <c r="J630" s="4">
        <f>Thiet_ke!$B$8*D630^2</f>
        <v>147.7185634137771</v>
      </c>
      <c r="K630" s="4">
        <f>Thiet_ke!$B$3*I630+J630</f>
        <v>1279.3020634137772</v>
      </c>
      <c r="L630" s="4">
        <f>(H630-J630)/Thiet_ke!$B$3</f>
        <v>0.06971613667202599</v>
      </c>
      <c r="M630" s="4">
        <f>1.05+0.05*B630^2</f>
        <v>1.1822875655532297</v>
      </c>
      <c r="N630" s="4">
        <f>(MIN(H630,Thiet_ke!$B$16)-K630)/(Thiet_ke!$B$2*M630)</f>
        <v>0.4540057058803672</v>
      </c>
      <c r="O630" s="4">
        <f>IF(N630&gt;0,1/N630,"")</f>
        <v>2.2026154892941037</v>
      </c>
    </row>
    <row r="631" spans="1:15">
      <c r="A631">
        <v>4</v>
      </c>
      <c r="B631" s="4">
        <f>Thiet_ke!$B$23</f>
        <v>1.6265765616977859</v>
      </c>
      <c r="C631" s="4">
        <f>Dau_vao!$B$21+(Dau_vao!$B$19-Dau_vao!$B$21)*26/200</f>
        <v>1034.0</v>
      </c>
      <c r="D631" s="4">
        <f>2*PI()*C631*Thiet_ke!$B$7/(60*Thiet_ke!$B$15*B631)</f>
        <v>7.168879423599559</v>
      </c>
      <c r="E631" s="4">
        <f>D631*3.6</f>
        <v>25.807965924958413</v>
      </c>
      <c r="F631" s="4">
        <f>Thiet_ke!$B$12*(Dau_vao!$B$22*(C631/Dau_vao!$B$19)+Dau_vao!$B$23*(C631/Dau_vao!$B$19)^2-Dau_vao!$B$24*(C631/Dau_vao!$B$19)^3)</f>
        <v>43.667233826889785</v>
      </c>
      <c r="G631" s="4">
        <f>60000*F631/(2*PI()*C631)</f>
        <v>403.27985191677743</v>
      </c>
      <c r="H631" s="4">
        <f>G631*Thiet_ke!$B$15*B631*Dau_vao!$B$10/Thiet_ke!$B$7</f>
        <v>5421.187302717672</v>
      </c>
      <c r="I631" s="4">
        <f>IF(D631&lt;=Dau_vao!$B$14,Dau_vao!$B$13,Dau_vao!$B$13*(1+D631^2/1500))</f>
        <v>0.015</v>
      </c>
      <c r="J631" s="4">
        <f>Thiet_ke!$B$8*D631^2</f>
        <v>150.32403415606927</v>
      </c>
      <c r="K631" s="4">
        <f>Thiet_ke!$B$3*I631+J631</f>
        <v>1281.9075341560695</v>
      </c>
      <c r="L631" s="4">
        <f>(H631-J631)/Thiet_ke!$B$3</f>
        <v>0.06986930176025369</v>
      </c>
      <c r="M631" s="4">
        <f>1.05+0.05*B631^2</f>
        <v>1.1822875655532297</v>
      </c>
      <c r="N631" s="4">
        <f>(MIN(H631,Thiet_ke!$B$16)-K631)/(Thiet_ke!$B$2*M631)</f>
        <v>0.4552765891741543</v>
      </c>
      <c r="O631" s="4">
        <f>IF(N631&gt;0,1/N631,"")</f>
        <v>2.1964669912282178</v>
      </c>
    </row>
    <row r="632" spans="1:15">
      <c r="A632">
        <v>4</v>
      </c>
      <c r="B632" s="4">
        <f>Thiet_ke!$B$23</f>
        <v>1.6265765616977859</v>
      </c>
      <c r="C632" s="4">
        <f>Dau_vao!$B$21+(Dau_vao!$B$19-Dau_vao!$B$21)*27/200</f>
        <v>1043.0</v>
      </c>
      <c r="D632" s="4">
        <f>2*PI()*C632*Thiet_ke!$B$7/(60*Thiet_ke!$B$15*B632)</f>
        <v>7.231277793824314</v>
      </c>
      <c r="E632" s="4">
        <f>D632*3.6</f>
        <v>26.03260005776753</v>
      </c>
      <c r="F632" s="4">
        <f>Thiet_ke!$B$12*(Dau_vao!$B$22*(C632/Dau_vao!$B$19)+Dau_vao!$B$23*(C632/Dau_vao!$B$19)^2-Dau_vao!$B$24*(C632/Dau_vao!$B$19)^3)</f>
        <v>44.161242308643224</v>
      </c>
      <c r="G632" s="4">
        <f>60000*F632/(2*PI()*C632)</f>
        <v>404.3229150431168</v>
      </c>
      <c r="H632" s="4">
        <f>G632*Thiet_ke!$B$15*B632*Dau_vao!$B$10/Thiet_ke!$B$7</f>
        <v>5435.20893198967</v>
      </c>
      <c r="I632" s="4">
        <f>IF(D632&lt;=Dau_vao!$B$14,Dau_vao!$B$13,Dau_vao!$B$13*(1+D632^2/1500))</f>
        <v>0.015</v>
      </c>
      <c r="J632" s="4">
        <f>Thiet_ke!$B$8*D632^2</f>
        <v>152.9522822045107</v>
      </c>
      <c r="K632" s="4">
        <f>Thiet_ke!$B$3*I632+J632</f>
        <v>1284.535782204511</v>
      </c>
      <c r="L632" s="4">
        <f>(H632-J632)/Thiet_ke!$B$3</f>
        <v>0.07002032969443031</v>
      </c>
      <c r="M632" s="4">
        <f>1.05+0.05*B632^2</f>
        <v>1.1822875655532297</v>
      </c>
      <c r="N632" s="4">
        <f>(MIN(H632,Thiet_ke!$B$16)-K632)/(Thiet_ke!$B$2*M632)</f>
        <v>0.4565297394883754</v>
      </c>
      <c r="O632" s="4">
        <f>IF(N632&gt;0,1/N632,"")</f>
        <v>2.190437803943905</v>
      </c>
    </row>
    <row r="633" spans="1:15">
      <c r="A633">
        <v>4</v>
      </c>
      <c r="B633" s="4">
        <f>Thiet_ke!$B$23</f>
        <v>1.6265765616977859</v>
      </c>
      <c r="C633" s="4">
        <f>Dau_vao!$B$21+(Dau_vao!$B$19-Dau_vao!$B$21)*28/200</f>
        <v>1052.0</v>
      </c>
      <c r="D633" s="4">
        <f>2*PI()*C633*Thiet_ke!$B$7/(60*Thiet_ke!$B$15*B633)</f>
        <v>7.293676164049069</v>
      </c>
      <c r="E633" s="4">
        <f>D633*3.6</f>
        <v>26.25723419057665</v>
      </c>
      <c r="F633" s="4">
        <f>Thiet_ke!$B$12*(Dau_vao!$B$22*(C633/Dau_vao!$B$19)+Dau_vao!$B$23*(C633/Dau_vao!$B$19)^2-Dau_vao!$B$24*(C633/Dau_vao!$B$19)^3)</f>
        <v>44.65608232327426</v>
      </c>
      <c r="G633" s="4">
        <f>60000*F633/(2*PI()*C633)</f>
        <v>405.35567913694155</v>
      </c>
      <c r="H633" s="4">
        <f>G633*Thiet_ke!$B$15*B633*Dau_vao!$B$10/Thiet_ke!$B$7</f>
        <v>5449.092114017075</v>
      </c>
      <c r="I633" s="4">
        <f>IF(D633&lt;=Dau_vao!$B$14,Dau_vao!$B$13,Dau_vao!$B$13*(1+D633^2/1500))</f>
        <v>0.015</v>
      </c>
      <c r="J633" s="4">
        <f>Thiet_ke!$B$8*D633^2</f>
        <v>155.60330755910132</v>
      </c>
      <c r="K633" s="4">
        <f>Thiet_ke!$B$3*I633+J633</f>
        <v>1287.1868075591015</v>
      </c>
      <c r="L633" s="4">
        <f>(H633-J633)/Thiet_ke!$B$3</f>
        <v>0.07016922047455587</v>
      </c>
      <c r="M633" s="4">
        <f>1.05+0.05*B633^2</f>
        <v>1.1822875655532297</v>
      </c>
      <c r="N633" s="4">
        <f>(MIN(H633,Thiet_ke!$B$16)-K633)/(Thiet_ke!$B$2*M633)</f>
        <v>0.4577651568230305</v>
      </c>
      <c r="O633" s="4">
        <f>IF(N633&gt;0,1/N633,"")</f>
        <v>2.184526246908291</v>
      </c>
    </row>
    <row r="634" spans="1:15">
      <c r="A634">
        <v>4</v>
      </c>
      <c r="B634" s="4">
        <f>Thiet_ke!$B$23</f>
        <v>1.6265765616977859</v>
      </c>
      <c r="C634" s="4">
        <f>Dau_vao!$B$21+(Dau_vao!$B$19-Dau_vao!$B$21)*29/200</f>
        <v>1061.0</v>
      </c>
      <c r="D634" s="4">
        <f>2*PI()*C634*Thiet_ke!$B$7/(60*Thiet_ke!$B$15*B634)</f>
        <v>7.356074534273823</v>
      </c>
      <c r="E634" s="4">
        <f>D634*3.6</f>
        <v>26.481868323385765</v>
      </c>
      <c r="F634" s="4">
        <f>Thiet_ke!$B$12*(Dau_vao!$B$22*(C634/Dau_vao!$B$19)+Dau_vao!$B$23*(C634/Dau_vao!$B$19)^2-Dau_vao!$B$24*(C634/Dau_vao!$B$19)^3)</f>
        <v>45.151724750954486</v>
      </c>
      <c r="G634" s="4">
        <f>60000*F634/(2*PI()*C634)</f>
        <v>406.3781441982517</v>
      </c>
      <c r="H634" s="4">
        <f>G634*Thiet_ke!$B$15*B634*Dau_vao!$B$10/Thiet_ke!$B$7</f>
        <v>5462.836848799886</v>
      </c>
      <c r="I634" s="4">
        <f>IF(D634&lt;=Dau_vao!$B$14,Dau_vao!$B$13,Dau_vao!$B$13*(1+D634^2/1500))</f>
        <v>0.015</v>
      </c>
      <c r="J634" s="4">
        <f>Thiet_ke!$B$8*D634^2</f>
        <v>158.27711021984115</v>
      </c>
      <c r="K634" s="4">
        <f>Thiet_ke!$B$3*I634+J634</f>
        <v>1289.8606102198414</v>
      </c>
      <c r="L634" s="4">
        <f>(H634-J634)/Thiet_ke!$B$3</f>
        <v>0.07031597410063037</v>
      </c>
      <c r="M634" s="4">
        <f>1.05+0.05*B634^2</f>
        <v>1.1822875655532297</v>
      </c>
      <c r="N634" s="4">
        <f>(MIN(H634,Thiet_ke!$B$16)-K634)/(Thiet_ke!$B$2*M634)</f>
        <v>0.4589828411781198</v>
      </c>
      <c r="O634" s="4">
        <f>IF(N634&gt;0,1/N634,"")</f>
        <v>2.178730685080066</v>
      </c>
    </row>
    <row r="635" spans="1:15">
      <c r="A635">
        <v>4</v>
      </c>
      <c r="B635" s="4">
        <f>Thiet_ke!$B$23</f>
        <v>1.6265765616977859</v>
      </c>
      <c r="C635" s="4">
        <f>Dau_vao!$B$21+(Dau_vao!$B$19-Dau_vao!$B$21)*30/200</f>
        <v>1070.0</v>
      </c>
      <c r="D635" s="4">
        <f>2*PI()*C635*Thiet_ke!$B$7/(60*Thiet_ke!$B$15*B635)</f>
        <v>7.418472904498577</v>
      </c>
      <c r="E635" s="4">
        <f>D635*3.6</f>
        <v>26.706502456194876</v>
      </c>
      <c r="F635" s="4">
        <f>Thiet_ke!$B$12*(Dau_vao!$B$22*(C635/Dau_vao!$B$19)+Dau_vao!$B$23*(C635/Dau_vao!$B$19)^2-Dau_vao!$B$24*(C635/Dau_vao!$B$19)^3)</f>
        <v>45.64814047185552</v>
      </c>
      <c r="G635" s="4">
        <f>60000*F635/(2*PI()*C635)</f>
        <v>407.3903102270473</v>
      </c>
      <c r="H635" s="4">
        <f>G635*Thiet_ke!$B$15*B635*Dau_vao!$B$10/Thiet_ke!$B$7</f>
        <v>5476.443136338101</v>
      </c>
      <c r="I635" s="4">
        <f>IF(D635&lt;=Dau_vao!$B$14,Dau_vao!$B$13,Dau_vao!$B$13*(1+D635^2/1500))</f>
        <v>0.015</v>
      </c>
      <c r="J635" s="4">
        <f>Thiet_ke!$B$8*D635^2</f>
        <v>160.9736901867302</v>
      </c>
      <c r="K635" s="4">
        <f>Thiet_ke!$B$3*I635+J635</f>
        <v>1292.5571901867304</v>
      </c>
      <c r="L635" s="4">
        <f>(H635-J635)/Thiet_ke!$B$3</f>
        <v>0.07046059057265376</v>
      </c>
      <c r="M635" s="4">
        <f>1.05+0.05*B635^2</f>
        <v>1.1822875655532297</v>
      </c>
      <c r="N635" s="4">
        <f>(MIN(H635,Thiet_ke!$B$16)-K635)/(Thiet_ke!$B$2*M635)</f>
        <v>0.46018279255364297</v>
      </c>
      <c r="O635" s="4">
        <f>IF(N635&gt;0,1/N635,"")</f>
        <v>2.173049527668793</v>
      </c>
    </row>
    <row r="636" spans="1:15">
      <c r="A636">
        <v>4</v>
      </c>
      <c r="B636" s="4">
        <f>Thiet_ke!$B$23</f>
        <v>1.6265765616977859</v>
      </c>
      <c r="C636" s="4">
        <f>Dau_vao!$B$21+(Dau_vao!$B$19-Dau_vao!$B$21)*31/200</f>
        <v>1079.0</v>
      </c>
      <c r="D636" s="4">
        <f>2*PI()*C636*Thiet_ke!$B$7/(60*Thiet_ke!$B$15*B636)</f>
        <v>7.480871274723331</v>
      </c>
      <c r="E636" s="4">
        <f>D636*3.6</f>
        <v>26.93113658900399</v>
      </c>
      <c r="F636" s="4">
        <f>Thiet_ke!$B$12*(Dau_vao!$B$22*(C636/Dau_vao!$B$19)+Dau_vao!$B$23*(C636/Dau_vao!$B$19)^2-Dau_vao!$B$24*(C636/Dau_vao!$B$19)^3)</f>
        <v>46.14530036614894</v>
      </c>
      <c r="G636" s="4">
        <f>60000*F636/(2*PI()*C636)</f>
        <v>408.3921772233282</v>
      </c>
      <c r="H636" s="4">
        <f>G636*Thiet_ke!$B$15*B636*Dau_vao!$B$10/Thiet_ke!$B$7</f>
        <v>5489.9109766317215</v>
      </c>
      <c r="I636" s="4">
        <f>IF(D636&lt;=Dau_vao!$B$14,Dau_vao!$B$13,Dau_vao!$B$13*(1+D636^2/1500))</f>
        <v>0.015</v>
      </c>
      <c r="J636" s="4">
        <f>Thiet_ke!$B$8*D636^2</f>
        <v>163.69304745976848</v>
      </c>
      <c r="K636" s="4">
        <f>Thiet_ke!$B$3*I636+J636</f>
        <v>1295.2765474597686</v>
      </c>
      <c r="L636" s="4">
        <f>(H636-J636)/Thiet_ke!$B$3</f>
        <v>0.07060306989062609</v>
      </c>
      <c r="M636" s="4">
        <f>1.05+0.05*B636^2</f>
        <v>1.1822875655532297</v>
      </c>
      <c r="N636" s="4">
        <f>(MIN(H636,Thiet_ke!$B$16)-K636)/(Thiet_ke!$B$2*M636)</f>
        <v>0.4613650109496002</v>
      </c>
      <c r="O636" s="4">
        <f>IF(N636&gt;0,1/N636,"")</f>
        <v>2.1674812269395103</v>
      </c>
    </row>
    <row r="637" spans="1:15">
      <c r="A637">
        <v>4</v>
      </c>
      <c r="B637" s="4">
        <f>Thiet_ke!$B$23</f>
        <v>1.6265765616977859</v>
      </c>
      <c r="C637" s="4">
        <f>Dau_vao!$B$21+(Dau_vao!$B$19-Dau_vao!$B$21)*32/200</f>
        <v>1088.0</v>
      </c>
      <c r="D637" s="4">
        <f>2*PI()*C637*Thiet_ke!$B$7/(60*Thiet_ke!$B$15*B637)</f>
        <v>7.5432696449480865</v>
      </c>
      <c r="E637" s="4">
        <f>D637*3.6</f>
        <v>27.155770721813113</v>
      </c>
      <c r="F637" s="4">
        <f>Thiet_ke!$B$12*(Dau_vao!$B$22*(C637/Dau_vao!$B$19)+Dau_vao!$B$23*(C637/Dau_vao!$B$19)^2-Dau_vao!$B$24*(C637/Dau_vao!$B$19)^3)</f>
        <v>46.64317531400637</v>
      </c>
      <c r="G637" s="4">
        <f>60000*F637/(2*PI()*C637)</f>
        <v>409.3837451870946</v>
      </c>
      <c r="H637" s="4">
        <f>G637*Thiet_ke!$B$15*B637*Dau_vao!$B$10/Thiet_ke!$B$7</f>
        <v>5503.240369680749</v>
      </c>
      <c r="I637" s="4">
        <f>IF(D637&lt;=Dau_vao!$B$14,Dau_vao!$B$13,Dau_vao!$B$13*(1+D637^2/1500))</f>
        <v>0.015</v>
      </c>
      <c r="J637" s="4">
        <f>Thiet_ke!$B$8*D637^2</f>
        <v>166.43518203895607</v>
      </c>
      <c r="K637" s="4">
        <f>Thiet_ke!$B$3*I637+J637</f>
        <v>1298.0186820389563</v>
      </c>
      <c r="L637" s="4">
        <f>(H637-J637)/Thiet_ke!$B$3</f>
        <v>0.07074341205454736</v>
      </c>
      <c r="M637" s="4">
        <f>1.05+0.05*B637^2</f>
        <v>1.1822875655532297</v>
      </c>
      <c r="N637" s="4">
        <f>(MIN(H637,Thiet_ke!$B$16)-K637)/(Thiet_ke!$B$2*M637)</f>
        <v>0.4625294963659916</v>
      </c>
      <c r="O637" s="4">
        <f>IF(N637&gt;0,1/N637,"")</f>
        <v>2.1620242770608455</v>
      </c>
    </row>
    <row r="638" spans="1:15">
      <c r="A638">
        <v>4</v>
      </c>
      <c r="B638" s="4">
        <f>Thiet_ke!$B$23</f>
        <v>1.6265765616977859</v>
      </c>
      <c r="C638" s="4">
        <f>Dau_vao!$B$21+(Dau_vao!$B$19-Dau_vao!$B$21)*33/200</f>
        <v>1097.0</v>
      </c>
      <c r="D638" s="4">
        <f>2*PI()*C638*Thiet_ke!$B$7/(60*Thiet_ke!$B$15*B638)</f>
        <v>7.60566801517284</v>
      </c>
      <c r="E638" s="4">
        <f>D638*3.6</f>
        <v>27.380404854622228</v>
      </c>
      <c r="F638" s="4">
        <f>Thiet_ke!$B$12*(Dau_vao!$B$22*(C638/Dau_vao!$B$19)+Dau_vao!$B$23*(C638/Dau_vao!$B$19)^2-Dau_vao!$B$24*(C638/Dau_vao!$B$19)^3)</f>
        <v>47.1417361955994</v>
      </c>
      <c r="G638" s="4">
        <f>60000*F638/(2*PI()*C638)</f>
        <v>410.3650141183463</v>
      </c>
      <c r="H638" s="4">
        <f>G638*Thiet_ke!$B$15*B638*Dau_vao!$B$10/Thiet_ke!$B$7</f>
        <v>5516.43131548518</v>
      </c>
      <c r="I638" s="4">
        <f>IF(D638&lt;=Dau_vao!$B$14,Dau_vao!$B$13,Dau_vao!$B$13*(1+D638^2/1500))</f>
        <v>0.015</v>
      </c>
      <c r="J638" s="4">
        <f>Thiet_ke!$B$8*D638^2</f>
        <v>169.2000939242928</v>
      </c>
      <c r="K638" s="4">
        <f>Thiet_ke!$B$3*I638+J638</f>
        <v>1300.783593924293</v>
      </c>
      <c r="L638" s="4">
        <f>(H638-J638)/Thiet_ke!$B$3</f>
        <v>0.07088161706441752</v>
      </c>
      <c r="M638" s="4">
        <f>1.05+0.05*B638^2</f>
        <v>1.1822875655532297</v>
      </c>
      <c r="N638" s="4">
        <f>(MIN(H638,Thiet_ke!$B$16)-K638)/(Thiet_ke!$B$2*M638)</f>
        <v>0.46367624880281677</v>
      </c>
      <c r="O638" s="4">
        <f>IF(N638&gt;0,1/N638,"")</f>
        <v>2.1566772129949245</v>
      </c>
    </row>
    <row r="639" spans="1:15">
      <c r="A639">
        <v>4</v>
      </c>
      <c r="B639" s="4">
        <f>Thiet_ke!$B$23</f>
        <v>1.6265765616977859</v>
      </c>
      <c r="C639" s="4">
        <f>Dau_vao!$B$21+(Dau_vao!$B$19-Dau_vao!$B$21)*34/200</f>
        <v>1106.0</v>
      </c>
      <c r="D639" s="4">
        <f>2*PI()*C639*Thiet_ke!$B$7/(60*Thiet_ke!$B$15*B639)</f>
        <v>7.668066385397594</v>
      </c>
      <c r="E639" s="4">
        <f>D639*3.6</f>
        <v>27.60503898743134</v>
      </c>
      <c r="F639" s="4">
        <f>Thiet_ke!$B$12*(Dau_vao!$B$22*(C639/Dau_vao!$B$19)+Dau_vao!$B$23*(C639/Dau_vao!$B$19)^2-Dau_vao!$B$24*(C639/Dau_vao!$B$19)^3)</f>
        <v>47.64095389109963</v>
      </c>
      <c r="G639" s="4">
        <f>60000*F639/(2*PI()*C639)</f>
        <v>411.33598401708343</v>
      </c>
      <c r="H639" s="4">
        <f>G639*Thiet_ke!$B$15*B639*Dau_vao!$B$10/Thiet_ke!$B$7</f>
        <v>5529.483814045015</v>
      </c>
      <c r="I639" s="4">
        <f>IF(D639&lt;=Dau_vao!$B$14,Dau_vao!$B$13,Dau_vao!$B$13*(1+D639^2/1500))</f>
        <v>0.015</v>
      </c>
      <c r="J639" s="4">
        <f>Thiet_ke!$B$8*D639^2</f>
        <v>171.98778311577874</v>
      </c>
      <c r="K639" s="4">
        <f>Thiet_ke!$B$3*I639+J639</f>
        <v>1303.571283115779</v>
      </c>
      <c r="L639" s="4">
        <f>(H639-J639)/Thiet_ke!$B$3</f>
        <v>0.07101768492023658</v>
      </c>
      <c r="M639" s="4">
        <f>1.05+0.05*B639^2</f>
        <v>1.1822875655532297</v>
      </c>
      <c r="N639" s="4">
        <f>(MIN(H639,Thiet_ke!$B$16)-K639)/(Thiet_ke!$B$2*M639)</f>
        <v>0.46480526826007584</v>
      </c>
      <c r="O639" s="4">
        <f>IF(N639&gt;0,1/N639,"")</f>
        <v>2.1514386094274274</v>
      </c>
    </row>
    <row r="640" spans="1:15">
      <c r="A640">
        <v>4</v>
      </c>
      <c r="B640" s="4">
        <f>Thiet_ke!$B$23</f>
        <v>1.6265765616977859</v>
      </c>
      <c r="C640" s="4">
        <f>Dau_vao!$B$21+(Dau_vao!$B$19-Dau_vao!$B$21)*35/200</f>
        <v>1115.0</v>
      </c>
      <c r="D640" s="4">
        <f>2*PI()*C640*Thiet_ke!$B$7/(60*Thiet_ke!$B$15*B640)</f>
        <v>7.73046475562235</v>
      </c>
      <c r="E640" s="4">
        <f>D640*3.6</f>
        <v>27.82967312024046</v>
      </c>
      <c r="F640" s="4">
        <f>Thiet_ke!$B$12*(Dau_vao!$B$22*(C640/Dau_vao!$B$19)+Dau_vao!$B$23*(C640/Dau_vao!$B$19)^2-Dau_vao!$B$24*(C640/Dau_vao!$B$19)^3)</f>
        <v>48.14079928067868</v>
      </c>
      <c r="G640" s="4">
        <f>60000*F640/(2*PI()*C640)</f>
        <v>412.29665488330613</v>
      </c>
      <c r="H640" s="4">
        <f>G640*Thiet_ke!$B$15*B640*Dau_vao!$B$10/Thiet_ke!$B$7</f>
        <v>5542.397865360259</v>
      </c>
      <c r="I640" s="4">
        <f>IF(D640&lt;=Dau_vao!$B$14,Dau_vao!$B$13,Dau_vao!$B$13*(1+D640^2/1500))</f>
        <v>0.015</v>
      </c>
      <c r="J640" s="4">
        <f>Thiet_ke!$B$8*D640^2</f>
        <v>174.79824961341404</v>
      </c>
      <c r="K640" s="4">
        <f>Thiet_ke!$B$3*I640+J640</f>
        <v>1306.3817496134143</v>
      </c>
      <c r="L640" s="4">
        <f>(H640-J640)/Thiet_ke!$B$3</f>
        <v>0.07115161562200463</v>
      </c>
      <c r="M640" s="4">
        <f>1.05+0.05*B640^2</f>
        <v>1.1822875655532297</v>
      </c>
      <c r="N640" s="4">
        <f>(MIN(H640,Thiet_ke!$B$16)-K640)/(Thiet_ke!$B$2*M640)</f>
        <v>0.46591655473776933</v>
      </c>
      <c r="O640" s="4">
        <f>IF(N640&gt;0,1/N640,"")</f>
        <v>2.146307079736258</v>
      </c>
    </row>
    <row r="641" spans="1:15">
      <c r="A641">
        <v>4</v>
      </c>
      <c r="B641" s="4">
        <f>Thiet_ke!$B$23</f>
        <v>1.6265765616977859</v>
      </c>
      <c r="C641" s="4">
        <f>Dau_vao!$B$21+(Dau_vao!$B$19-Dau_vao!$B$21)*36/200</f>
        <v>1124.0</v>
      </c>
      <c r="D641" s="4">
        <f>2*PI()*C641*Thiet_ke!$B$7/(60*Thiet_ke!$B$15*B641)</f>
        <v>7.792863125847104</v>
      </c>
      <c r="E641" s="4">
        <f>D641*3.6</f>
        <v>28.054307253049576</v>
      </c>
      <c r="F641" s="4">
        <f>Thiet_ke!$B$12*(Dau_vao!$B$22*(C641/Dau_vao!$B$19)+Dau_vao!$B$23*(C641/Dau_vao!$B$19)^2-Dau_vao!$B$24*(C641/Dau_vao!$B$19)^3)</f>
        <v>48.64124324450813</v>
      </c>
      <c r="G641" s="4">
        <f>60000*F641/(2*PI()*C641)</f>
        <v>413.2470267170141</v>
      </c>
      <c r="H641" s="4">
        <f>G641*Thiet_ke!$B$15*B641*Dau_vao!$B$10/Thiet_ke!$B$7</f>
        <v>5555.173469430907</v>
      </c>
      <c r="I641" s="4">
        <f>IF(D641&lt;=Dau_vao!$B$14,Dau_vao!$B$13,Dau_vao!$B$13*(1+D641^2/1500))</f>
        <v>0.015</v>
      </c>
      <c r="J641" s="4">
        <f>Thiet_ke!$B$8*D641^2</f>
        <v>177.63149341719844</v>
      </c>
      <c r="K641" s="4">
        <f>Thiet_ke!$B$3*I641+J641</f>
        <v>1309.2149934171987</v>
      </c>
      <c r="L641" s="4">
        <f>(H641-J641)/Thiet_ke!$B$3</f>
        <v>0.07128340916972156</v>
      </c>
      <c r="M641" s="4">
        <f>1.05+0.05*B641^2</f>
        <v>1.1822875655532297</v>
      </c>
      <c r="N641" s="4">
        <f>(MIN(H641,Thiet_ke!$B$16)-K641)/(Thiet_ke!$B$2*M641)</f>
        <v>0.4670101082358967</v>
      </c>
      <c r="O641" s="4">
        <f>IF(N641&gt;0,1/N641,"")</f>
        <v>2.1412812749973256</v>
      </c>
    </row>
    <row r="642" spans="1:15">
      <c r="A642">
        <v>4</v>
      </c>
      <c r="B642" s="4">
        <f>Thiet_ke!$B$23</f>
        <v>1.6265765616977859</v>
      </c>
      <c r="C642" s="4">
        <f>Dau_vao!$B$21+(Dau_vao!$B$19-Dau_vao!$B$21)*37/200</f>
        <v>1133.0</v>
      </c>
      <c r="D642" s="4">
        <f>2*PI()*C642*Thiet_ke!$B$7/(60*Thiet_ke!$B$15*B642)</f>
        <v>7.855261496071858</v>
      </c>
      <c r="E642" s="4">
        <f>D642*3.6</f>
        <v>28.27894138585869</v>
      </c>
      <c r="F642" s="4">
        <f>Thiet_ke!$B$12*(Dau_vao!$B$22*(C642/Dau_vao!$B$19)+Dau_vao!$B$23*(C642/Dau_vao!$B$19)^2-Dau_vao!$B$24*(C642/Dau_vao!$B$19)^3)</f>
        <v>49.1422566627596</v>
      </c>
      <c r="G642" s="4">
        <f>60000*F642/(2*PI()*C642)</f>
        <v>414.18709951820756</v>
      </c>
      <c r="H642" s="4">
        <f>G642*Thiet_ke!$B$15*B642*Dau_vao!$B$10/Thiet_ke!$B$7</f>
        <v>5567.810626256961</v>
      </c>
      <c r="I642" s="4">
        <f>IF(D642&lt;=Dau_vao!$B$14,Dau_vao!$B$13,Dau_vao!$B$13*(1+D642^2/1500))</f>
        <v>0.015</v>
      </c>
      <c r="J642" s="4">
        <f>Thiet_ke!$B$8*D642^2</f>
        <v>180.48751452713208</v>
      </c>
      <c r="K642" s="4">
        <f>Thiet_ke!$B$3*I642+J642</f>
        <v>1312.0710145271323</v>
      </c>
      <c r="L642" s="4">
        <f>(H642-J642)/Thiet_ke!$B$3</f>
        <v>0.07141306556338743</v>
      </c>
      <c r="M642" s="4">
        <f>1.05+0.05*B642^2</f>
        <v>1.1822875655532297</v>
      </c>
      <c r="N642" s="4">
        <f>(MIN(H642,Thiet_ke!$B$16)-K642)/(Thiet_ke!$B$2*M642)</f>
        <v>0.4680859287544581</v>
      </c>
      <c r="O642" s="4">
        <f>IF(N642&gt;0,1/N642,"")</f>
        <v>2.13635988302602</v>
      </c>
    </row>
    <row r="643" spans="1:15">
      <c r="A643">
        <v>4</v>
      </c>
      <c r="B643" s="4">
        <f>Thiet_ke!$B$23</f>
        <v>1.6265765616977859</v>
      </c>
      <c r="C643" s="4">
        <f>Dau_vao!$B$21+(Dau_vao!$B$19-Dau_vao!$B$21)*38/200</f>
        <v>1142.0</v>
      </c>
      <c r="D643" s="4">
        <f>2*PI()*C643*Thiet_ke!$B$7/(60*Thiet_ke!$B$15*B643)</f>
        <v>7.917659866296612</v>
      </c>
      <c r="E643" s="4">
        <f>D643*3.6</f>
        <v>28.5035755186678</v>
      </c>
      <c r="F643" s="4">
        <f>Thiet_ke!$B$12*(Dau_vao!$B$22*(C643/Dau_vao!$B$19)+Dau_vao!$B$23*(C643/Dau_vao!$B$19)^2-Dau_vao!$B$24*(C643/Dau_vao!$B$19)^3)</f>
        <v>49.643810415604676</v>
      </c>
      <c r="G643" s="4">
        <f>60000*F643/(2*PI()*C643)</f>
        <v>415.11687328688635</v>
      </c>
      <c r="H643" s="4">
        <f>G643*Thiet_ke!$B$15*B643*Dau_vao!$B$10/Thiet_ke!$B$7</f>
        <v>5580.309335838419</v>
      </c>
      <c r="I643" s="4">
        <f>IF(D643&lt;=Dau_vao!$B$14,Dau_vao!$B$13,Dau_vao!$B$13*(1+D643^2/1500))</f>
        <v>0.015</v>
      </c>
      <c r="J643" s="4">
        <f>Thiet_ke!$B$8*D643^2</f>
        <v>183.36631294321495</v>
      </c>
      <c r="K643" s="4">
        <f>Thiet_ke!$B$3*I643+J643</f>
        <v>1314.9498129432152</v>
      </c>
      <c r="L643" s="4">
        <f>(H643-J643)/Thiet_ke!$B$3</f>
        <v>0.07154058480300221</v>
      </c>
      <c r="M643" s="4">
        <f>1.05+0.05*B643^2</f>
        <v>1.1822875655532297</v>
      </c>
      <c r="N643" s="4">
        <f>(MIN(H643,Thiet_ke!$B$16)-K643)/(Thiet_ke!$B$2*M643)</f>
        <v>0.4691440162934535</v>
      </c>
      <c r="O643" s="4">
        <f>IF(N643&gt;0,1/N643,"")</f>
        <v>2.131541627453033</v>
      </c>
    </row>
    <row r="644" spans="1:15">
      <c r="A644">
        <v>4</v>
      </c>
      <c r="B644" s="4">
        <f>Thiet_ke!$B$23</f>
        <v>1.6265765616977859</v>
      </c>
      <c r="C644" s="4">
        <f>Dau_vao!$B$21+(Dau_vao!$B$19-Dau_vao!$B$21)*39/200</f>
        <v>1151.0</v>
      </c>
      <c r="D644" s="4">
        <f>2*PI()*C644*Thiet_ke!$B$7/(60*Thiet_ke!$B$15*B644)</f>
        <v>7.9800582365213675</v>
      </c>
      <c r="E644" s="4">
        <f>D644*3.6</f>
        <v>28.728209651476924</v>
      </c>
      <c r="F644" s="4">
        <f>Thiet_ke!$B$12*(Dau_vao!$B$22*(C644/Dau_vao!$B$19)+Dau_vao!$B$23*(C644/Dau_vao!$B$19)^2-Dau_vao!$B$24*(C644/Dau_vao!$B$19)^3)</f>
        <v>50.14587538321496</v>
      </c>
      <c r="G644" s="4">
        <f>60000*F644/(2*PI()*C644)</f>
        <v>416.03634802305055</v>
      </c>
      <c r="H644" s="4">
        <f>G644*Thiet_ke!$B$15*B644*Dau_vao!$B$10/Thiet_ke!$B$7</f>
        <v>5592.669598175282</v>
      </c>
      <c r="I644" s="4">
        <f>IF(D644&lt;=Dau_vao!$B$14,Dau_vao!$B$13,Dau_vao!$B$13*(1+D644^2/1500))</f>
        <v>0.015</v>
      </c>
      <c r="J644" s="4">
        <f>Thiet_ke!$B$8*D644^2</f>
        <v>186.26788866544712</v>
      </c>
      <c r="K644" s="4">
        <f>Thiet_ke!$B$3*I644+J644</f>
        <v>1317.8513886654473</v>
      </c>
      <c r="L644" s="4">
        <f>(H644-J644)/Thiet_ke!$B$3</f>
        <v>0.07166596688856591</v>
      </c>
      <c r="M644" s="4">
        <f>1.05+0.05*B644^2</f>
        <v>1.1822875655532297</v>
      </c>
      <c r="N644" s="4">
        <f>(MIN(H644,Thiet_ke!$B$16)-K644)/(Thiet_ke!$B$2*M644)</f>
        <v>0.47018437085288267</v>
      </c>
      <c r="O644" s="4">
        <f>IF(N644&gt;0,1/N644,"")</f>
        <v>2.1268252668332375</v>
      </c>
    </row>
    <row r="645" spans="1:15">
      <c r="A645">
        <v>4</v>
      </c>
      <c r="B645" s="4">
        <f>Thiet_ke!$B$23</f>
        <v>1.6265765616977859</v>
      </c>
      <c r="C645" s="4">
        <f>Dau_vao!$B$21+(Dau_vao!$B$19-Dau_vao!$B$21)*40/200</f>
        <v>1160.0</v>
      </c>
      <c r="D645" s="4">
        <f>2*PI()*C645*Thiet_ke!$B$7/(60*Thiet_ke!$B$15*B645)</f>
        <v>8.042456606746121</v>
      </c>
      <c r="E645" s="4">
        <f>D645*3.6</f>
        <v>28.95284378428604</v>
      </c>
      <c r="F645" s="4">
        <f>Thiet_ke!$B$12*(Dau_vao!$B$22*(C645/Dau_vao!$B$19)+Dau_vao!$B$23*(C645/Dau_vao!$B$19)^2-Dau_vao!$B$24*(C645/Dau_vao!$B$19)^3)</f>
        <v>50.648422445762066</v>
      </c>
      <c r="G645" s="4">
        <f>60000*F645/(2*PI()*C645)</f>
        <v>416.9455237267002</v>
      </c>
      <c r="H645" s="4">
        <f>G645*Thiet_ke!$B$15*B645*Dau_vao!$B$10/Thiet_ke!$B$7</f>
        <v>5604.891413267553</v>
      </c>
      <c r="I645" s="4">
        <f>IF(D645&lt;=Dau_vao!$B$14,Dau_vao!$B$13,Dau_vao!$B$13*(1+D645^2/1500))</f>
        <v>0.015</v>
      </c>
      <c r="J645" s="4">
        <f>Thiet_ke!$B$8*D645^2</f>
        <v>189.19224169382846</v>
      </c>
      <c r="K645" s="4">
        <f>Thiet_ke!$B$3*I645+J645</f>
        <v>1320.7757416938286</v>
      </c>
      <c r="L645" s="4">
        <f>(H645-J645)/Thiet_ke!$B$3</f>
        <v>0.07178921182007855</v>
      </c>
      <c r="M645" s="4">
        <f>1.05+0.05*B645^2</f>
        <v>1.1822875655532297</v>
      </c>
      <c r="N645" s="4">
        <f>(MIN(H645,Thiet_ke!$B$16)-K645)/(Thiet_ke!$B$2*M645)</f>
        <v>0.4712069924327463</v>
      </c>
      <c r="O645" s="4">
        <f>IF(N645&gt;0,1/N645,"")</f>
        <v>2.1222095937863794</v>
      </c>
    </row>
    <row r="646" spans="1:15">
      <c r="A646">
        <v>4</v>
      </c>
      <c r="B646" s="4">
        <f>Thiet_ke!$B$23</f>
        <v>1.6265765616977859</v>
      </c>
      <c r="C646" s="4">
        <f>Dau_vao!$B$21+(Dau_vao!$B$19-Dau_vao!$B$21)*41/200</f>
        <v>1169.0</v>
      </c>
      <c r="D646" s="4">
        <f>2*PI()*C646*Thiet_ke!$B$7/(60*Thiet_ke!$B$15*B646)</f>
        <v>8.104854976970877</v>
      </c>
      <c r="E646" s="4">
        <f>D646*3.6</f>
        <v>29.177477917095157</v>
      </c>
      <c r="F646" s="4">
        <f>Thiet_ke!$B$12*(Dau_vao!$B$22*(C646/Dau_vao!$B$19)+Dau_vao!$B$23*(C646/Dau_vao!$B$19)^2-Dau_vao!$B$24*(C646/Dau_vao!$B$19)^3)</f>
        <v>51.151422483417576</v>
      </c>
      <c r="G646" s="4">
        <f>60000*F646/(2*PI()*C646)</f>
        <v>417.8444003978351</v>
      </c>
      <c r="H646" s="4">
        <f>G646*Thiet_ke!$B$15*B646*Dau_vao!$B$10/Thiet_ke!$B$7</f>
        <v>5616.974781115227</v>
      </c>
      <c r="I646" s="4">
        <f>IF(D646&lt;=Dau_vao!$B$14,Dau_vao!$B$13,Dau_vao!$B$13*(1+D646^2/1500))</f>
        <v>0.015</v>
      </c>
      <c r="J646" s="4">
        <f>Thiet_ke!$B$8*D646^2</f>
        <v>192.13937202835908</v>
      </c>
      <c r="K646" s="4">
        <f>Thiet_ke!$B$3*I646+J646</f>
        <v>1323.7228720283592</v>
      </c>
      <c r="L646" s="4">
        <f>(H646-J646)/Thiet_ke!$B$3</f>
        <v>0.07191031959754009</v>
      </c>
      <c r="M646" s="4">
        <f>1.05+0.05*B646^2</f>
        <v>1.1822875655532297</v>
      </c>
      <c r="N646" s="4">
        <f>(MIN(H646,Thiet_ke!$B$16)-K646)/(Thiet_ke!$B$2*M646)</f>
        <v>0.4722118810330436</v>
      </c>
      <c r="O646" s="4">
        <f>IF(N646&gt;0,1/N646,"")</f>
        <v>2.1176934341684293</v>
      </c>
    </row>
    <row r="647" spans="1:15">
      <c r="A647">
        <v>4</v>
      </c>
      <c r="B647" s="4">
        <f>Thiet_ke!$B$23</f>
        <v>1.6265765616977859</v>
      </c>
      <c r="C647" s="4">
        <f>Dau_vao!$B$21+(Dau_vao!$B$19-Dau_vao!$B$21)*42/200</f>
        <v>1178.0</v>
      </c>
      <c r="D647" s="4">
        <f>2*PI()*C647*Thiet_ke!$B$7/(60*Thiet_ke!$B$15*B647)</f>
        <v>8.16725334719563</v>
      </c>
      <c r="E647" s="4">
        <f>D647*3.6</f>
        <v>29.402112049904265</v>
      </c>
      <c r="F647" s="4">
        <f>Thiet_ke!$B$12*(Dau_vao!$B$22*(C647/Dau_vao!$B$19)+Dau_vao!$B$23*(C647/Dau_vao!$B$19)^2-Dau_vao!$B$24*(C647/Dau_vao!$B$19)^3)</f>
        <v>51.65484637635312</v>
      </c>
      <c r="G647" s="4">
        <f>60000*F647/(2*PI()*C647)</f>
        <v>418.73297803645556</v>
      </c>
      <c r="H647" s="4">
        <f>G647*Thiet_ke!$B$15*B647*Dau_vao!$B$10/Thiet_ke!$B$7</f>
        <v>5628.919701718306</v>
      </c>
      <c r="I647" s="4">
        <f>IF(D647&lt;=Dau_vao!$B$14,Dau_vao!$B$13,Dau_vao!$B$13*(1+D647^2/1500))</f>
        <v>0.015</v>
      </c>
      <c r="J647" s="4">
        <f>Thiet_ke!$B$8*D647^2</f>
        <v>195.10927966903878</v>
      </c>
      <c r="K647" s="4">
        <f>Thiet_ke!$B$3*I647+J647</f>
        <v>1326.692779669039</v>
      </c>
      <c r="L647" s="4">
        <f>(H647-J647)/Thiet_ke!$B$3</f>
        <v>0.07202929022095055</v>
      </c>
      <c r="M647" s="4">
        <f>1.05+0.05*B647^2</f>
        <v>1.1822875655532297</v>
      </c>
      <c r="N647" s="4">
        <f>(MIN(H647,Thiet_ke!$B$16)-K647)/(Thiet_ke!$B$2*M647)</f>
        <v>0.4731990366537749</v>
      </c>
      <c r="O647" s="4">
        <f>IF(N647&gt;0,1/N647,"")</f>
        <v>2.1132756462724354</v>
      </c>
    </row>
    <row r="648" spans="1:15">
      <c r="A648">
        <v>4</v>
      </c>
      <c r="B648" s="4">
        <f>Thiet_ke!$B$23</f>
        <v>1.6265765616977859</v>
      </c>
      <c r="C648" s="4">
        <f>Dau_vao!$B$21+(Dau_vao!$B$19-Dau_vao!$B$21)*43/200</f>
        <v>1187.0</v>
      </c>
      <c r="D648" s="4">
        <f>2*PI()*C648*Thiet_ke!$B$7/(60*Thiet_ke!$B$15*B648)</f>
        <v>8.229651717420385</v>
      </c>
      <c r="E648" s="4">
        <f>D648*3.6</f>
        <v>29.626746182713386</v>
      </c>
      <c r="F648" s="4">
        <f>Thiet_ke!$B$12*(Dau_vao!$B$22*(C648/Dau_vao!$B$19)+Dau_vao!$B$23*(C648/Dau_vao!$B$19)^2-Dau_vao!$B$24*(C648/Dau_vao!$B$19)^3)</f>
        <v>52.15866500474027</v>
      </c>
      <c r="G648" s="4">
        <f>60000*F648/(2*PI()*C648)</f>
        <v>419.61125664256133</v>
      </c>
      <c r="H648" s="4">
        <f>G648*Thiet_ke!$B$15*B648*Dau_vao!$B$10/Thiet_ke!$B$7</f>
        <v>5640.726175076792</v>
      </c>
      <c r="I648" s="4">
        <f>IF(D648&lt;=Dau_vao!$B$14,Dau_vao!$B$13,Dau_vao!$B$13*(1+D648^2/1500))</f>
        <v>0.015</v>
      </c>
      <c r="J648" s="4">
        <f>Thiet_ke!$B$8*D648^2</f>
        <v>198.10196461586787</v>
      </c>
      <c r="K648" s="4">
        <f>Thiet_ke!$B$3*I648+J648</f>
        <v>1329.685464615868</v>
      </c>
      <c r="L648" s="4">
        <f>(H648-J648)/Thiet_ke!$B$3</f>
        <v>0.07214612369030995</v>
      </c>
      <c r="M648" s="4">
        <f>1.05+0.05*B648^2</f>
        <v>1.1822875655532297</v>
      </c>
      <c r="N648" s="4">
        <f>(MIN(H648,Thiet_ke!$B$16)-K648)/(Thiet_ke!$B$2*M648)</f>
        <v>0.4741684592949404</v>
      </c>
      <c r="O648" s="4">
        <f>IF(N648&gt;0,1/N648,"")</f>
        <v>2.1089551200578356</v>
      </c>
    </row>
    <row r="649" spans="1:15">
      <c r="A649">
        <v>4</v>
      </c>
      <c r="B649" s="4">
        <f>Thiet_ke!$B$23</f>
        <v>1.6265765616977859</v>
      </c>
      <c r="C649" s="4">
        <f>Dau_vao!$B$21+(Dau_vao!$B$19-Dau_vao!$B$21)*44/200</f>
        <v>1196.0</v>
      </c>
      <c r="D649" s="4">
        <f>2*PI()*C649*Thiet_ke!$B$7/(60*Thiet_ke!$B$15*B649)</f>
        <v>8.292050087645139</v>
      </c>
      <c r="E649" s="4">
        <f>D649*3.6</f>
        <v>29.8513803155225</v>
      </c>
      <c r="F649" s="4">
        <f>Thiet_ke!$B$12*(Dau_vao!$B$22*(C649/Dau_vao!$B$19)+Dau_vao!$B$23*(C649/Dau_vao!$B$19)^2-Dau_vao!$B$24*(C649/Dau_vao!$B$19)^3)</f>
        <v>52.66284924875066</v>
      </c>
      <c r="G649" s="4">
        <f>60000*F649/(2*PI()*C649)</f>
        <v>420.4792362161526</v>
      </c>
      <c r="H649" s="4">
        <f>G649*Thiet_ke!$B$15*B649*Dau_vao!$B$10/Thiet_ke!$B$7</f>
        <v>5652.394201190685</v>
      </c>
      <c r="I649" s="4">
        <f>IF(D649&lt;=Dau_vao!$B$14,Dau_vao!$B$13,Dau_vao!$B$13*(1+D649^2/1500))</f>
        <v>0.015</v>
      </c>
      <c r="J649" s="4">
        <f>Thiet_ke!$B$8*D649^2</f>
        <v>201.1174268688461</v>
      </c>
      <c r="K649" s="4">
        <f>Thiet_ke!$B$3*I649+J649</f>
        <v>1332.7009268688462</v>
      </c>
      <c r="L649" s="4">
        <f>(H649-J649)/Thiet_ke!$B$3</f>
        <v>0.07226082000561829</v>
      </c>
      <c r="M649" s="4">
        <f>1.05+0.05*B649^2</f>
        <v>1.1822875655532297</v>
      </c>
      <c r="N649" s="4">
        <f>(MIN(H649,Thiet_ke!$B$16)-K649)/(Thiet_ke!$B$2*M649)</f>
        <v>0.47512014895654003</v>
      </c>
      <c r="O649" s="4">
        <f>IF(N649&gt;0,1/N649,"")</f>
        <v>2.1047307764071936</v>
      </c>
    </row>
    <row r="650" spans="1:15">
      <c r="A650">
        <v>4</v>
      </c>
      <c r="B650" s="4">
        <f>Thiet_ke!$B$23</f>
        <v>1.6265765616977859</v>
      </c>
      <c r="C650" s="4">
        <f>Dau_vao!$B$21+(Dau_vao!$B$19-Dau_vao!$B$21)*45/200</f>
        <v>1205.0</v>
      </c>
      <c r="D650" s="4">
        <f>2*PI()*C650*Thiet_ke!$B$7/(60*Thiet_ke!$B$15*B650)</f>
        <v>8.354448457869893</v>
      </c>
      <c r="E650" s="4">
        <f>D650*3.6</f>
        <v>30.076014448331616</v>
      </c>
      <c r="F650" s="4">
        <f>Thiet_ke!$B$12*(Dau_vao!$B$22*(C650/Dau_vao!$B$19)+Dau_vao!$B$23*(C650/Dau_vao!$B$19)^2-Dau_vao!$B$24*(C650/Dau_vao!$B$19)^3)</f>
        <v>53.16736998855586</v>
      </c>
      <c r="G650" s="4">
        <f>60000*F650/(2*PI()*C650)</f>
        <v>421.3369167572292</v>
      </c>
      <c r="H650" s="4">
        <f>G650*Thiet_ke!$B$15*B650*Dau_vao!$B$10/Thiet_ke!$B$7</f>
        <v>5663.92378005998</v>
      </c>
      <c r="I650" s="4">
        <f>IF(D650&lt;=Dau_vao!$B$14,Dau_vao!$B$13,Dau_vao!$B$13*(1+D650^2/1500))</f>
        <v>0.015</v>
      </c>
      <c r="J650" s="4">
        <f>Thiet_ke!$B$8*D650^2</f>
        <v>204.15566642797356</v>
      </c>
      <c r="K650" s="4">
        <f>Thiet_ke!$B$3*I650+J650</f>
        <v>1335.7391664279737</v>
      </c>
      <c r="L650" s="4">
        <f>(H650-J650)/Thiet_ke!$B$3</f>
        <v>0.07237337916687553</v>
      </c>
      <c r="M650" s="4">
        <f>1.05+0.05*B650^2</f>
        <v>1.1822875655532297</v>
      </c>
      <c r="N650" s="4">
        <f>(MIN(H650,Thiet_ke!$B$16)-K650)/(Thiet_ke!$B$2*M650)</f>
        <v>0.4760541056385734</v>
      </c>
      <c r="O650" s="4">
        <f>IF(N650&gt;0,1/N650,"")</f>
        <v>2.100601566409372</v>
      </c>
    </row>
    <row r="651" spans="1:15">
      <c r="A651">
        <v>4</v>
      </c>
      <c r="B651" s="4">
        <f>Thiet_ke!$B$23</f>
        <v>1.6265765616977859</v>
      </c>
      <c r="C651" s="4">
        <f>Dau_vao!$B$21+(Dau_vao!$B$19-Dau_vao!$B$21)*46/200</f>
        <v>1214.0</v>
      </c>
      <c r="D651" s="4">
        <f>2*PI()*C651*Thiet_ke!$B$7/(60*Thiet_ke!$B$15*B651)</f>
        <v>8.416846828094648</v>
      </c>
      <c r="E651" s="4">
        <f>D651*3.6</f>
        <v>30.300648581140734</v>
      </c>
      <c r="F651" s="4">
        <f>Thiet_ke!$B$12*(Dau_vao!$B$22*(C651/Dau_vao!$B$19)+Dau_vao!$B$23*(C651/Dau_vao!$B$19)^2-Dau_vao!$B$24*(C651/Dau_vao!$B$19)^3)</f>
        <v>53.67219810432749</v>
      </c>
      <c r="G651" s="4">
        <f>60000*F651/(2*PI()*C651)</f>
        <v>422.1842982657912</v>
      </c>
      <c r="H651" s="4">
        <f>G651*Thiet_ke!$B$15*B651*Dau_vao!$B$10/Thiet_ke!$B$7</f>
        <v>5675.314911684682</v>
      </c>
      <c r="I651" s="4">
        <f>IF(D651&lt;=Dau_vao!$B$14,Dau_vao!$B$13,Dau_vao!$B$13*(1+D651^2/1500))</f>
        <v>0.015</v>
      </c>
      <c r="J651" s="4">
        <f>Thiet_ke!$B$8*D651^2</f>
        <v>207.21668329325033</v>
      </c>
      <c r="K651" s="4">
        <f>Thiet_ke!$B$3*I651+J651</f>
        <v>1338.8001832932505</v>
      </c>
      <c r="L651" s="4">
        <f>(H651-J651)/Thiet_ke!$B$3</f>
        <v>0.07248380117408168</v>
      </c>
      <c r="M651" s="4">
        <f>1.05+0.05*B651^2</f>
        <v>1.1822875655532297</v>
      </c>
      <c r="N651" s="4">
        <f>(MIN(H651,Thiet_ke!$B$16)-K651)/(Thiet_ke!$B$2*M651)</f>
        <v>0.4769703293410409</v>
      </c>
      <c r="O651" s="4">
        <f>IF(N651&gt;0,1/N651,"")</f>
        <v>2.0965664706682103</v>
      </c>
    </row>
    <row r="652" spans="1:15">
      <c r="A652">
        <v>4</v>
      </c>
      <c r="B652" s="4">
        <f>Thiet_ke!$B$23</f>
        <v>1.6265765616977859</v>
      </c>
      <c r="C652" s="4">
        <f>Dau_vao!$B$21+(Dau_vao!$B$19-Dau_vao!$B$21)*47/200</f>
        <v>1223.0</v>
      </c>
      <c r="D652" s="4">
        <f>2*PI()*C652*Thiet_ke!$B$7/(60*Thiet_ke!$B$15*B652)</f>
        <v>8.479245198319402</v>
      </c>
      <c r="E652" s="4">
        <f>D652*3.6</f>
        <v>30.52528271394985</v>
      </c>
      <c r="F652" s="4">
        <f>Thiet_ke!$B$12*(Dau_vao!$B$22*(C652/Dau_vao!$B$19)+Dau_vao!$B$23*(C652/Dau_vao!$B$19)^2-Dau_vao!$B$24*(C652/Dau_vao!$B$19)^3)</f>
        <v>54.177304476237154</v>
      </c>
      <c r="G652" s="4">
        <f>60000*F652/(2*PI()*C652)</f>
        <v>423.02138074183864</v>
      </c>
      <c r="H652" s="4">
        <f>G652*Thiet_ke!$B$15*B652*Dau_vao!$B$10/Thiet_ke!$B$7</f>
        <v>5686.5675960647895</v>
      </c>
      <c r="I652" s="4">
        <f>IF(D652&lt;=Dau_vao!$B$14,Dau_vao!$B$13,Dau_vao!$B$13*(1+D652^2/1500))</f>
        <v>0.015</v>
      </c>
      <c r="J652" s="4">
        <f>Thiet_ke!$B$8*D652^2</f>
        <v>210.30047746467625</v>
      </c>
      <c r="K652" s="4">
        <f>Thiet_ke!$B$3*I652+J652</f>
        <v>1341.8839774646765</v>
      </c>
      <c r="L652" s="4">
        <f>(H652-J652)/Thiet_ke!$B$3</f>
        <v>0.07259208602723678</v>
      </c>
      <c r="M652" s="4">
        <f>1.05+0.05*B652^2</f>
        <v>1.1822875655532297</v>
      </c>
      <c r="N652" s="4">
        <f>(MIN(H652,Thiet_ke!$B$16)-K652)/(Thiet_ke!$B$2*M652)</f>
        <v>0.47786882006394243</v>
      </c>
      <c r="O652" s="4">
        <f>IF(N652&gt;0,1/N652,"")</f>
        <v>2.092624498635823</v>
      </c>
    </row>
    <row r="653" spans="1:15">
      <c r="A653">
        <v>4</v>
      </c>
      <c r="B653" s="4">
        <f>Thiet_ke!$B$23</f>
        <v>1.6265765616977859</v>
      </c>
      <c r="C653" s="4">
        <f>Dau_vao!$B$21+(Dau_vao!$B$19-Dau_vao!$B$21)*48/200</f>
        <v>1232.0</v>
      </c>
      <c r="D653" s="4">
        <f>2*PI()*C653*Thiet_ke!$B$7/(60*Thiet_ke!$B$15*B653)</f>
        <v>8.541643568544156</v>
      </c>
      <c r="E653" s="4">
        <f>D653*3.6</f>
        <v>30.749916846758964</v>
      </c>
      <c r="F653" s="4">
        <f>Thiet_ke!$B$12*(Dau_vao!$B$22*(C653/Dau_vao!$B$19)+Dau_vao!$B$23*(C653/Dau_vao!$B$19)^2-Dau_vao!$B$24*(C653/Dau_vao!$B$19)^3)</f>
        <v>54.682659984456436</v>
      </c>
      <c r="G653" s="4">
        <f>60000*F653/(2*PI()*C653)</f>
        <v>423.84816418537145</v>
      </c>
      <c r="H653" s="4">
        <f>G653*Thiet_ke!$B$15*B653*Dau_vao!$B$10/Thiet_ke!$B$7</f>
        <v>5697.681833200302</v>
      </c>
      <c r="I653" s="4">
        <f>IF(D653&lt;=Dau_vao!$B$14,Dau_vao!$B$13,Dau_vao!$B$13*(1+D653^2/1500))</f>
        <v>0.015</v>
      </c>
      <c r="J653" s="4">
        <f>Thiet_ke!$B$8*D653^2</f>
        <v>213.40704894225138</v>
      </c>
      <c r="K653" s="4">
        <f>Thiet_ke!$B$3*I653+J653</f>
        <v>1344.9905489422515</v>
      </c>
      <c r="L653" s="4">
        <f>(H653-J653)/Thiet_ke!$B$3</f>
        <v>0.0726982337263408</v>
      </c>
      <c r="M653" s="4">
        <f>1.05+0.05*B653^2</f>
        <v>1.1822875655532297</v>
      </c>
      <c r="N653" s="4">
        <f>(MIN(H653,Thiet_ke!$B$16)-K653)/(Thiet_ke!$B$2*M653)</f>
        <v>0.478749577807278</v>
      </c>
      <c r="O653" s="4">
        <f>IF(N653&gt;0,1/N653,"")</f>
        <v>2.0887746879696527</v>
      </c>
    </row>
    <row r="654" spans="1:15">
      <c r="A654">
        <v>4</v>
      </c>
      <c r="B654" s="4">
        <f>Thiet_ke!$B$23</f>
        <v>1.6265765616977859</v>
      </c>
      <c r="C654" s="4">
        <f>Dau_vao!$B$21+(Dau_vao!$B$19-Dau_vao!$B$21)*49/200</f>
        <v>1241.0</v>
      </c>
      <c r="D654" s="4">
        <f>2*PI()*C654*Thiet_ke!$B$7/(60*Thiet_ke!$B$15*B654)</f>
        <v>8.60404193876891</v>
      </c>
      <c r="E654" s="4">
        <f>D654*3.6</f>
        <v>30.97455097956808</v>
      </c>
      <c r="F654" s="4">
        <f>Thiet_ke!$B$12*(Dau_vao!$B$22*(C654/Dau_vao!$B$19)+Dau_vao!$B$23*(C654/Dau_vao!$B$19)^2-Dau_vao!$B$24*(C654/Dau_vao!$B$19)^3)</f>
        <v>55.188235509156954</v>
      </c>
      <c r="G654" s="4">
        <f>60000*F654/(2*PI()*C654)</f>
        <v>424.66464859638967</v>
      </c>
      <c r="H654" s="4">
        <f>G654*Thiet_ke!$B$15*B654*Dau_vao!$B$10/Thiet_ke!$B$7</f>
        <v>5708.657623091218</v>
      </c>
      <c r="I654" s="4">
        <f>IF(D654&lt;=Dau_vao!$B$14,Dau_vao!$B$13,Dau_vao!$B$13*(1+D654^2/1500))</f>
        <v>0.015</v>
      </c>
      <c r="J654" s="4">
        <f>Thiet_ke!$B$8*D654^2</f>
        <v>216.53639772597575</v>
      </c>
      <c r="K654" s="4">
        <f>Thiet_ke!$B$3*I654+J654</f>
        <v>1348.119897725976</v>
      </c>
      <c r="L654" s="4">
        <f>(H654-J654)/Thiet_ke!$B$3</f>
        <v>0.07280224427139369</v>
      </c>
      <c r="M654" s="4">
        <f>1.05+0.05*B654^2</f>
        <v>1.1822875655532297</v>
      </c>
      <c r="N654" s="4">
        <f>(MIN(H654,Thiet_ke!$B$16)-K654)/(Thiet_ke!$B$2*M654)</f>
        <v>0.4796126025710474</v>
      </c>
      <c r="O654" s="4">
        <f>IF(N654&gt;0,1/N654,"")</f>
        <v>2.0850161039124595</v>
      </c>
    </row>
    <row r="655" spans="1:15">
      <c r="A655">
        <v>4</v>
      </c>
      <c r="B655" s="4">
        <f>Thiet_ke!$B$23</f>
        <v>1.6265765616977859</v>
      </c>
      <c r="C655" s="4">
        <f>Dau_vao!$B$21+(Dau_vao!$B$19-Dau_vao!$B$21)*50/200</f>
        <v>1250.0</v>
      </c>
      <c r="D655" s="4">
        <f>2*PI()*C655*Thiet_ke!$B$7/(60*Thiet_ke!$B$15*B655)</f>
        <v>8.666440308993666</v>
      </c>
      <c r="E655" s="4">
        <f>D655*3.6</f>
        <v>31.199185112377197</v>
      </c>
      <c r="F655" s="4">
        <f>Thiet_ke!$B$12*(Dau_vao!$B$22*(C655/Dau_vao!$B$19)+Dau_vao!$B$23*(C655/Dau_vao!$B$19)^2-Dau_vao!$B$24*(C655/Dau_vao!$B$19)^3)</f>
        <v>55.69400193051032</v>
      </c>
      <c r="G655" s="4">
        <f>60000*F655/(2*PI()*C655)</f>
        <v>425.47083397489337</v>
      </c>
      <c r="H655" s="4">
        <f>G655*Thiet_ke!$B$15*B655*Dau_vao!$B$10/Thiet_ke!$B$7</f>
        <v>5719.494965737543</v>
      </c>
      <c r="I655" s="4">
        <f>IF(D655&lt;=Dau_vao!$B$14,Dau_vao!$B$13,Dau_vao!$B$13*(1+D655^2/1500))</f>
        <v>0.015</v>
      </c>
      <c r="J655" s="4">
        <f>Thiet_ke!$B$8*D655^2</f>
        <v>219.6885238158494</v>
      </c>
      <c r="K655" s="4">
        <f>Thiet_ke!$B$3*I655+J655</f>
        <v>1351.2720238158495</v>
      </c>
      <c r="L655" s="4">
        <f>(H655-J655)/Thiet_ke!$B$3</f>
        <v>0.07290411766239556</v>
      </c>
      <c r="M655" s="4">
        <f>1.05+0.05*B655^2</f>
        <v>1.1822875655532297</v>
      </c>
      <c r="N655" s="4">
        <f>(MIN(H655,Thiet_ke!$B$16)-K655)/(Thiet_ke!$B$2*M655)</f>
        <v>0.480457894355251</v>
      </c>
      <c r="O655" s="4">
        <f>IF(N655&gt;0,1/N655,"")</f>
        <v>2.081347838694475</v>
      </c>
    </row>
    <row r="656" spans="1:15">
      <c r="A656">
        <v>4</v>
      </c>
      <c r="B656" s="4">
        <f>Thiet_ke!$B$23</f>
        <v>1.6265765616977859</v>
      </c>
      <c r="C656" s="4">
        <f>Dau_vao!$B$21+(Dau_vao!$B$19-Dau_vao!$B$21)*51/200</f>
        <v>1259.0</v>
      </c>
      <c r="D656" s="4">
        <f>2*PI()*C656*Thiet_ke!$B$7/(60*Thiet_ke!$B$15*B656)</f>
        <v>8.72883867921842</v>
      </c>
      <c r="E656" s="4">
        <f>D656*3.6</f>
        <v>31.423819245186312</v>
      </c>
      <c r="F656" s="4">
        <f>Thiet_ke!$B$12*(Dau_vao!$B$22*(C656/Dau_vao!$B$19)+Dau_vao!$B$23*(C656/Dau_vao!$B$19)^2-Dau_vao!$B$24*(C656/Dau_vao!$B$19)^3)</f>
        <v>56.199930128688095</v>
      </c>
      <c r="G656" s="4">
        <f>60000*F656/(2*PI()*C656)</f>
        <v>426.2667203208824</v>
      </c>
      <c r="H656" s="4">
        <f>G656*Thiet_ke!$B$15*B656*Dau_vao!$B$10/Thiet_ke!$B$7</f>
        <v>5730.193861139272</v>
      </c>
      <c r="I656" s="4">
        <f>IF(D656&lt;=Dau_vao!$B$14,Dau_vao!$B$13,Dau_vao!$B$13*(1+D656^2/1500))</f>
        <v>0.015</v>
      </c>
      <c r="J656" s="4">
        <f>Thiet_ke!$B$8*D656^2</f>
        <v>222.86342721187228</v>
      </c>
      <c r="K656" s="4">
        <f>Thiet_ke!$B$3*I656+J656</f>
        <v>1354.4469272118724</v>
      </c>
      <c r="L656" s="4">
        <f>(H656-J656)/Thiet_ke!$B$3</f>
        <v>0.07300385389934634</v>
      </c>
      <c r="M656" s="4">
        <f>1.05+0.05*B656^2</f>
        <v>1.1822875655532297</v>
      </c>
      <c r="N656" s="4">
        <f>(MIN(H656,Thiet_ke!$B$16)-K656)/(Thiet_ke!$B$2*M656)</f>
        <v>0.4812854531598887</v>
      </c>
      <c r="O656" s="4">
        <f>IF(N656&gt;0,1/N656,"")</f>
        <v>2.077769010956972</v>
      </c>
    </row>
    <row r="657" spans="1:15">
      <c r="A657">
        <v>4</v>
      </c>
      <c r="B657" s="4">
        <f>Thiet_ke!$B$23</f>
        <v>1.6265765616977859</v>
      </c>
      <c r="C657" s="4">
        <f>Dau_vao!$B$21+(Dau_vao!$B$19-Dau_vao!$B$21)*52/200</f>
        <v>1268.0</v>
      </c>
      <c r="D657" s="4">
        <f>2*PI()*C657*Thiet_ke!$B$7/(60*Thiet_ke!$B$15*B657)</f>
        <v>8.791237049443174</v>
      </c>
      <c r="E657" s="4">
        <f>D657*3.6</f>
        <v>31.648453377995427</v>
      </c>
      <c r="F657" s="4">
        <f>Thiet_ke!$B$12*(Dau_vao!$B$22*(C657/Dau_vao!$B$19)+Dau_vao!$B$23*(C657/Dau_vao!$B$19)^2-Dau_vao!$B$24*(C657/Dau_vao!$B$19)^3)</f>
        <v>56.70599098386193</v>
      </c>
      <c r="G657" s="4">
        <f>60000*F657/(2*PI()*C657)</f>
        <v>427.0523076343569</v>
      </c>
      <c r="H657" s="4">
        <f>G657*Thiet_ke!$B$15*B657*Dau_vao!$B$10/Thiet_ke!$B$7</f>
        <v>5740.754309296405</v>
      </c>
      <c r="I657" s="4">
        <f>IF(D657&lt;=Dau_vao!$B$14,Dau_vao!$B$13,Dau_vao!$B$13*(1+D657^2/1500))</f>
        <v>0.015</v>
      </c>
      <c r="J657" s="4">
        <f>Thiet_ke!$B$8*D657^2</f>
        <v>226.06110791404433</v>
      </c>
      <c r="K657" s="4">
        <f>Thiet_ke!$B$3*I657+J657</f>
        <v>1357.6446079140446</v>
      </c>
      <c r="L657" s="4">
        <f>(H657-J657)/Thiet_ke!$B$3</f>
        <v>0.07310145298224603</v>
      </c>
      <c r="M657" s="4">
        <f>1.05+0.05*B657^2</f>
        <v>1.1822875655532297</v>
      </c>
      <c r="N657" s="4">
        <f>(MIN(H657,Thiet_ke!$B$16)-K657)/(Thiet_ke!$B$2*M657)</f>
        <v>0.48209527898496013</v>
      </c>
      <c r="O657" s="4">
        <f>IF(N657&gt;0,1/N657,"")</f>
        <v>2.0742787651965306</v>
      </c>
    </row>
    <row r="658" spans="1:15">
      <c r="A658">
        <v>4</v>
      </c>
      <c r="B658" s="4">
        <f>Thiet_ke!$B$23</f>
        <v>1.6265765616977859</v>
      </c>
      <c r="C658" s="4">
        <f>Dau_vao!$B$21+(Dau_vao!$B$19-Dau_vao!$B$21)*53/200</f>
        <v>1277.0</v>
      </c>
      <c r="D658" s="4">
        <f>2*PI()*C658*Thiet_ke!$B$7/(60*Thiet_ke!$B$15*B658)</f>
        <v>8.853635419667928</v>
      </c>
      <c r="E658" s="4">
        <f>D658*3.6</f>
        <v>31.87308751080454</v>
      </c>
      <c r="F658" s="4">
        <f>Thiet_ke!$B$12*(Dau_vao!$B$22*(C658/Dau_vao!$B$19)+Dau_vao!$B$23*(C658/Dau_vao!$B$19)^2-Dau_vao!$B$24*(C658/Dau_vao!$B$19)^3)</f>
        <v>57.212155376203384</v>
      </c>
      <c r="G658" s="4">
        <f>60000*F658/(2*PI()*C658)</f>
        <v>427.8275959153167</v>
      </c>
      <c r="H658" s="4">
        <f>G658*Thiet_ke!$B$15*B658*Dau_vao!$B$10/Thiet_ke!$B$7</f>
        <v>5751.176310208944</v>
      </c>
      <c r="I658" s="4">
        <f>IF(D658&lt;=Dau_vao!$B$14,Dau_vao!$B$13,Dau_vao!$B$13*(1+D658^2/1500))</f>
        <v>0.015</v>
      </c>
      <c r="J658" s="4">
        <f>Thiet_ke!$B$8*D658^2</f>
        <v>229.2815659223656</v>
      </c>
      <c r="K658" s="4">
        <f>Thiet_ke!$B$3*I658+J658</f>
        <v>1360.8650659223658</v>
      </c>
      <c r="L658" s="4">
        <f>(H658-J658)/Thiet_ke!$B$3</f>
        <v>0.07319691491109466</v>
      </c>
      <c r="M658" s="4">
        <f>1.05+0.05*B658^2</f>
        <v>1.1822875655532297</v>
      </c>
      <c r="N658" s="4">
        <f>(MIN(H658,Thiet_ke!$B$16)-K658)/(Thiet_ke!$B$2*M658)</f>
        <v>0.48288737183046576</v>
      </c>
      <c r="O658" s="4">
        <f>IF(N658&gt;0,1/N658,"")</f>
        <v>2.070876271229318</v>
      </c>
    </row>
    <row r="659" spans="1:15">
      <c r="A659">
        <v>4</v>
      </c>
      <c r="B659" s="4">
        <f>Thiet_ke!$B$23</f>
        <v>1.6265765616977859</v>
      </c>
      <c r="C659" s="4">
        <f>Dau_vao!$B$21+(Dau_vao!$B$19-Dau_vao!$B$21)*54/200</f>
        <v>1286.0</v>
      </c>
      <c r="D659" s="4">
        <f>2*PI()*C659*Thiet_ke!$B$7/(60*Thiet_ke!$B$15*B659)</f>
        <v>8.916033789892682</v>
      </c>
      <c r="E659" s="4">
        <f>D659*3.6</f>
        <v>32.09772164361365</v>
      </c>
      <c r="F659" s="4">
        <f>Thiet_ke!$B$12*(Dau_vao!$B$22*(C659/Dau_vao!$B$19)+Dau_vao!$B$23*(C659/Dau_vao!$B$19)^2-Dau_vao!$B$24*(C659/Dau_vao!$B$19)^3)</f>
        <v>57.71839418588409</v>
      </c>
      <c r="G659" s="4">
        <f>60000*F659/(2*PI()*C659)</f>
        <v>428.592585163762</v>
      </c>
      <c r="H659" s="4">
        <f>G659*Thiet_ke!$B$15*B659*Dau_vao!$B$10/Thiet_ke!$B$7</f>
        <v>5761.459863876888</v>
      </c>
      <c r="I659" s="4">
        <f>IF(D659&lt;=Dau_vao!$B$14,Dau_vao!$B$13,Dau_vao!$B$13*(1+D659^2/1500))</f>
        <v>0.015</v>
      </c>
      <c r="J659" s="4">
        <f>Thiet_ke!$B$8*D659^2</f>
        <v>232.52480123683608</v>
      </c>
      <c r="K659" s="4">
        <f>Thiet_ke!$B$3*I659+J659</f>
        <v>1364.1083012368363</v>
      </c>
      <c r="L659" s="4">
        <f>(H659-J659)/Thiet_ke!$B$3</f>
        <v>0.07329023968589217</v>
      </c>
      <c r="M659" s="4">
        <f>1.05+0.05*B659^2</f>
        <v>1.1822875655532297</v>
      </c>
      <c r="N659" s="4">
        <f>(MIN(H659,Thiet_ke!$B$16)-K659)/(Thiet_ke!$B$2*M659)</f>
        <v>0.4836617316964053</v>
      </c>
      <c r="O659" s="4">
        <f>IF(N659&gt;0,1/N659,"")</f>
        <v>2.067560723674745</v>
      </c>
    </row>
    <row r="660" spans="1:15">
      <c r="A660">
        <v>4</v>
      </c>
      <c r="B660" s="4">
        <f>Thiet_ke!$B$23</f>
        <v>1.6265765616977859</v>
      </c>
      <c r="C660" s="4">
        <f>Dau_vao!$B$21+(Dau_vao!$B$19-Dau_vao!$B$21)*55/200</f>
        <v>1295.0</v>
      </c>
      <c r="D660" s="4">
        <f>2*PI()*C660*Thiet_ke!$B$7/(60*Thiet_ke!$B$15*B660)</f>
        <v>8.978432160117437</v>
      </c>
      <c r="E660" s="4">
        <f>D660*3.6</f>
        <v>32.322355776422775</v>
      </c>
      <c r="F660" s="4">
        <f>Thiet_ke!$B$12*(Dau_vao!$B$22*(C660/Dau_vao!$B$19)+Dau_vao!$B$23*(C660/Dau_vao!$B$19)^2-Dau_vao!$B$24*(C660/Dau_vao!$B$19)^3)</f>
        <v>58.22467829307563</v>
      </c>
      <c r="G660" s="4">
        <f>60000*F660/(2*PI()*C660)</f>
        <v>429.3472753796926</v>
      </c>
      <c r="H660" s="4">
        <f>G660*Thiet_ke!$B$15*B660*Dau_vao!$B$10/Thiet_ke!$B$7</f>
        <v>5771.604970300237</v>
      </c>
      <c r="I660" s="4">
        <f>IF(D660&lt;=Dau_vao!$B$14,Dau_vao!$B$13,Dau_vao!$B$13*(1+D660^2/1500))</f>
        <v>0.015</v>
      </c>
      <c r="J660" s="4">
        <f>Thiet_ke!$B$8*D660^2</f>
        <v>235.79081385745593</v>
      </c>
      <c r="K660" s="4">
        <f>Thiet_ke!$B$3*I660+J660</f>
        <v>1367.3743138574562</v>
      </c>
      <c r="L660" s="4">
        <f>(H660-J660)/Thiet_ke!$B$3</f>
        <v>0.07338142730663863</v>
      </c>
      <c r="M660" s="4">
        <f>1.05+0.05*B660^2</f>
        <v>1.1822875655532297</v>
      </c>
      <c r="N660" s="4">
        <f>(MIN(H660,Thiet_ke!$B$16)-K660)/(Thiet_ke!$B$2*M660)</f>
        <v>0.48441835858277876</v>
      </c>
      <c r="O660" s="4">
        <f>IF(N660&gt;0,1/N660,"")</f>
        <v>2.064331341457855</v>
      </c>
    </row>
    <row r="661" spans="1:15">
      <c r="A661">
        <v>4</v>
      </c>
      <c r="B661" s="4">
        <f>Thiet_ke!$B$23</f>
        <v>1.6265765616977859</v>
      </c>
      <c r="C661" s="4">
        <f>Dau_vao!$B$21+(Dau_vao!$B$19-Dau_vao!$B$21)*56/200</f>
        <v>1304.0</v>
      </c>
      <c r="D661" s="4">
        <f>2*PI()*C661*Thiet_ke!$B$7/(60*Thiet_ke!$B$15*B661)</f>
        <v>9.040830530342191</v>
      </c>
      <c r="E661" s="4">
        <f>D661*3.6</f>
        <v>32.54698990923189</v>
      </c>
      <c r="F661" s="4">
        <f>Thiet_ke!$B$12*(Dau_vao!$B$22*(C661/Dau_vao!$B$19)+Dau_vao!$B$23*(C661/Dau_vao!$B$19)^2-Dau_vao!$B$24*(C661/Dau_vao!$B$19)^3)</f>
        <v>58.73097857794961</v>
      </c>
      <c r="G661" s="4">
        <f>60000*F661/(2*PI()*C661)</f>
        <v>430.0916665631086</v>
      </c>
      <c r="H661" s="4">
        <f>G661*Thiet_ke!$B$15*B661*Dau_vao!$B$10/Thiet_ke!$B$7</f>
        <v>5781.611629478994</v>
      </c>
      <c r="I661" s="4">
        <f>IF(D661&lt;=Dau_vao!$B$14,Dau_vao!$B$13,Dau_vao!$B$13*(1+D661^2/1500))</f>
        <v>0.015</v>
      </c>
      <c r="J661" s="4">
        <f>Thiet_ke!$B$8*D661^2</f>
        <v>239.07960378422487</v>
      </c>
      <c r="K661" s="4">
        <f>Thiet_ke!$B$3*I661+J661</f>
        <v>1370.663103784225</v>
      </c>
      <c r="L661" s="4">
        <f>(H661-J661)/Thiet_ke!$B$3</f>
        <v>0.07347047777333403</v>
      </c>
      <c r="M661" s="4">
        <f>1.05+0.05*B661^2</f>
        <v>1.1822875655532297</v>
      </c>
      <c r="N661" s="4">
        <f>(MIN(H661,Thiet_ke!$B$16)-K661)/(Thiet_ke!$B$2*M661)</f>
        <v>0.4851572524895865</v>
      </c>
      <c r="O661" s="4">
        <f>IF(N661&gt;0,1/N661,"")</f>
        <v>2.061187367329862</v>
      </c>
    </row>
    <row r="662" spans="1:15">
      <c r="A662">
        <v>4</v>
      </c>
      <c r="B662" s="4">
        <f>Thiet_ke!$B$23</f>
        <v>1.6265765616977859</v>
      </c>
      <c r="C662" s="4">
        <f>Dau_vao!$B$21+(Dau_vao!$B$19-Dau_vao!$B$21)*57/200</f>
        <v>1313.0</v>
      </c>
      <c r="D662" s="4">
        <f>2*PI()*C662*Thiet_ke!$B$7/(60*Thiet_ke!$B$15*B662)</f>
        <v>9.103228900566945</v>
      </c>
      <c r="E662" s="4">
        <f>D662*3.6</f>
        <v>32.771624042041005</v>
      </c>
      <c r="F662" s="4">
        <f>Thiet_ke!$B$12*(Dau_vao!$B$22*(C662/Dau_vao!$B$19)+Dau_vao!$B$23*(C662/Dau_vao!$B$19)^2-Dau_vao!$B$24*(C662/Dau_vao!$B$19)^3)</f>
        <v>59.23726592067765</v>
      </c>
      <c r="G662" s="4">
        <f>60000*F662/(2*PI()*C662)</f>
        <v>430.82575871401025</v>
      </c>
      <c r="H662" s="4">
        <f>G662*Thiet_ke!$B$15*B662*Dau_vao!$B$10/Thiet_ke!$B$7</f>
        <v>5791.479841413156</v>
      </c>
      <c r="I662" s="4">
        <f>IF(D662&lt;=Dau_vao!$B$14,Dau_vao!$B$13,Dau_vao!$B$13*(1+D662^2/1500))</f>
        <v>0.015</v>
      </c>
      <c r="J662" s="4">
        <f>Thiet_ke!$B$8*D662^2</f>
        <v>242.39117101714305</v>
      </c>
      <c r="K662" s="4">
        <f>Thiet_ke!$B$3*I662+J662</f>
        <v>1373.9746710171432</v>
      </c>
      <c r="L662" s="4">
        <f>(H662-J662)/Thiet_ke!$B$3</f>
        <v>0.07355739108597835</v>
      </c>
      <c r="M662" s="4">
        <f>1.05+0.05*B662^2</f>
        <v>1.1822875655532297</v>
      </c>
      <c r="N662" s="4">
        <f>(MIN(H662,Thiet_ke!$B$16)-K662)/(Thiet_ke!$B$2*M662)</f>
        <v>0.48587841341682836</v>
      </c>
      <c r="O662" s="4">
        <f>IF(N662&gt;0,1/N662,"")</f>
        <v>2.0581280674062667</v>
      </c>
    </row>
    <row r="663" spans="1:15">
      <c r="A663">
        <v>4</v>
      </c>
      <c r="B663" s="4">
        <f>Thiet_ke!$B$23</f>
        <v>1.6265765616977859</v>
      </c>
      <c r="C663" s="4">
        <f>Dau_vao!$B$21+(Dau_vao!$B$19-Dau_vao!$B$21)*58/200</f>
        <v>1322.0</v>
      </c>
      <c r="D663" s="4">
        <f>2*PI()*C663*Thiet_ke!$B$7/(60*Thiet_ke!$B$15*B663)</f>
        <v>9.1656272707917</v>
      </c>
      <c r="E663" s="4">
        <f>D663*3.6</f>
        <v>32.99625817485013</v>
      </c>
      <c r="F663" s="4">
        <f>Thiet_ke!$B$12*(Dau_vao!$B$22*(C663/Dau_vao!$B$19)+Dau_vao!$B$23*(C663/Dau_vao!$B$19)^2-Dau_vao!$B$24*(C663/Dau_vao!$B$19)^3)</f>
        <v>59.74351120143131</v>
      </c>
      <c r="G663" s="4">
        <f>60000*F663/(2*PI()*C663)</f>
        <v>431.54955183239696</v>
      </c>
      <c r="H663" s="4">
        <f>G663*Thiet_ke!$B$15*B663*Dau_vao!$B$10/Thiet_ke!$B$7</f>
        <v>5801.2096061027205</v>
      </c>
      <c r="I663" s="4">
        <f>IF(D663&lt;=Dau_vao!$B$14,Dau_vao!$B$13,Dau_vao!$B$13*(1+D663^2/1500))</f>
        <v>0.015</v>
      </c>
      <c r="J663" s="4">
        <f>Thiet_ke!$B$8*D663^2</f>
        <v>245.72551555621055</v>
      </c>
      <c r="K663" s="4">
        <f>Thiet_ke!$B$3*I663+J663</f>
        <v>1377.3090155562109</v>
      </c>
      <c r="L663" s="4">
        <f>(H663-J663)/Thiet_ke!$B$3</f>
        <v>0.07364216724457155</v>
      </c>
      <c r="M663" s="4">
        <f>1.05+0.05*B663^2</f>
        <v>1.1822875655532297</v>
      </c>
      <c r="N663" s="4">
        <f>(MIN(H663,Thiet_ke!$B$16)-K663)/(Thiet_ke!$B$2*M663)</f>
        <v>0.48658184136450383</v>
      </c>
      <c r="O663" s="4">
        <f>IF(N663&gt;0,1/N663,"")</f>
        <v>2.055152730722002</v>
      </c>
    </row>
    <row r="664" spans="1:15">
      <c r="A664">
        <v>4</v>
      </c>
      <c r="B664" s="4">
        <f>Thiet_ke!$B$23</f>
        <v>1.6265765616977859</v>
      </c>
      <c r="C664" s="4">
        <f>Dau_vao!$B$21+(Dau_vao!$B$19-Dau_vao!$B$21)*59/200</f>
        <v>1331.0</v>
      </c>
      <c r="D664" s="4">
        <f>2*PI()*C664*Thiet_ke!$B$7/(60*Thiet_ke!$B$15*B664)</f>
        <v>9.228025641016453</v>
      </c>
      <c r="E664" s="4">
        <f>D664*3.6</f>
        <v>33.220892307659234</v>
      </c>
      <c r="F664" s="4">
        <f>Thiet_ke!$B$12*(Dau_vao!$B$22*(C664/Dau_vao!$B$19)+Dau_vao!$B$23*(C664/Dau_vao!$B$19)^2-Dau_vao!$B$24*(C664/Dau_vao!$B$19)^3)</f>
        <v>60.24968530038224</v>
      </c>
      <c r="G664" s="4">
        <f>60000*F664/(2*PI()*C664)</f>
        <v>432.2630459182692</v>
      </c>
      <c r="H664" s="4">
        <f>G664*Thiet_ke!$B$15*B664*Dau_vao!$B$10/Thiet_ke!$B$7</f>
        <v>5810.800923547693</v>
      </c>
      <c r="I664" s="4">
        <f>IF(D664&lt;=Dau_vao!$B$14,Dau_vao!$B$13,Dau_vao!$B$13*(1+D664^2/1500))</f>
        <v>0.015</v>
      </c>
      <c r="J664" s="4">
        <f>Thiet_ke!$B$8*D664^2</f>
        <v>249.0826374014271</v>
      </c>
      <c r="K664" s="4">
        <f>Thiet_ke!$B$3*I664+J664</f>
        <v>1380.6661374014272</v>
      </c>
      <c r="L664" s="4">
        <f>(H664-J664)/Thiet_ke!$B$3</f>
        <v>0.07372480624911372</v>
      </c>
      <c r="M664" s="4">
        <f>1.05+0.05*B664^2</f>
        <v>1.1822875655532297</v>
      </c>
      <c r="N664" s="4">
        <f>(MIN(H664,Thiet_ke!$B$16)-K664)/(Thiet_ke!$B$2*M664)</f>
        <v>0.48726753633261366</v>
      </c>
      <c r="O664" s="4">
        <f>IF(N664&gt;0,1/N664,"")</f>
        <v>2.0522606688030827</v>
      </c>
    </row>
    <row r="665" spans="1:15">
      <c r="A665">
        <v>4</v>
      </c>
      <c r="B665" s="4">
        <f>Thiet_ke!$B$23</f>
        <v>1.6265765616977859</v>
      </c>
      <c r="C665" s="4">
        <f>Dau_vao!$B$21+(Dau_vao!$B$19-Dau_vao!$B$21)*60/200</f>
        <v>1340.0</v>
      </c>
      <c r="D665" s="4">
        <f>2*PI()*C665*Thiet_ke!$B$7/(60*Thiet_ke!$B$15*B665)</f>
        <v>9.290424011241209</v>
      </c>
      <c r="E665" s="4">
        <f>D665*3.6</f>
        <v>33.44552644046835</v>
      </c>
      <c r="F665" s="4">
        <f>Thiet_ke!$B$12*(Dau_vao!$B$22*(C665/Dau_vao!$B$19)+Dau_vao!$B$23*(C665/Dau_vao!$B$19)^2-Dau_vao!$B$24*(C665/Dau_vao!$B$19)^3)</f>
        <v>60.75575909770202</v>
      </c>
      <c r="G665" s="4">
        <f>60000*F665/(2*PI()*C665)</f>
        <v>432.9662409716269</v>
      </c>
      <c r="H665" s="4">
        <f>G665*Thiet_ke!$B$15*B665*Dau_vao!$B$10/Thiet_ke!$B$7</f>
        <v>5820.253793748069</v>
      </c>
      <c r="I665" s="4">
        <f>IF(D665&lt;=Dau_vao!$B$14,Dau_vao!$B$13,Dau_vao!$B$13*(1+D665^2/1500))</f>
        <v>0.015</v>
      </c>
      <c r="J665" s="4">
        <f>Thiet_ke!$B$8*D665^2</f>
        <v>252.46253655279304</v>
      </c>
      <c r="K665" s="4">
        <f>Thiet_ke!$B$3*I665+J665</f>
        <v>1384.0460365527933</v>
      </c>
      <c r="L665" s="4">
        <f>(H665-J665)/Thiet_ke!$B$3</f>
        <v>0.0738053080996048</v>
      </c>
      <c r="M665" s="4">
        <f>1.05+0.05*B665^2</f>
        <v>1.1822875655532297</v>
      </c>
      <c r="N665" s="4">
        <f>(MIN(H665,Thiet_ke!$B$16)-K665)/(Thiet_ke!$B$2*M665)</f>
        <v>0.4879354983211573</v>
      </c>
      <c r="O665" s="4">
        <f>IF(N665&gt;0,1/N665,"")</f>
        <v>2.049451215254283</v>
      </c>
    </row>
    <row r="666" spans="1:15">
      <c r="A666">
        <v>4</v>
      </c>
      <c r="B666" s="4">
        <f>Thiet_ke!$B$23</f>
        <v>1.6265765616977859</v>
      </c>
      <c r="C666" s="4">
        <f>Dau_vao!$B$21+(Dau_vao!$B$19-Dau_vao!$B$21)*61/200</f>
        <v>1349.0</v>
      </c>
      <c r="D666" s="4">
        <f>2*PI()*C666*Thiet_ke!$B$7/(60*Thiet_ke!$B$15*B666)</f>
        <v>9.352822381465963</v>
      </c>
      <c r="E666" s="4">
        <f>D666*3.6</f>
        <v>33.670160573277464</v>
      </c>
      <c r="F666" s="4">
        <f>Thiet_ke!$B$12*(Dau_vao!$B$22*(C666/Dau_vao!$B$19)+Dau_vao!$B$23*(C666/Dau_vao!$B$19)^2-Dau_vao!$B$24*(C666/Dau_vao!$B$19)^3)</f>
        <v>61.26170347356226</v>
      </c>
      <c r="G666" s="4">
        <f>60000*F666/(2*PI()*C666)</f>
        <v>433.65913699247005</v>
      </c>
      <c r="H666" s="4">
        <f>G666*Thiet_ke!$B$15*B666*Dau_vao!$B$10/Thiet_ke!$B$7</f>
        <v>5829.568216703851</v>
      </c>
      <c r="I666" s="4">
        <f>IF(D666&lt;=Dau_vao!$B$14,Dau_vao!$B$13,Dau_vao!$B$13*(1+D666^2/1500))</f>
        <v>0.015</v>
      </c>
      <c r="J666" s="4">
        <f>Thiet_ke!$B$8*D666^2</f>
        <v>255.86521301030817</v>
      </c>
      <c r="K666" s="4">
        <f>Thiet_ke!$B$3*I666+J666</f>
        <v>1387.4487130103084</v>
      </c>
      <c r="L666" s="4">
        <f>(H666-J666)/Thiet_ke!$B$3</f>
        <v>0.07388367279604478</v>
      </c>
      <c r="M666" s="4">
        <f>1.05+0.05*B666^2</f>
        <v>1.1822875655532297</v>
      </c>
      <c r="N666" s="4">
        <f>(MIN(H666,Thiet_ke!$B$16)-K666)/(Thiet_ke!$B$2*M666)</f>
        <v>0.48858572733013494</v>
      </c>
      <c r="O666" s="4">
        <f>IF(N666&gt;0,1/N666,"")</f>
        <v>2.0467237253623356</v>
      </c>
    </row>
    <row r="667" spans="1:15">
      <c r="A667">
        <v>4</v>
      </c>
      <c r="B667" s="4">
        <f>Thiet_ke!$B$23</f>
        <v>1.6265765616977859</v>
      </c>
      <c r="C667" s="4">
        <f>Dau_vao!$B$21+(Dau_vao!$B$19-Dau_vao!$B$21)*62/200</f>
        <v>1358.0</v>
      </c>
      <c r="D667" s="4">
        <f>2*PI()*C667*Thiet_ke!$B$7/(60*Thiet_ke!$B$15*B667)</f>
        <v>9.415220751690718</v>
      </c>
      <c r="E667" s="4">
        <f>D667*3.6</f>
        <v>33.894794706086586</v>
      </c>
      <c r="F667" s="4">
        <f>Thiet_ke!$B$12*(Dau_vao!$B$22*(C667/Dau_vao!$B$19)+Dau_vao!$B$23*(C667/Dau_vao!$B$19)^2-Dau_vao!$B$24*(C667/Dau_vao!$B$19)^3)</f>
        <v>61.76748930813455</v>
      </c>
      <c r="G667" s="4">
        <f>60000*F667/(2*PI()*C667)</f>
        <v>434.34173398079867</v>
      </c>
      <c r="H667" s="4">
        <f>G667*Thiet_ke!$B$15*B667*Dau_vao!$B$10/Thiet_ke!$B$7</f>
        <v>5838.744192415041</v>
      </c>
      <c r="I667" s="4">
        <f>IF(D667&lt;=Dau_vao!$B$14,Dau_vao!$B$13,Dau_vao!$B$13*(1+D667^2/1500))</f>
        <v>0.015</v>
      </c>
      <c r="J667" s="4">
        <f>Thiet_ke!$B$8*D667^2</f>
        <v>259.29066677397253</v>
      </c>
      <c r="K667" s="4">
        <f>Thiet_ke!$B$3*I667+J667</f>
        <v>1390.8741667739728</v>
      </c>
      <c r="L667" s="4">
        <f>(H667-J667)/Thiet_ke!$B$3</f>
        <v>0.07395990033843372</v>
      </c>
      <c r="M667" s="4">
        <f>1.05+0.05*B667^2</f>
        <v>1.1822875655532297</v>
      </c>
      <c r="N667" s="4">
        <f>(MIN(H667,Thiet_ke!$B$16)-K667)/(Thiet_ke!$B$2*M667)</f>
        <v>0.48921822335954696</v>
      </c>
      <c r="O667" s="4">
        <f>IF(N667&gt;0,1/N667,"")</f>
        <v>2.044077575714219</v>
      </c>
    </row>
    <row r="668" spans="1:15">
      <c r="A668">
        <v>4</v>
      </c>
      <c r="B668" s="4">
        <f>Thiet_ke!$B$23</f>
        <v>1.6265765616977859</v>
      </c>
      <c r="C668" s="4">
        <f>Dau_vao!$B$21+(Dau_vao!$B$19-Dau_vao!$B$21)*63/200</f>
        <v>1367.0</v>
      </c>
      <c r="D668" s="4">
        <f>2*PI()*C668*Thiet_ke!$B$7/(60*Thiet_ke!$B$15*B668)</f>
        <v>9.47761912191547</v>
      </c>
      <c r="E668" s="4">
        <f>D668*3.6</f>
        <v>34.11942883889569</v>
      </c>
      <c r="F668" s="4">
        <f>Thiet_ke!$B$12*(Dau_vao!$B$22*(C668/Dau_vao!$B$19)+Dau_vao!$B$23*(C668/Dau_vao!$B$19)^2-Dau_vao!$B$24*(C668/Dau_vao!$B$19)^3)</f>
        <v>62.27308748159049</v>
      </c>
      <c r="G668" s="4">
        <f>60000*F668/(2*PI()*C668)</f>
        <v>435.01403193661247</v>
      </c>
      <c r="H668" s="4">
        <f>G668*Thiet_ke!$B$15*B668*Dau_vao!$B$10/Thiet_ke!$B$7</f>
        <v>5847.781720881632</v>
      </c>
      <c r="I668" s="4">
        <f>IF(D668&lt;=Dau_vao!$B$14,Dau_vao!$B$13,Dau_vao!$B$13*(1+D668^2/1500))</f>
        <v>0.015</v>
      </c>
      <c r="J668" s="4">
        <f>Thiet_ke!$B$8*D668^2</f>
        <v>262.73889784378605</v>
      </c>
      <c r="K668" s="4">
        <f>Thiet_ke!$B$3*I668+J668</f>
        <v>1394.3223978437863</v>
      </c>
      <c r="L668" s="4">
        <f>(H668-J668)/Thiet_ke!$B$3</f>
        <v>0.07403399072677154</v>
      </c>
      <c r="M668" s="4">
        <f>1.05+0.05*B668^2</f>
        <v>1.1822875655532297</v>
      </c>
      <c r="N668" s="4">
        <f>(MIN(H668,Thiet_ke!$B$16)-K668)/(Thiet_ke!$B$2*M668)</f>
        <v>0.4898329864093925</v>
      </c>
      <c r="O668" s="4">
        <f>IF(N668&gt;0,1/N668,"")</f>
        <v>2.0415121638301024</v>
      </c>
    </row>
    <row r="669" spans="1:15">
      <c r="A669">
        <v>4</v>
      </c>
      <c r="B669" s="4">
        <f>Thiet_ke!$B$23</f>
        <v>1.6265765616977859</v>
      </c>
      <c r="C669" s="4">
        <f>Dau_vao!$B$21+(Dau_vao!$B$19-Dau_vao!$B$21)*64/200</f>
        <v>1376.0</v>
      </c>
      <c r="D669" s="4">
        <f>2*PI()*C669*Thiet_ke!$B$7/(60*Thiet_ke!$B$15*B669)</f>
        <v>9.540017492140226</v>
      </c>
      <c r="E669" s="4">
        <f>D669*3.6</f>
        <v>34.344062971704815</v>
      </c>
      <c r="F669" s="4">
        <f>Thiet_ke!$B$12*(Dau_vao!$B$22*(C669/Dau_vao!$B$19)+Dau_vao!$B$23*(C669/Dau_vao!$B$19)^2-Dau_vao!$B$24*(C669/Dau_vao!$B$19)^3)</f>
        <v>62.778468874101684</v>
      </c>
      <c r="G669" s="4">
        <f>60000*F669/(2*PI()*C669)</f>
        <v>435.67603085991175</v>
      </c>
      <c r="H669" s="4">
        <f>G669*Thiet_ke!$B$15*B669*Dau_vao!$B$10/Thiet_ke!$B$7</f>
        <v>5856.68080210363</v>
      </c>
      <c r="I669" s="4">
        <f>IF(D669&lt;=Dau_vao!$B$14,Dau_vao!$B$13,Dau_vao!$B$13*(1+D669^2/1500))</f>
        <v>0.015</v>
      </c>
      <c r="J669" s="4">
        <f>Thiet_ke!$B$8*D669^2</f>
        <v>266.20990621974886</v>
      </c>
      <c r="K669" s="4">
        <f>Thiet_ke!$B$3*I669+J669</f>
        <v>1397.7934062197492</v>
      </c>
      <c r="L669" s="4">
        <f>(H669-J669)/Thiet_ke!$B$3</f>
        <v>0.07410594396105831</v>
      </c>
      <c r="M669" s="4">
        <f>1.05+0.05*B669^2</f>
        <v>1.1822875655532297</v>
      </c>
      <c r="N669" s="4">
        <f>(MIN(H669,Thiet_ke!$B$16)-K669)/(Thiet_ke!$B$2*M669)</f>
        <v>0.4904300164796722</v>
      </c>
      <c r="O669" s="4">
        <f>IF(N669&gt;0,1/N669,"")</f>
        <v>2.039026907810503</v>
      </c>
    </row>
    <row r="670" spans="1:15">
      <c r="A670">
        <v>4</v>
      </c>
      <c r="B670" s="4">
        <f>Thiet_ke!$B$23</f>
        <v>1.6265765616977859</v>
      </c>
      <c r="C670" s="4">
        <f>Dau_vao!$B$21+(Dau_vao!$B$19-Dau_vao!$B$21)*65/200</f>
        <v>1385.0</v>
      </c>
      <c r="D670" s="4">
        <f>2*PI()*C670*Thiet_ke!$B$7/(60*Thiet_ke!$B$15*B670)</f>
        <v>9.60241586236498</v>
      </c>
      <c r="E670" s="4">
        <f>D670*3.6</f>
        <v>34.56869710451393</v>
      </c>
      <c r="F670" s="4">
        <f>Thiet_ke!$B$12*(Dau_vao!$B$22*(C670/Dau_vao!$B$19)+Dau_vao!$B$23*(C670/Dau_vao!$B$19)^2-Dau_vao!$B$24*(C670/Dau_vao!$B$19)^3)</f>
        <v>63.28360436583975</v>
      </c>
      <c r="G670" s="4">
        <f>60000*F670/(2*PI()*C670)</f>
        <v>436.3277307506966</v>
      </c>
      <c r="H670" s="4">
        <f>G670*Thiet_ke!$B$15*B670*Dau_vao!$B$10/Thiet_ke!$B$7</f>
        <v>5865.441436081038</v>
      </c>
      <c r="I670" s="4">
        <f>IF(D670&lt;=Dau_vao!$B$14,Dau_vao!$B$13,Dau_vao!$B$13*(1+D670^2/1500))</f>
        <v>0.015</v>
      </c>
      <c r="J670" s="4">
        <f>Thiet_ke!$B$8*D670^2</f>
        <v>269.7036919018609</v>
      </c>
      <c r="K670" s="4">
        <f>Thiet_ke!$B$3*I670+J670</f>
        <v>1401.2871919018612</v>
      </c>
      <c r="L670" s="4">
        <f>(H670-J670)/Thiet_ke!$B$3</f>
        <v>0.07417576004129403</v>
      </c>
      <c r="M670" s="4">
        <f>1.05+0.05*B670^2</f>
        <v>1.1822875655532297</v>
      </c>
      <c r="N670" s="4">
        <f>(MIN(H670,Thiet_ke!$B$16)-K670)/(Thiet_ke!$B$2*M670)</f>
        <v>0.49100931357038646</v>
      </c>
      <c r="O670" s="4">
        <f>IF(N670&gt;0,1/N670,"")</f>
        <v>2.036621245997301</v>
      </c>
    </row>
    <row r="671" spans="1:15">
      <c r="A671">
        <v>4</v>
      </c>
      <c r="B671" s="4">
        <f>Thiet_ke!$B$23</f>
        <v>1.6265765616977859</v>
      </c>
      <c r="C671" s="4">
        <f>Dau_vao!$B$21+(Dau_vao!$B$19-Dau_vao!$B$21)*66/200</f>
        <v>1394.0</v>
      </c>
      <c r="D671" s="4">
        <f>2*PI()*C671*Thiet_ke!$B$7/(60*Thiet_ke!$B$15*B671)</f>
        <v>9.664814232589736</v>
      </c>
      <c r="E671" s="4">
        <f>D671*3.6</f>
        <v>34.79333123732305</v>
      </c>
      <c r="F671" s="4">
        <f>Thiet_ke!$B$12*(Dau_vao!$B$22*(C671/Dau_vao!$B$19)+Dau_vao!$B$23*(C671/Dau_vao!$B$19)^2-Dau_vao!$B$24*(C671/Dau_vao!$B$19)^3)</f>
        <v>63.78846483697627</v>
      </c>
      <c r="G671" s="4">
        <f>60000*F671/(2*PI()*C671)</f>
        <v>436.9691316089666</v>
      </c>
      <c r="H671" s="4">
        <f>G671*Thiet_ke!$B$15*B671*Dau_vao!$B$10/Thiet_ke!$B$7</f>
        <v>5874.063622813844</v>
      </c>
      <c r="I671" s="4">
        <f>IF(D671&lt;=Dau_vao!$B$14,Dau_vao!$B$13,Dau_vao!$B$13*(1+D671^2/1500))</f>
        <v>0.015</v>
      </c>
      <c r="J671" s="4">
        <f>Thiet_ke!$B$8*D671^2</f>
        <v>273.2202548901222</v>
      </c>
      <c r="K671" s="4">
        <f>Thiet_ke!$B$3*I671+J671</f>
        <v>1404.8037548901225</v>
      </c>
      <c r="L671" s="4">
        <f>(H671-J671)/Thiet_ke!$B$3</f>
        <v>0.07424343896747859</v>
      </c>
      <c r="M671" s="4">
        <f>1.05+0.05*B671^2</f>
        <v>1.1822875655532297</v>
      </c>
      <c r="N671" s="4">
        <f>(MIN(H671,Thiet_ke!$B$16)-K671)/(Thiet_ke!$B$2*M671)</f>
        <v>0.4915708776815339</v>
      </c>
      <c r="O671" s="4">
        <f>IF(N671&gt;0,1/N671,"")</f>
        <v>2.0342946366482146</v>
      </c>
    </row>
    <row r="672" spans="1:15">
      <c r="A672">
        <v>4</v>
      </c>
      <c r="B672" s="4">
        <f>Thiet_ke!$B$23</f>
        <v>1.6265765616977859</v>
      </c>
      <c r="C672" s="4">
        <f>Dau_vao!$B$21+(Dau_vao!$B$19-Dau_vao!$B$21)*67/200</f>
        <v>1403.0</v>
      </c>
      <c r="D672" s="4">
        <f>2*PI()*C672*Thiet_ke!$B$7/(60*Thiet_ke!$B$15*B672)</f>
        <v>9.727212602814488</v>
      </c>
      <c r="E672" s="4">
        <f>D672*3.6</f>
        <v>35.01796537013216</v>
      </c>
      <c r="F672" s="4">
        <f>Thiet_ke!$B$12*(Dau_vao!$B$22*(C672/Dau_vao!$B$19)+Dau_vao!$B$23*(C672/Dau_vao!$B$19)^2-Dau_vao!$B$24*(C672/Dau_vao!$B$19)^3)</f>
        <v>64.29302116768284</v>
      </c>
      <c r="G672" s="4">
        <f>60000*F672/(2*PI()*C672)</f>
        <v>437.60023343472216</v>
      </c>
      <c r="H672" s="4">
        <f>G672*Thiet_ke!$B$15*B672*Dau_vao!$B$10/Thiet_ke!$B$7</f>
        <v>5882.547362302058</v>
      </c>
      <c r="I672" s="4">
        <f>IF(D672&lt;=Dau_vao!$B$14,Dau_vao!$B$13,Dau_vao!$B$13*(1+D672^2/1500))</f>
        <v>0.015</v>
      </c>
      <c r="J672" s="4">
        <f>Thiet_ke!$B$8*D672^2</f>
        <v>276.75959518453254</v>
      </c>
      <c r="K672" s="4">
        <f>Thiet_ke!$B$3*I672+J672</f>
        <v>1408.3430951845328</v>
      </c>
      <c r="L672" s="4">
        <f>(H672-J672)/Thiet_ke!$B$3</f>
        <v>0.07430898073961212</v>
      </c>
      <c r="M672" s="4">
        <f>1.05+0.05*B672^2</f>
        <v>1.1822875655532297</v>
      </c>
      <c r="N672" s="4">
        <f>(MIN(H672,Thiet_ke!$B$16)-K672)/(Thiet_ke!$B$2*M672)</f>
        <v>0.49211470881311564</v>
      </c>
      <c r="O672" s="4">
        <f>IF(N672&gt;0,1/N672,"")</f>
        <v>2.032046557624348</v>
      </c>
    </row>
    <row r="673" spans="1:15">
      <c r="A673">
        <v>4</v>
      </c>
      <c r="B673" s="4">
        <f>Thiet_ke!$B$23</f>
        <v>1.6265765616977859</v>
      </c>
      <c r="C673" s="4">
        <f>Dau_vao!$B$21+(Dau_vao!$B$19-Dau_vao!$B$21)*68/200</f>
        <v>1412.0</v>
      </c>
      <c r="D673" s="4">
        <f>2*PI()*C673*Thiet_ke!$B$7/(60*Thiet_ke!$B$15*B673)</f>
        <v>9.789610973039244</v>
      </c>
      <c r="E673" s="4">
        <f>D673*3.6</f>
        <v>35.242599502941275</v>
      </c>
      <c r="F673" s="4">
        <f>Thiet_ke!$B$12*(Dau_vao!$B$22*(C673/Dau_vao!$B$19)+Dau_vao!$B$23*(C673/Dau_vao!$B$19)^2-Dau_vao!$B$24*(C673/Dau_vao!$B$19)^3)</f>
        <v>64.79724423813109</v>
      </c>
      <c r="G673" s="4">
        <f>60000*F673/(2*PI()*C673)</f>
        <v>438.22103622796305</v>
      </c>
      <c r="H673" s="4">
        <f>G673*Thiet_ke!$B$15*B673*Dau_vao!$B$10/Thiet_ke!$B$7</f>
        <v>5890.892654545681</v>
      </c>
      <c r="I673" s="4">
        <f>IF(D673&lt;=Dau_vao!$B$14,Dau_vao!$B$13,Dau_vao!$B$13*(1+D673^2/1500))</f>
        <v>0.015</v>
      </c>
      <c r="J673" s="4">
        <f>Thiet_ke!$B$8*D673^2</f>
        <v>280.32171278509236</v>
      </c>
      <c r="K673" s="4">
        <f>Thiet_ke!$B$3*I673+J673</f>
        <v>1411.9052127850925</v>
      </c>
      <c r="L673" s="4">
        <f>(H673-J673)/Thiet_ke!$B$3</f>
        <v>0.07437238535769461</v>
      </c>
      <c r="M673" s="4">
        <f>1.05+0.05*B673^2</f>
        <v>1.1822875655532297</v>
      </c>
      <c r="N673" s="4">
        <f>(MIN(H673,Thiet_ke!$B$16)-K673)/(Thiet_ke!$B$2*M673)</f>
        <v>0.49264080696513174</v>
      </c>
      <c r="O673" s="4">
        <f>IF(N673&gt;0,1/N673,"")</f>
        <v>2.0298765060905284</v>
      </c>
    </row>
    <row r="674" spans="1:15">
      <c r="A674">
        <v>4</v>
      </c>
      <c r="B674" s="4">
        <f>Thiet_ke!$B$23</f>
        <v>1.6265765616977859</v>
      </c>
      <c r="C674" s="4">
        <f>Dau_vao!$B$21+(Dau_vao!$B$19-Dau_vao!$B$21)*69/200</f>
        <v>1421.0</v>
      </c>
      <c r="D674" s="4">
        <f>2*PI()*C674*Thiet_ke!$B$7/(60*Thiet_ke!$B$15*B674)</f>
        <v>9.852009343264</v>
      </c>
      <c r="E674" s="4">
        <f>D674*3.6</f>
        <v>35.4672336357504</v>
      </c>
      <c r="F674" s="4">
        <f>Thiet_ke!$B$12*(Dau_vao!$B$22*(C674/Dau_vao!$B$19)+Dau_vao!$B$23*(C674/Dau_vao!$B$19)^2-Dau_vao!$B$24*(C674/Dau_vao!$B$19)^3)</f>
        <v>65.30110492849258</v>
      </c>
      <c r="G674" s="4">
        <f>60000*F674/(2*PI()*C674)</f>
        <v>438.83153998868926</v>
      </c>
      <c r="H674" s="4">
        <f>G674*Thiet_ke!$B$15*B674*Dau_vao!$B$10/Thiet_ke!$B$7</f>
        <v>5899.0994995447045</v>
      </c>
      <c r="I674" s="4">
        <f>IF(D674&lt;=Dau_vao!$B$14,Dau_vao!$B$13,Dau_vao!$B$13*(1+D674^2/1500))</f>
        <v>0.015</v>
      </c>
      <c r="J674" s="4">
        <f>Thiet_ke!$B$8*D674^2</f>
        <v>283.90660769180136</v>
      </c>
      <c r="K674" s="4">
        <f>Thiet_ke!$B$3*I674+J674</f>
        <v>1415.4901076918015</v>
      </c>
      <c r="L674" s="4">
        <f>(H674-J674)/Thiet_ke!$B$3</f>
        <v>0.07443365282172595</v>
      </c>
      <c r="M674" s="4">
        <f>1.05+0.05*B674^2</f>
        <v>1.1822875655532297</v>
      </c>
      <c r="N674" s="4">
        <f>(MIN(H674,Thiet_ke!$B$16)-K674)/(Thiet_ke!$B$2*M674)</f>
        <v>0.49314917213758147</v>
      </c>
      <c r="O674" s="4">
        <f>IF(N674&gt;0,1/N674,"")</f>
        <v>2.0277839982280543</v>
      </c>
    </row>
    <row r="675" spans="1:15">
      <c r="A675">
        <v>4</v>
      </c>
      <c r="B675" s="4">
        <f>Thiet_ke!$B$23</f>
        <v>1.6265765616977859</v>
      </c>
      <c r="C675" s="4">
        <f>Dau_vao!$B$21+(Dau_vao!$B$19-Dau_vao!$B$21)*70/200</f>
        <v>1430.0</v>
      </c>
      <c r="D675" s="4">
        <f>2*PI()*C675*Thiet_ke!$B$7/(60*Thiet_ke!$B$15*B675)</f>
        <v>9.914407713488753</v>
      </c>
      <c r="E675" s="4">
        <f>D675*3.6</f>
        <v>35.69186776855951</v>
      </c>
      <c r="F675" s="4">
        <f>Thiet_ke!$B$12*(Dau_vao!$B$22*(C675/Dau_vao!$B$19)+Dau_vao!$B$23*(C675/Dau_vao!$B$19)^2-Dau_vao!$B$24*(C675/Dau_vao!$B$19)^3)</f>
        <v>65.80457411893899</v>
      </c>
      <c r="G675" s="4">
        <f>60000*F675/(2*PI()*C675)</f>
        <v>439.43174471690116</v>
      </c>
      <c r="H675" s="4">
        <f>G675*Thiet_ke!$B$15*B675*Dau_vao!$B$10/Thiet_ke!$B$7</f>
        <v>5907.167897299137</v>
      </c>
      <c r="I675" s="4">
        <f>IF(D675&lt;=Dau_vao!$B$14,Dau_vao!$B$13,Dau_vao!$B$13*(1+D675^2/1500))</f>
        <v>0.015</v>
      </c>
      <c r="J675" s="4">
        <f>Thiet_ke!$B$8*D675^2</f>
        <v>287.5142799046595</v>
      </c>
      <c r="K675" s="4">
        <f>Thiet_ke!$B$3*I675+J675</f>
        <v>1419.0977799046595</v>
      </c>
      <c r="L675" s="4">
        <f>(H675-J675)/Thiet_ke!$B$3</f>
        <v>0.07449278313170628</v>
      </c>
      <c r="M675" s="4">
        <f>1.05+0.05*B675^2</f>
        <v>1.1822875655532297</v>
      </c>
      <c r="N675" s="4">
        <f>(MIN(H675,Thiet_ke!$B$16)-K675)/(Thiet_ke!$B$2*M675)</f>
        <v>0.4936398043304655</v>
      </c>
      <c r="O675" s="4">
        <f>IF(N675&gt;0,1/N675,"")</f>
        <v>2.0257685689595513</v>
      </c>
    </row>
    <row r="676" spans="1:15">
      <c r="A676">
        <v>4</v>
      </c>
      <c r="B676" s="4">
        <f>Thiet_ke!$B$23</f>
        <v>1.6265765616977859</v>
      </c>
      <c r="C676" s="4">
        <f>Dau_vao!$B$21+(Dau_vao!$B$19-Dau_vao!$B$21)*71/200</f>
        <v>1439.0</v>
      </c>
      <c r="D676" s="4">
        <f>2*PI()*C676*Thiet_ke!$B$7/(60*Thiet_ke!$B$15*B676)</f>
        <v>9.976806083713507</v>
      </c>
      <c r="E676" s="4">
        <f>D676*3.6</f>
        <v>35.916501901368626</v>
      </c>
      <c r="F676" s="4">
        <f>Thiet_ke!$B$12*(Dau_vao!$B$22*(C676/Dau_vao!$B$19)+Dau_vao!$B$23*(C676/Dau_vao!$B$19)^2-Dau_vao!$B$24*(C676/Dau_vao!$B$19)^3)</f>
        <v>66.30762268964183</v>
      </c>
      <c r="G676" s="4">
        <f>60000*F676/(2*PI()*C676)</f>
        <v>440.0216504125982</v>
      </c>
      <c r="H676" s="4">
        <f>G676*Thiet_ke!$B$15*B676*Dau_vao!$B$10/Thiet_ke!$B$7</f>
        <v>5915.097847808971</v>
      </c>
      <c r="I676" s="4">
        <f>IF(D676&lt;=Dau_vao!$B$14,Dau_vao!$B$13,Dau_vao!$B$13*(1+D676^2/1500))</f>
        <v>0.015</v>
      </c>
      <c r="J676" s="4">
        <f>Thiet_ke!$B$8*D676^2</f>
        <v>291.14472942366683</v>
      </c>
      <c r="K676" s="4">
        <f>Thiet_ke!$B$3*I676+J676</f>
        <v>1422.728229423667</v>
      </c>
      <c r="L676" s="4">
        <f>(H676-J676)/Thiet_ke!$B$3</f>
        <v>0.07454977628763547</v>
      </c>
      <c r="M676" s="4">
        <f>1.05+0.05*B676^2</f>
        <v>1.1822875655532297</v>
      </c>
      <c r="N676" s="4">
        <f>(MIN(H676,Thiet_ke!$B$16)-K676)/(Thiet_ke!$B$2*M676)</f>
        <v>0.4941127035437832</v>
      </c>
      <c r="O676" s="4">
        <f>IF(N676&gt;0,1/N676,"")</f>
        <v>2.023829771685662</v>
      </c>
    </row>
    <row r="677" spans="1:15">
      <c r="A677">
        <v>4</v>
      </c>
      <c r="B677" s="4">
        <f>Thiet_ke!$B$23</f>
        <v>1.6265765616977859</v>
      </c>
      <c r="C677" s="4">
        <f>Dau_vao!$B$21+(Dau_vao!$B$19-Dau_vao!$B$21)*72/200</f>
        <v>1448.0</v>
      </c>
      <c r="D677" s="4">
        <f>2*PI()*C677*Thiet_ke!$B$7/(60*Thiet_ke!$B$15*B677)</f>
        <v>10.039204453938261</v>
      </c>
      <c r="E677" s="4">
        <f>D677*3.6</f>
        <v>36.14113603417774</v>
      </c>
      <c r="F677" s="4">
        <f>Thiet_ke!$B$12*(Dau_vao!$B$22*(C677/Dau_vao!$B$19)+Dau_vao!$B$23*(C677/Dau_vao!$B$19)^2-Dau_vao!$B$24*(C677/Dau_vao!$B$19)^3)</f>
        <v>66.81022152077274</v>
      </c>
      <c r="G677" s="4">
        <f>60000*F677/(2*PI()*C677)</f>
        <v>440.6012570757807</v>
      </c>
      <c r="H677" s="4">
        <f>G677*Thiet_ke!$B$15*B677*Dau_vao!$B$10/Thiet_ke!$B$7</f>
        <v>5922.889351074214</v>
      </c>
      <c r="I677" s="4">
        <f>IF(D677&lt;=Dau_vao!$B$14,Dau_vao!$B$13,Dau_vao!$B$13*(1+D677^2/1500))</f>
        <v>0.015</v>
      </c>
      <c r="J677" s="4">
        <f>Thiet_ke!$B$8*D677^2</f>
        <v>294.7979562488235</v>
      </c>
      <c r="K677" s="4">
        <f>Thiet_ke!$B$3*I677+J677</f>
        <v>1426.3814562488237</v>
      </c>
      <c r="L677" s="4">
        <f>(H677-J677)/Thiet_ke!$B$3</f>
        <v>0.07460463228951363</v>
      </c>
      <c r="M677" s="4">
        <f>1.05+0.05*B677^2</f>
        <v>1.1822875655532297</v>
      </c>
      <c r="N677" s="4">
        <f>(MIN(H677,Thiet_ke!$B$16)-K677)/(Thiet_ke!$B$2*M677)</f>
        <v>0.4945678697775352</v>
      </c>
      <c r="O677" s="4">
        <f>IF(N677&gt;0,1/N677,"")</f>
        <v>2.0219671780332527</v>
      </c>
    </row>
    <row r="678" spans="1:15">
      <c r="A678">
        <v>4</v>
      </c>
      <c r="B678" s="4">
        <f>Thiet_ke!$B$23</f>
        <v>1.6265765616977859</v>
      </c>
      <c r="C678" s="4">
        <f>Dau_vao!$B$21+(Dau_vao!$B$19-Dau_vao!$B$21)*73/200</f>
        <v>1457.0</v>
      </c>
      <c r="D678" s="4">
        <f>2*PI()*C678*Thiet_ke!$B$7/(60*Thiet_ke!$B$15*B678)</f>
        <v>10.101602824163017</v>
      </c>
      <c r="E678" s="4">
        <f>D678*3.6</f>
        <v>36.36577016698686</v>
      </c>
      <c r="F678" s="4">
        <f>Thiet_ke!$B$12*(Dau_vao!$B$22*(C678/Dau_vao!$B$19)+Dau_vao!$B$23*(C678/Dau_vao!$B$19)^2-Dau_vao!$B$24*(C678/Dau_vao!$B$19)^3)</f>
        <v>67.31234149250334</v>
      </c>
      <c r="G678" s="4">
        <f>60000*F678/(2*PI()*C678)</f>
        <v>441.17056470644866</v>
      </c>
      <c r="H678" s="4">
        <f>G678*Thiet_ke!$B$15*B678*Dau_vao!$B$10/Thiet_ke!$B$7</f>
        <v>5930.54240709486</v>
      </c>
      <c r="I678" s="4">
        <f>IF(D678&lt;=Dau_vao!$B$14,Dau_vao!$B$13,Dau_vao!$B$13*(1+D678^2/1500))</f>
        <v>0.015</v>
      </c>
      <c r="J678" s="4">
        <f>Thiet_ke!$B$8*D678^2</f>
        <v>298.47396038012937</v>
      </c>
      <c r="K678" s="4">
        <f>Thiet_ke!$B$3*I678+J678</f>
        <v>1430.0574603801297</v>
      </c>
      <c r="L678" s="4">
        <f>(H678-J678)/Thiet_ke!$B$3</f>
        <v>0.07465735113734069</v>
      </c>
      <c r="M678" s="4">
        <f>1.05+0.05*B678^2</f>
        <v>1.1822875655532297</v>
      </c>
      <c r="N678" s="4">
        <f>(MIN(H678,Thiet_ke!$B$16)-K678)/(Thiet_ke!$B$2*M678)</f>
        <v>0.495005303031721</v>
      </c>
      <c r="O678" s="4">
        <f>IF(N678&gt;0,1/N678,"")</f>
        <v>2.0201803776148997</v>
      </c>
    </row>
    <row r="679" spans="1:15">
      <c r="A679">
        <v>4</v>
      </c>
      <c r="B679" s="4">
        <f>Thiet_ke!$B$23</f>
        <v>1.6265765616977859</v>
      </c>
      <c r="C679" s="4">
        <f>Dau_vao!$B$21+(Dau_vao!$B$19-Dau_vao!$B$21)*74/200</f>
        <v>1466.0</v>
      </c>
      <c r="D679" s="4">
        <f>2*PI()*C679*Thiet_ke!$B$7/(60*Thiet_ke!$B$15*B679)</f>
        <v>10.164001194387769</v>
      </c>
      <c r="E679" s="4">
        <f>D679*3.6</f>
        <v>36.59040429979597</v>
      </c>
      <c r="F679" s="4">
        <f>Thiet_ke!$B$12*(Dau_vao!$B$22*(C679/Dau_vao!$B$19)+Dau_vao!$B$23*(C679/Dau_vao!$B$19)^2-Dau_vao!$B$24*(C679/Dau_vao!$B$19)^3)</f>
        <v>67.81395348500523</v>
      </c>
      <c r="G679" s="4">
        <f>60000*F679/(2*PI()*C679)</f>
        <v>441.7295733046021</v>
      </c>
      <c r="H679" s="4">
        <f>G679*Thiet_ke!$B$15*B679*Dau_vao!$B$10/Thiet_ke!$B$7</f>
        <v>5938.057015870914</v>
      </c>
      <c r="I679" s="4">
        <f>IF(D679&lt;=Dau_vao!$B$14,Dau_vao!$B$13,Dau_vao!$B$13*(1+D679^2/1500))</f>
        <v>0.015</v>
      </c>
      <c r="J679" s="4">
        <f>Thiet_ke!$B$8*D679^2</f>
        <v>302.1727418175843</v>
      </c>
      <c r="K679" s="4">
        <f>Thiet_ke!$B$3*I679+J679</f>
        <v>1433.7562418175844</v>
      </c>
      <c r="L679" s="4">
        <f>(H679-J679)/Thiet_ke!$B$3</f>
        <v>0.0747079328311167</v>
      </c>
      <c r="M679" s="4">
        <f>1.05+0.05*B679^2</f>
        <v>1.1822875655532297</v>
      </c>
      <c r="N679" s="4">
        <f>(MIN(H679,Thiet_ke!$B$16)-K679)/(Thiet_ke!$B$2*M679)</f>
        <v>0.49542500330634126</v>
      </c>
      <c r="O679" s="4">
        <f>IF(N679&gt;0,1/N679,"")</f>
        <v>2.01846897779937</v>
      </c>
    </row>
    <row r="680" spans="1:15">
      <c r="A680">
        <v>4</v>
      </c>
      <c r="B680" s="4">
        <f>Thiet_ke!$B$23</f>
        <v>1.6265765616977859</v>
      </c>
      <c r="C680" s="4">
        <f>Dau_vao!$B$21+(Dau_vao!$B$19-Dau_vao!$B$21)*75/200</f>
        <v>1475.0</v>
      </c>
      <c r="D680" s="4">
        <f>2*PI()*C680*Thiet_ke!$B$7/(60*Thiet_ke!$B$15*B680)</f>
        <v>10.226399564612525</v>
      </c>
      <c r="E680" s="4">
        <f>D680*3.6</f>
        <v>36.81503843260509</v>
      </c>
      <c r="F680" s="4">
        <f>Thiet_ke!$B$12*(Dau_vao!$B$22*(C680/Dau_vao!$B$19)+Dau_vao!$B$23*(C680/Dau_vao!$B$19)^2-Dau_vao!$B$24*(C680/Dau_vao!$B$19)^3)</f>
        <v>68.31502837844995</v>
      </c>
      <c r="G680" s="4">
        <f>60000*F680/(2*PI()*C680)</f>
        <v>442.27828287024073</v>
      </c>
      <c r="H680" s="4">
        <f>G680*Thiet_ke!$B$15*B680*Dau_vao!$B$10/Thiet_ke!$B$7</f>
        <v>5945.433177402368</v>
      </c>
      <c r="I680" s="4">
        <f>IF(D680&lt;=Dau_vao!$B$14,Dau_vao!$B$13,Dau_vao!$B$13*(1+D680^2/1500))</f>
        <v>0.015</v>
      </c>
      <c r="J680" s="4">
        <f>Thiet_ke!$B$8*D680^2</f>
        <v>305.8943005611887</v>
      </c>
      <c r="K680" s="4">
        <f>Thiet_ke!$B$3*I680+J680</f>
        <v>1437.4778005611888</v>
      </c>
      <c r="L680" s="4">
        <f>(H680-J680)/Thiet_ke!$B$3</f>
        <v>0.07475637737084154</v>
      </c>
      <c r="M680" s="4">
        <f>1.05+0.05*B680^2</f>
        <v>1.1822875655532297</v>
      </c>
      <c r="N680" s="4">
        <f>(MIN(H680,Thiet_ke!$B$16)-K680)/(Thiet_ke!$B$2*M680)</f>
        <v>0.49582697060139463</v>
      </c>
      <c r="O680" s="4">
        <f>IF(N680&gt;0,1/N680,"")</f>
        <v>2.016832603492883</v>
      </c>
    </row>
    <row r="681" spans="1:15">
      <c r="A681">
        <v>4</v>
      </c>
      <c r="B681" s="4">
        <f>Thiet_ke!$B$23</f>
        <v>1.6265765616977859</v>
      </c>
      <c r="C681" s="4">
        <f>Dau_vao!$B$21+(Dau_vao!$B$19-Dau_vao!$B$21)*76/200</f>
        <v>1484.0</v>
      </c>
      <c r="D681" s="4">
        <f>2*PI()*C681*Thiet_ke!$B$7/(60*Thiet_ke!$B$15*B681)</f>
        <v>10.28879793483728</v>
      </c>
      <c r="E681" s="4">
        <f>D681*3.6</f>
        <v>37.03967256541421</v>
      </c>
      <c r="F681" s="4">
        <f>Thiet_ke!$B$12*(Dau_vao!$B$22*(C681/Dau_vao!$B$19)+Dau_vao!$B$23*(C681/Dau_vao!$B$19)^2-Dau_vao!$B$24*(C681/Dau_vao!$B$19)^3)</f>
        <v>68.8155370530092</v>
      </c>
      <c r="G681" s="4">
        <f>60000*F681/(2*PI()*C681)</f>
        <v>442.81669340336504</v>
      </c>
      <c r="H681" s="4">
        <f>G681*Thiet_ke!$B$15*B681*Dau_vao!$B$10/Thiet_ke!$B$7</f>
        <v>5952.670891689236</v>
      </c>
      <c r="I681" s="4">
        <f>IF(D681&lt;=Dau_vao!$B$14,Dau_vao!$B$13,Dau_vao!$B$13*(1+D681^2/1500))</f>
        <v>0.015</v>
      </c>
      <c r="J681" s="4">
        <f>Thiet_ke!$B$8*D681^2</f>
        <v>309.6386366109423</v>
      </c>
      <c r="K681" s="4">
        <f>Thiet_ke!$B$3*I681+J681</f>
        <v>1441.2221366109425</v>
      </c>
      <c r="L681" s="4">
        <f>(H681-J681)/Thiet_ke!$B$3</f>
        <v>0.07480268475651544</v>
      </c>
      <c r="M681" s="4">
        <f>1.05+0.05*B681^2</f>
        <v>1.1822875655532297</v>
      </c>
      <c r="N681" s="4">
        <f>(MIN(H681,Thiet_ke!$B$16)-K681)/(Thiet_ke!$B$2*M681)</f>
        <v>0.49621120491688314</v>
      </c>
      <c r="O681" s="4">
        <f>IF(N681&gt;0,1/N681,"")</f>
        <v>2.0152708969308804</v>
      </c>
    </row>
    <row r="682" spans="1:15">
      <c r="A682">
        <v>4</v>
      </c>
      <c r="B682" s="4">
        <f>Thiet_ke!$B$23</f>
        <v>1.6265765616977859</v>
      </c>
      <c r="C682" s="4">
        <f>Dau_vao!$B$21+(Dau_vao!$B$19-Dau_vao!$B$21)*77/200</f>
        <v>1493.0</v>
      </c>
      <c r="D682" s="4">
        <f>2*PI()*C682*Thiet_ke!$B$7/(60*Thiet_ke!$B$15*B682)</f>
        <v>10.351196305062034</v>
      </c>
      <c r="E682" s="4">
        <f>D682*3.6</f>
        <v>37.26430669822332</v>
      </c>
      <c r="F682" s="4">
        <f>Thiet_ke!$B$12*(Dau_vao!$B$22*(C682/Dau_vao!$B$19)+Dau_vao!$B$23*(C682/Dau_vao!$B$19)^2-Dau_vao!$B$24*(C682/Dau_vao!$B$19)^3)</f>
        <v>69.31545038885447</v>
      </c>
      <c r="G682" s="4">
        <f>60000*F682/(2*PI()*C682)</f>
        <v>443.34480490397436</v>
      </c>
      <c r="H682" s="4">
        <f>G682*Thiet_ke!$B$15*B682*Dau_vao!$B$10/Thiet_ke!$B$7</f>
        <v>5959.7701587315005</v>
      </c>
      <c r="I682" s="4">
        <f>IF(D682&lt;=Dau_vao!$B$14,Dau_vao!$B$13,Dau_vao!$B$13*(1+D682^2/1500))</f>
        <v>0.015</v>
      </c>
      <c r="J682" s="4">
        <f>Thiet_ke!$B$8*D682^2</f>
        <v>313.405749966845</v>
      </c>
      <c r="K682" s="4">
        <f>Thiet_ke!$B$3*I682+J682</f>
        <v>1444.9892499668451</v>
      </c>
      <c r="L682" s="4">
        <f>(H682-J682)/Thiet_ke!$B$3</f>
        <v>0.07484685498813815</v>
      </c>
      <c r="M682" s="4">
        <f>1.05+0.05*B682^2</f>
        <v>1.1822875655532297</v>
      </c>
      <c r="N682" s="4">
        <f>(MIN(H682,Thiet_ke!$B$16)-K682)/(Thiet_ke!$B$2*M682)</f>
        <v>0.4965777062528048</v>
      </c>
      <c r="O682" s="4">
        <f>IF(N682&gt;0,1/N682,"")</f>
        <v>2.0137835174801544</v>
      </c>
    </row>
    <row r="683" spans="1:15">
      <c r="A683">
        <v>4</v>
      </c>
      <c r="B683" s="4">
        <f>Thiet_ke!$B$23</f>
        <v>1.6265765616977859</v>
      </c>
      <c r="C683" s="4">
        <f>Dau_vao!$B$21+(Dau_vao!$B$19-Dau_vao!$B$21)*78/200</f>
        <v>1502.0</v>
      </c>
      <c r="D683" s="4">
        <f>2*PI()*C683*Thiet_ke!$B$7/(60*Thiet_ke!$B$15*B683)</f>
        <v>10.413594675286788</v>
      </c>
      <c r="E683" s="4">
        <f>D683*3.6</f>
        <v>37.48894083103244</v>
      </c>
      <c r="F683" s="4">
        <f>Thiet_ke!$B$12*(Dau_vao!$B$22*(C683/Dau_vao!$B$19)+Dau_vao!$B$23*(C683/Dau_vao!$B$19)^2-Dau_vao!$B$24*(C683/Dau_vao!$B$19)^3)</f>
        <v>69.81473926615747</v>
      </c>
      <c r="G683" s="4">
        <f>60000*F683/(2*PI()*C683)</f>
        <v>443.86261737206945</v>
      </c>
      <c r="H683" s="4">
        <f>G683*Thiet_ke!$B$15*B683*Dau_vao!$B$10/Thiet_ke!$B$7</f>
        <v>5966.730978529176</v>
      </c>
      <c r="I683" s="4">
        <f>IF(D683&lt;=Dau_vao!$B$14,Dau_vao!$B$13,Dau_vao!$B$13*(1+D683^2/1500))</f>
        <v>0.015</v>
      </c>
      <c r="J683" s="4">
        <f>Thiet_ke!$B$8*D683^2</f>
        <v>317.19564062889697</v>
      </c>
      <c r="K683" s="4">
        <f>Thiet_ke!$B$3*I683+J683</f>
        <v>1448.779140628897</v>
      </c>
      <c r="L683" s="4">
        <f>(H683-J683)/Thiet_ke!$B$3</f>
        <v>0.07488888806570984</v>
      </c>
      <c r="M683" s="4">
        <f>1.05+0.05*B683^2</f>
        <v>1.1822875655532297</v>
      </c>
      <c r="N683" s="4">
        <f>(MIN(H683,Thiet_ke!$B$16)-K683)/(Thiet_ke!$B$2*M683)</f>
        <v>0.49692647460916095</v>
      </c>
      <c r="O683" s="4">
        <f>IF(N683&gt;0,1/N683,"")</f>
        <v>2.0123701414510324</v>
      </c>
    </row>
    <row r="684" spans="1:15">
      <c r="A684">
        <v>4</v>
      </c>
      <c r="B684" s="4">
        <f>Thiet_ke!$B$23</f>
        <v>1.6265765616977859</v>
      </c>
      <c r="C684" s="4">
        <f>Dau_vao!$B$21+(Dau_vao!$B$19-Dau_vao!$B$21)*79/200</f>
        <v>1511.0</v>
      </c>
      <c r="D684" s="4">
        <f>2*PI()*C684*Thiet_ke!$B$7/(60*Thiet_ke!$B$15*B684)</f>
        <v>10.475993045511542</v>
      </c>
      <c r="E684" s="4">
        <f>D684*3.6</f>
        <v>37.71357496384155</v>
      </c>
      <c r="F684" s="4">
        <f>Thiet_ke!$B$12*(Dau_vao!$B$22*(C684/Dau_vao!$B$19)+Dau_vao!$B$23*(C684/Dau_vao!$B$19)^2-Dau_vao!$B$24*(C684/Dau_vao!$B$19)^3)</f>
        <v>70.31337456508975</v>
      </c>
      <c r="G684" s="4">
        <f>60000*F684/(2*PI()*C684)</f>
        <v>444.3701308076498</v>
      </c>
      <c r="H684" s="4">
        <f>G684*Thiet_ke!$B$15*B684*Dau_vao!$B$10/Thiet_ke!$B$7</f>
        <v>5973.553351082256</v>
      </c>
      <c r="I684" s="4">
        <f>IF(D684&lt;=Dau_vao!$B$14,Dau_vao!$B$13,Dau_vao!$B$13*(1+D684^2/1500))</f>
        <v>0.015</v>
      </c>
      <c r="J684" s="4">
        <f>Thiet_ke!$B$8*D684^2</f>
        <v>321.00830859709816</v>
      </c>
      <c r="K684" s="4">
        <f>Thiet_ke!$B$3*I684+J684</f>
        <v>1452.5918085970984</v>
      </c>
      <c r="L684" s="4">
        <f>(H684-J684)/Thiet_ke!$B$3</f>
        <v>0.07492878398923045</v>
      </c>
      <c r="M684" s="4">
        <f>1.05+0.05*B684^2</f>
        <v>1.1822875655532297</v>
      </c>
      <c r="N684" s="4">
        <f>(MIN(H684,Thiet_ke!$B$16)-K684)/(Thiet_ke!$B$2*M684)</f>
        <v>0.4972575099859511</v>
      </c>
      <c r="O684" s="4">
        <f>IF(N684&gt;0,1/N684,"")</f>
        <v>2.011030461919525</v>
      </c>
    </row>
    <row r="685" spans="1:15">
      <c r="A685">
        <v>4</v>
      </c>
      <c r="B685" s="4">
        <f>Thiet_ke!$B$23</f>
        <v>1.6265765616977859</v>
      </c>
      <c r="C685" s="4">
        <f>Dau_vao!$B$21+(Dau_vao!$B$19-Dau_vao!$B$21)*80/200</f>
        <v>1520.0</v>
      </c>
      <c r="D685" s="4">
        <f>2*PI()*C685*Thiet_ke!$B$7/(60*Thiet_ke!$B$15*B685)</f>
        <v>10.538391415736298</v>
      </c>
      <c r="E685" s="4">
        <f>D685*3.6</f>
        <v>37.938209096650674</v>
      </c>
      <c r="F685" s="4">
        <f>Thiet_ke!$B$12*(Dau_vao!$B$22*(C685/Dau_vao!$B$19)+Dau_vao!$B$23*(C685/Dau_vao!$B$19)^2-Dau_vao!$B$24*(C685/Dau_vao!$B$19)^3)</f>
        <v>70.81132716582292</v>
      </c>
      <c r="G685" s="4">
        <f>60000*F685/(2*PI()*C685)</f>
        <v>444.8673452107156</v>
      </c>
      <c r="H685" s="4">
        <f>G685*Thiet_ke!$B$15*B685*Dau_vao!$B$10/Thiet_ke!$B$7</f>
        <v>5980.237276390741</v>
      </c>
      <c r="I685" s="4">
        <f>IF(D685&lt;=Dau_vao!$B$14,Dau_vao!$B$13,Dau_vao!$B$13*(1+D685^2/1500))</f>
        <v>0.015</v>
      </c>
      <c r="J685" s="4">
        <f>Thiet_ke!$B$8*D685^2</f>
        <v>324.84375387144865</v>
      </c>
      <c r="K685" s="4">
        <f>Thiet_ke!$B$3*I685+J685</f>
        <v>1456.4272538714488</v>
      </c>
      <c r="L685" s="4">
        <f>(H685-J685)/Thiet_ke!$B$3</f>
        <v>0.07496654275869997</v>
      </c>
      <c r="M685" s="4">
        <f>1.05+0.05*B685^2</f>
        <v>1.1822875655532297</v>
      </c>
      <c r="N685" s="4">
        <f>(MIN(H685,Thiet_ke!$B$16)-K685)/(Thiet_ke!$B$2*M685)</f>
        <v>0.4975708123831751</v>
      </c>
      <c r="O685" s="4">
        <f>IF(N685&gt;0,1/N685,"")</f>
        <v>2.0097641885591724</v>
      </c>
    </row>
    <row r="686" spans="1:15">
      <c r="A686">
        <v>4</v>
      </c>
      <c r="B686" s="4">
        <f>Thiet_ke!$B$23</f>
        <v>1.6265765616977859</v>
      </c>
      <c r="C686" s="4">
        <f>Dau_vao!$B$21+(Dau_vao!$B$19-Dau_vao!$B$21)*81/200</f>
        <v>1529.0</v>
      </c>
      <c r="D686" s="4">
        <f>2*PI()*C686*Thiet_ke!$B$7/(60*Thiet_ke!$B$15*B686)</f>
        <v>10.600789785961052</v>
      </c>
      <c r="E686" s="4">
        <f>D686*3.6</f>
        <v>38.16284322945979</v>
      </c>
      <c r="F686" s="4">
        <f>Thiet_ke!$B$12*(Dau_vao!$B$22*(C686/Dau_vao!$B$19)+Dau_vao!$B$23*(C686/Dau_vao!$B$19)^2-Dau_vao!$B$24*(C686/Dau_vao!$B$19)^3)</f>
        <v>71.30856794852853</v>
      </c>
      <c r="G686" s="4">
        <f>60000*F686/(2*PI()*C686)</f>
        <v>445.35426058126666</v>
      </c>
      <c r="H686" s="4">
        <f>G686*Thiet_ke!$B$15*B686*Dau_vao!$B$10/Thiet_ke!$B$7</f>
        <v>5986.78275445463</v>
      </c>
      <c r="I686" s="4">
        <f>IF(D686&lt;=Dau_vao!$B$14,Dau_vao!$B$13,Dau_vao!$B$13*(1+D686^2/1500))</f>
        <v>0.015</v>
      </c>
      <c r="J686" s="4">
        <f>Thiet_ke!$B$8*D686^2</f>
        <v>328.70197645194827</v>
      </c>
      <c r="K686" s="4">
        <f>Thiet_ke!$B$3*I686+J686</f>
        <v>1460.2854764519484</v>
      </c>
      <c r="L686" s="4">
        <f>(H686-J686)/Thiet_ke!$B$3</f>
        <v>0.0750021643741184</v>
      </c>
      <c r="M686" s="4">
        <f>1.05+0.05*B686^2</f>
        <v>1.1822875655532297</v>
      </c>
      <c r="N686" s="4">
        <f>(MIN(H686,Thiet_ke!$B$16)-K686)/(Thiet_ke!$B$2*M686)</f>
        <v>0.4978663818008331</v>
      </c>
      <c r="O686" s="4">
        <f>IF(N686&gt;0,1/N686,"")</f>
        <v>2.0085710474824565</v>
      </c>
    </row>
    <row r="687" spans="1:15">
      <c r="A687">
        <v>4</v>
      </c>
      <c r="B687" s="4">
        <f>Thiet_ke!$B$23</f>
        <v>1.6265765616977859</v>
      </c>
      <c r="C687" s="4">
        <f>Dau_vao!$B$21+(Dau_vao!$B$19-Dau_vao!$B$21)*82/200</f>
        <v>1538.0</v>
      </c>
      <c r="D687" s="4">
        <f>2*PI()*C687*Thiet_ke!$B$7/(60*Thiet_ke!$B$15*B687)</f>
        <v>10.663188156185806</v>
      </c>
      <c r="E687" s="4">
        <f>D687*3.6</f>
        <v>38.3874773622689</v>
      </c>
      <c r="F687" s="4">
        <f>Thiet_ke!$B$12*(Dau_vao!$B$22*(C687/Dau_vao!$B$19)+Dau_vao!$B$23*(C687/Dau_vao!$B$19)^2-Dau_vao!$B$24*(C687/Dau_vao!$B$19)^3)</f>
        <v>71.80506779337827</v>
      </c>
      <c r="G687" s="4">
        <f>60000*F687/(2*PI()*C687)</f>
        <v>445.83087691930325</v>
      </c>
      <c r="H687" s="4">
        <f>G687*Thiet_ke!$B$15*B687*Dau_vao!$B$10/Thiet_ke!$B$7</f>
        <v>5993.189785273925</v>
      </c>
      <c r="I687" s="4">
        <f>IF(D687&lt;=Dau_vao!$B$14,Dau_vao!$B$13,Dau_vao!$B$13*(1+D687^2/1500))</f>
        <v>0.015</v>
      </c>
      <c r="J687" s="4">
        <f>Thiet_ke!$B$8*D687^2</f>
        <v>332.5829763385972</v>
      </c>
      <c r="K687" s="4">
        <f>Thiet_ke!$B$3*I687+J687</f>
        <v>1464.1664763385975</v>
      </c>
      <c r="L687" s="4">
        <f>(H687-J687)/Thiet_ke!$B$3</f>
        <v>0.07503564883548576</v>
      </c>
      <c r="M687" s="4">
        <f>1.05+0.05*B687^2</f>
        <v>1.1822875655532297</v>
      </c>
      <c r="N687" s="4">
        <f>(MIN(H687,Thiet_ke!$B$16)-K687)/(Thiet_ke!$B$2*M687)</f>
        <v>0.4981442182389251</v>
      </c>
      <c r="O687" s="4">
        <f>IF(N687&gt;0,1/N687,"")</f>
        <v>2.007450781091611</v>
      </c>
    </row>
    <row r="688" spans="1:15">
      <c r="A688">
        <v>4</v>
      </c>
      <c r="B688" s="4">
        <f>Thiet_ke!$B$23</f>
        <v>1.6265765616977859</v>
      </c>
      <c r="C688" s="4">
        <f>Dau_vao!$B$21+(Dau_vao!$B$19-Dau_vao!$B$21)*83/200</f>
        <v>1547.0</v>
      </c>
      <c r="D688" s="4">
        <f>2*PI()*C688*Thiet_ke!$B$7/(60*Thiet_ke!$B$15*B688)</f>
        <v>10.725586526410561</v>
      </c>
      <c r="E688" s="4">
        <f>D688*3.6</f>
        <v>38.61211149507802</v>
      </c>
      <c r="F688" s="4">
        <f>Thiet_ke!$B$12*(Dau_vao!$B$22*(C688/Dau_vao!$B$19)+Dau_vao!$B$23*(C688/Dau_vao!$B$19)^2-Dau_vao!$B$24*(C688/Dau_vao!$B$19)^3)</f>
        <v>72.3007975805437</v>
      </c>
      <c r="G688" s="4">
        <f>60000*F688/(2*PI()*C688)</f>
        <v>446.29719422482526</v>
      </c>
      <c r="H688" s="4">
        <f>G688*Thiet_ke!$B$15*B688*Dau_vao!$B$10/Thiet_ke!$B$7</f>
        <v>5999.458368848626</v>
      </c>
      <c r="I688" s="4">
        <f>IF(D688&lt;=Dau_vao!$B$14,Dau_vao!$B$13,Dau_vao!$B$13*(1+D688^2/1500))</f>
        <v>0.015</v>
      </c>
      <c r="J688" s="4">
        <f>Thiet_ke!$B$8*D688^2</f>
        <v>336.4867535313954</v>
      </c>
      <c r="K688" s="4">
        <f>Thiet_ke!$B$3*I688+J688</f>
        <v>1468.0702535313956</v>
      </c>
      <c r="L688" s="4">
        <f>(H688-J688)/Thiet_ke!$B$3</f>
        <v>0.07506699614280206</v>
      </c>
      <c r="M688" s="4">
        <f>1.05+0.05*B688^2</f>
        <v>1.1822875655532297</v>
      </c>
      <c r="N688" s="4">
        <f>(MIN(H688,Thiet_ke!$B$16)-K688)/(Thiet_ke!$B$2*M688)</f>
        <v>0.4984043216974512</v>
      </c>
      <c r="O688" s="4">
        <f>IF(N688&gt;0,1/N688,"")</f>
        <v>2.006403147938663</v>
      </c>
    </row>
    <row r="689" spans="1:15">
      <c r="A689">
        <v>4</v>
      </c>
      <c r="B689" s="4">
        <f>Thiet_ke!$B$23</f>
        <v>1.6265765616977859</v>
      </c>
      <c r="C689" s="4">
        <f>Dau_vao!$B$21+(Dau_vao!$B$19-Dau_vao!$B$21)*84/200</f>
        <v>1556.0</v>
      </c>
      <c r="D689" s="4">
        <f>2*PI()*C689*Thiet_ke!$B$7/(60*Thiet_ke!$B$15*B689)</f>
        <v>10.787984896635315</v>
      </c>
      <c r="E689" s="4">
        <f>D689*3.6</f>
        <v>38.83674562788713</v>
      </c>
      <c r="F689" s="4">
        <f>Thiet_ke!$B$12*(Dau_vao!$B$22*(C689/Dau_vao!$B$19)+Dau_vao!$B$23*(C689/Dau_vao!$B$19)^2-Dau_vao!$B$24*(C689/Dau_vao!$B$19)^3)</f>
        <v>72.79572819019643</v>
      </c>
      <c r="G689" s="4">
        <f>60000*F689/(2*PI()*C689)</f>
        <v>446.7532124978327</v>
      </c>
      <c r="H689" s="4">
        <f>G689*Thiet_ke!$B$15*B689*Dau_vao!$B$10/Thiet_ke!$B$7</f>
        <v>6005.588505178733</v>
      </c>
      <c r="I689" s="4">
        <f>IF(D689&lt;=Dau_vao!$B$14,Dau_vao!$B$13,Dau_vao!$B$13*(1+D689^2/1500))</f>
        <v>0.015</v>
      </c>
      <c r="J689" s="4">
        <f>Thiet_ke!$B$8*D689^2</f>
        <v>340.41330803034265</v>
      </c>
      <c r="K689" s="4">
        <f>Thiet_ke!$B$3*I689+J689</f>
        <v>1471.996808030343</v>
      </c>
      <c r="L689" s="4">
        <f>(H689-J689)/Thiet_ke!$B$3</f>
        <v>0.07509620629606727</v>
      </c>
      <c r="M689" s="4">
        <f>1.05+0.05*B689^2</f>
        <v>1.1822875655532297</v>
      </c>
      <c r="N689" s="4">
        <f>(MIN(H689,Thiet_ke!$B$16)-K689)/(Thiet_ke!$B$2*M689)</f>
        <v>0.4986466921764113</v>
      </c>
      <c r="O689" s="4">
        <f>IF(N689&gt;0,1/N689,"")</f>
        <v>2.0054279225945812</v>
      </c>
    </row>
    <row r="690" spans="1:15">
      <c r="A690">
        <v>4</v>
      </c>
      <c r="B690" s="4">
        <f>Thiet_ke!$B$23</f>
        <v>1.6265765616977859</v>
      </c>
      <c r="C690" s="4">
        <f>Dau_vao!$B$21+(Dau_vao!$B$19-Dau_vao!$B$21)*85/200</f>
        <v>1565.0</v>
      </c>
      <c r="D690" s="4">
        <f>2*PI()*C690*Thiet_ke!$B$7/(60*Thiet_ke!$B$15*B690)</f>
        <v>10.850383266860067</v>
      </c>
      <c r="E690" s="4">
        <f>D690*3.6</f>
        <v>39.06137976069624</v>
      </c>
      <c r="F690" s="4">
        <f>Thiet_ke!$B$12*(Dau_vao!$B$22*(C690/Dau_vao!$B$19)+Dau_vao!$B$23*(C690/Dau_vao!$B$19)^2-Dau_vao!$B$24*(C690/Dau_vao!$B$19)^3)</f>
        <v>73.28983050250802</v>
      </c>
      <c r="G690" s="4">
        <f>60000*F690/(2*PI()*C690)</f>
        <v>447.1989317383254</v>
      </c>
      <c r="H690" s="4">
        <f>G690*Thiet_ke!$B$15*B690*Dau_vao!$B$10/Thiet_ke!$B$7</f>
        <v>6011.580194264243</v>
      </c>
      <c r="I690" s="4">
        <f>IF(D690&lt;=Dau_vao!$B$14,Dau_vao!$B$13,Dau_vao!$B$13*(1+D690^2/1500))</f>
        <v>0.015</v>
      </c>
      <c r="J690" s="4">
        <f>Thiet_ke!$B$8*D690^2</f>
        <v>344.3626398354391</v>
      </c>
      <c r="K690" s="4">
        <f>Thiet_ke!$B$3*I690+J690</f>
        <v>1475.9461398354392</v>
      </c>
      <c r="L690" s="4">
        <f>(H690-J690)/Thiet_ke!$B$3</f>
        <v>0.07512327929528138</v>
      </c>
      <c r="M690" s="4">
        <f>1.05+0.05*B690^2</f>
        <v>1.1822875655532297</v>
      </c>
      <c r="N690" s="4">
        <f>(MIN(H690,Thiet_ke!$B$16)-K690)/(Thiet_ke!$B$2*M690)</f>
        <v>0.4988713296758053</v>
      </c>
      <c r="O690" s="4">
        <f>IF(N690&gt;0,1/N690,"")</f>
        <v>2.0045248955273824</v>
      </c>
    </row>
    <row r="691" spans="1:15">
      <c r="A691">
        <v>4</v>
      </c>
      <c r="B691" s="4">
        <f>Thiet_ke!$B$23</f>
        <v>1.6265765616977859</v>
      </c>
      <c r="C691" s="4">
        <f>Dau_vao!$B$21+(Dau_vao!$B$19-Dau_vao!$B$21)*86/200</f>
        <v>1574.0</v>
      </c>
      <c r="D691" s="4">
        <f>2*PI()*C691*Thiet_ke!$B$7/(60*Thiet_ke!$B$15*B691)</f>
        <v>10.912781637084823</v>
      </c>
      <c r="E691" s="4">
        <f>D691*3.6</f>
        <v>39.28601389350536</v>
      </c>
      <c r="F691" s="4">
        <f>Thiet_ke!$B$12*(Dau_vao!$B$22*(C691/Dau_vao!$B$19)+Dau_vao!$B$23*(C691/Dau_vao!$B$19)^2-Dau_vao!$B$24*(C691/Dau_vao!$B$19)^3)</f>
        <v>73.78307539765014</v>
      </c>
      <c r="G691" s="4">
        <f>60000*F691/(2*PI()*C691)</f>
        <v>447.63435194630364</v>
      </c>
      <c r="H691" s="4">
        <f>G691*Thiet_ke!$B$15*B691*Dau_vao!$B$10/Thiet_ke!$B$7</f>
        <v>6017.4334361051615</v>
      </c>
      <c r="I691" s="4">
        <f>IF(D691&lt;=Dau_vao!$B$14,Dau_vao!$B$13,Dau_vao!$B$13*(1+D691^2/1500))</f>
        <v>0.015</v>
      </c>
      <c r="J691" s="4">
        <f>Thiet_ke!$B$8*D691^2</f>
        <v>348.33474894668495</v>
      </c>
      <c r="K691" s="4">
        <f>Thiet_ke!$B$3*I691+J691</f>
        <v>1479.9182489466853</v>
      </c>
      <c r="L691" s="4">
        <f>(H691-J691)/Thiet_ke!$B$3</f>
        <v>0.07514821514044447</v>
      </c>
      <c r="M691" s="4">
        <f>1.05+0.05*B691^2</f>
        <v>1.1822875655532297</v>
      </c>
      <c r="N691" s="4">
        <f>(MIN(H691,Thiet_ke!$B$16)-K691)/(Thiet_ke!$B$2*M691)</f>
        <v>0.49907823419563363</v>
      </c>
      <c r="O691" s="4">
        <f>IF(N691&gt;0,1/N691,"")</f>
        <v>2.0036938729890794</v>
      </c>
    </row>
    <row r="692" spans="1:15">
      <c r="A692">
        <v>4</v>
      </c>
      <c r="B692" s="4">
        <f>Thiet_ke!$B$23</f>
        <v>1.6265765616977859</v>
      </c>
      <c r="C692" s="4">
        <f>Dau_vao!$B$21+(Dau_vao!$B$19-Dau_vao!$B$21)*87/200</f>
        <v>1583.0</v>
      </c>
      <c r="D692" s="4">
        <f>2*PI()*C692*Thiet_ke!$B$7/(60*Thiet_ke!$B$15*B692)</f>
        <v>10.975180007309577</v>
      </c>
      <c r="E692" s="4">
        <f>D692*3.6</f>
        <v>39.51064802631448</v>
      </c>
      <c r="F692" s="4">
        <f>Thiet_ke!$B$12*(Dau_vao!$B$22*(C692/Dau_vao!$B$19)+Dau_vao!$B$23*(C692/Dau_vao!$B$19)^2-Dau_vao!$B$24*(C692/Dau_vao!$B$19)^3)</f>
        <v>74.27543375579434</v>
      </c>
      <c r="G692" s="4">
        <f>60000*F692/(2*PI()*C692)</f>
        <v>448.05947312176716</v>
      </c>
      <c r="H692" s="4">
        <f>G692*Thiet_ke!$B$15*B692*Dau_vao!$B$10/Thiet_ke!$B$7</f>
        <v>6023.148230701481</v>
      </c>
      <c r="I692" s="4">
        <f>IF(D692&lt;=Dau_vao!$B$14,Dau_vao!$B$13,Dau_vao!$B$13*(1+D692^2/1500))</f>
        <v>0.015</v>
      </c>
      <c r="J692" s="4">
        <f>Thiet_ke!$B$8*D692^2</f>
        <v>352.32963536407993</v>
      </c>
      <c r="K692" s="4">
        <f>Thiet_ke!$B$3*I692+J692</f>
        <v>1483.91313536408</v>
      </c>
      <c r="L692" s="4">
        <f>(H692-J692)/Thiet_ke!$B$3</f>
        <v>0.0751710138315564</v>
      </c>
      <c r="M692" s="4">
        <f>1.05+0.05*B692^2</f>
        <v>1.1822875655532297</v>
      </c>
      <c r="N692" s="4">
        <f>(MIN(H692,Thiet_ke!$B$16)-K692)/(Thiet_ke!$B$2*M692)</f>
        <v>0.49926740573589545</v>
      </c>
      <c r="O692" s="4">
        <f>IF(N692&gt;0,1/N692,"")</f>
        <v>2.0029346769113627</v>
      </c>
    </row>
    <row r="693" spans="1:15">
      <c r="A693">
        <v>4</v>
      </c>
      <c r="B693" s="4">
        <f>Thiet_ke!$B$23</f>
        <v>1.6265765616977859</v>
      </c>
      <c r="C693" s="4">
        <f>Dau_vao!$B$21+(Dau_vao!$B$19-Dau_vao!$B$21)*88/200</f>
        <v>1592.0</v>
      </c>
      <c r="D693" s="4">
        <f>2*PI()*C693*Thiet_ke!$B$7/(60*Thiet_ke!$B$15*B693)</f>
        <v>11.037578377534333</v>
      </c>
      <c r="E693" s="4">
        <f>D693*3.6</f>
        <v>39.7352821591236</v>
      </c>
      <c r="F693" s="4">
        <f>Thiet_ke!$B$12*(Dau_vao!$B$22*(C693/Dau_vao!$B$19)+Dau_vao!$B$23*(C693/Dau_vao!$B$19)^2-Dau_vao!$B$24*(C693/Dau_vao!$B$19)^3)</f>
        <v>74.76687645711225</v>
      </c>
      <c r="G693" s="4">
        <f>60000*F693/(2*PI()*C693)</f>
        <v>448.4742952647162</v>
      </c>
      <c r="H693" s="4">
        <f>G693*Thiet_ke!$B$15*B693*Dau_vao!$B$10/Thiet_ke!$B$7</f>
        <v>6028.724578053209</v>
      </c>
      <c r="I693" s="4">
        <f>IF(D693&lt;=Dau_vao!$B$14,Dau_vao!$B$13,Dau_vao!$B$13*(1+D693^2/1500))</f>
        <v>0.015</v>
      </c>
      <c r="J693" s="4">
        <f>Thiet_ke!$B$8*D693^2</f>
        <v>356.3472990876243</v>
      </c>
      <c r="K693" s="4">
        <f>Thiet_ke!$B$3*I693+J693</f>
        <v>1487.9307990876246</v>
      </c>
      <c r="L693" s="4">
        <f>(H693-J693)/Thiet_ke!$B$3</f>
        <v>0.0751916753686173</v>
      </c>
      <c r="M693" s="4">
        <f>1.05+0.05*B693^2</f>
        <v>1.1822875655532297</v>
      </c>
      <c r="N693" s="4">
        <f>(MIN(H693,Thiet_ke!$B$16)-K693)/(Thiet_ke!$B$2*M693)</f>
        <v>0.49943884429659163</v>
      </c>
      <c r="O693" s="4">
        <f>IF(N693&gt;0,1/N693,"")</f>
        <v>2.0022471448098864</v>
      </c>
    </row>
    <row r="694" spans="1:15">
      <c r="A694">
        <v>4</v>
      </c>
      <c r="B694" s="4">
        <f>Thiet_ke!$B$23</f>
        <v>1.6265765616977859</v>
      </c>
      <c r="C694" s="4">
        <f>Dau_vao!$B$21+(Dau_vao!$B$19-Dau_vao!$B$21)*89/200</f>
        <v>1601.0</v>
      </c>
      <c r="D694" s="4">
        <f>2*PI()*C694*Thiet_ke!$B$7/(60*Thiet_ke!$B$15*B694)</f>
        <v>11.099976747759086</v>
      </c>
      <c r="E694" s="4">
        <f>D694*3.6</f>
        <v>39.959916291932714</v>
      </c>
      <c r="F694" s="4">
        <f>Thiet_ke!$B$12*(Dau_vao!$B$22*(C694/Dau_vao!$B$19)+Dau_vao!$B$23*(C694/Dau_vao!$B$19)^2-Dau_vao!$B$24*(C694/Dau_vao!$B$19)^3)</f>
        <v>75.25737438177545</v>
      </c>
      <c r="G694" s="4">
        <f>60000*F694/(2*PI()*C694)</f>
        <v>448.8788183751506</v>
      </c>
      <c r="H694" s="4">
        <f>G694*Thiet_ke!$B$15*B694*Dau_vao!$B$10/Thiet_ke!$B$7</f>
        <v>6034.162478160343</v>
      </c>
      <c r="I694" s="4">
        <f>IF(D694&lt;=Dau_vao!$B$14,Dau_vao!$B$13,Dau_vao!$B$13*(1+D694^2/1500))</f>
        <v>0.015</v>
      </c>
      <c r="J694" s="4">
        <f>Thiet_ke!$B$8*D694^2</f>
        <v>360.3877401173178</v>
      </c>
      <c r="K694" s="4">
        <f>Thiet_ke!$B$3*I694+J694</f>
        <v>1491.9712401173178</v>
      </c>
      <c r="L694" s="4">
        <f>(H694-J694)/Thiet_ke!$B$3</f>
        <v>0.07521019975162714</v>
      </c>
      <c r="M694" s="4">
        <f>1.05+0.05*B694^2</f>
        <v>1.1822875655532297</v>
      </c>
      <c r="N694" s="4">
        <f>(MIN(H694,Thiet_ke!$B$16)-K694)/(Thiet_ke!$B$2*M694)</f>
        <v>0.499592549877722</v>
      </c>
      <c r="O694" s="4">
        <f>IF(N694&gt;0,1/N694,"")</f>
        <v>2.001631129697101</v>
      </c>
    </row>
    <row r="695" spans="1:15">
      <c r="A695">
        <v>4</v>
      </c>
      <c r="B695" s="4">
        <f>Thiet_ke!$B$23</f>
        <v>1.6265765616977859</v>
      </c>
      <c r="C695" s="4">
        <f>Dau_vao!$B$21+(Dau_vao!$B$19-Dau_vao!$B$21)*90/200</f>
        <v>1610.0</v>
      </c>
      <c r="D695" s="4">
        <f>2*PI()*C695*Thiet_ke!$B$7/(60*Thiet_ke!$B$15*B695)</f>
        <v>11.16237511798384</v>
      </c>
      <c r="E695" s="4">
        <f>D695*3.6</f>
        <v>40.18455042474183</v>
      </c>
      <c r="F695" s="4">
        <f>Thiet_ke!$B$12*(Dau_vao!$B$22*(C695/Dau_vao!$B$19)+Dau_vao!$B$23*(C695/Dau_vao!$B$19)^2-Dau_vao!$B$24*(C695/Dau_vao!$B$19)^3)</f>
        <v>75.74689840995556</v>
      </c>
      <c r="G695" s="4">
        <f>60000*F695/(2*PI()*C695)</f>
        <v>449.27304245307045</v>
      </c>
      <c r="H695" s="4">
        <f>G695*Thiet_ke!$B$15*B695*Dau_vao!$B$10/Thiet_ke!$B$7</f>
        <v>6039.461931022882</v>
      </c>
      <c r="I695" s="4">
        <f>IF(D695&lt;=Dau_vao!$B$14,Dau_vao!$B$13,Dau_vao!$B$13*(1+D695^2/1500))</f>
        <v>0.015</v>
      </c>
      <c r="J695" s="4">
        <f>Thiet_ke!$B$8*D695^2</f>
        <v>364.4509584531604</v>
      </c>
      <c r="K695" s="4">
        <f>Thiet_ke!$B$3*I695+J695</f>
        <v>1496.0344584531606</v>
      </c>
      <c r="L695" s="4">
        <f>(H695-J695)/Thiet_ke!$B$3</f>
        <v>0.07522658698058589</v>
      </c>
      <c r="M695" s="4">
        <f>1.05+0.05*B695^2</f>
        <v>1.1822875655532297</v>
      </c>
      <c r="N695" s="4">
        <f>(MIN(H695,Thiet_ke!$B$16)-K695)/(Thiet_ke!$B$2*M695)</f>
        <v>0.4997285224792862</v>
      </c>
      <c r="O695" s="4">
        <f>IF(N695&gt;0,1/N695,"")</f>
        <v>2.0010865000035096</v>
      </c>
    </row>
    <row r="696" spans="1:15">
      <c r="A696">
        <v>4</v>
      </c>
      <c r="B696" s="4">
        <f>Thiet_ke!$B$23</f>
        <v>1.6265765616977859</v>
      </c>
      <c r="C696" s="4">
        <f>Dau_vao!$B$21+(Dau_vao!$B$19-Dau_vao!$B$21)*91/200</f>
        <v>1619.0</v>
      </c>
      <c r="D696" s="4">
        <f>2*PI()*C696*Thiet_ke!$B$7/(60*Thiet_ke!$B$15*B696)</f>
        <v>11.224773488208594</v>
      </c>
      <c r="E696" s="4">
        <f>D696*3.6</f>
        <v>40.409184557550944</v>
      </c>
      <c r="F696" s="4">
        <f>Thiet_ke!$B$12*(Dau_vao!$B$22*(C696/Dau_vao!$B$19)+Dau_vao!$B$23*(C696/Dau_vao!$B$19)^2-Dau_vao!$B$24*(C696/Dau_vao!$B$19)^3)</f>
        <v>76.23541942182418</v>
      </c>
      <c r="G696" s="4">
        <f>60000*F696/(2*PI()*C696)</f>
        <v>449.6569674984756</v>
      </c>
      <c r="H696" s="4">
        <f>G696*Thiet_ke!$B$15*B696*Dau_vao!$B$10/Thiet_ke!$B$7</f>
        <v>6044.622936640825</v>
      </c>
      <c r="I696" s="4">
        <f>IF(D696&lt;=Dau_vao!$B$14,Dau_vao!$B$13,Dau_vao!$B$13*(1+D696^2/1500))</f>
        <v>0.015</v>
      </c>
      <c r="J696" s="4">
        <f>Thiet_ke!$B$8*D696^2</f>
        <v>368.53695409515234</v>
      </c>
      <c r="K696" s="4">
        <f>Thiet_ke!$B$3*I696+J696</f>
        <v>1500.1204540951526</v>
      </c>
      <c r="L696" s="4">
        <f>(H696-J696)/Thiet_ke!$B$3</f>
        <v>0.07524083705549355</v>
      </c>
      <c r="M696" s="4">
        <f>1.05+0.05*B696^2</f>
        <v>1.1822875655532297</v>
      </c>
      <c r="N696" s="4">
        <f>(MIN(H696,Thiet_ke!$B$16)-K696)/(Thiet_ke!$B$2*M696)</f>
        <v>0.49984676210128437</v>
      </c>
      <c r="O696" s="4">
        <f>IF(N696&gt;0,1/N696,"")</f>
        <v>2.000613139507282</v>
      </c>
    </row>
    <row r="697" spans="1:15">
      <c r="A697">
        <v>4</v>
      </c>
      <c r="B697" s="4">
        <f>Thiet_ke!$B$23</f>
        <v>1.6265765616977859</v>
      </c>
      <c r="C697" s="4">
        <f>Dau_vao!$B$21+(Dau_vao!$B$19-Dau_vao!$B$21)*92/200</f>
        <v>1628.0</v>
      </c>
      <c r="D697" s="4">
        <f>2*PI()*C697*Thiet_ke!$B$7/(60*Thiet_ke!$B$15*B697)</f>
        <v>11.28717185843335</v>
      </c>
      <c r="E697" s="4">
        <f>D697*3.6</f>
        <v>40.63381869036006</v>
      </c>
      <c r="F697" s="4">
        <f>Thiet_ke!$B$12*(Dau_vao!$B$22*(C697/Dau_vao!$B$19)+Dau_vao!$B$23*(C697/Dau_vao!$B$19)^2-Dau_vao!$B$24*(C697/Dau_vao!$B$19)^3)</f>
        <v>76.7229082975529</v>
      </c>
      <c r="G697" s="4">
        <f>60000*F697/(2*PI()*C697)</f>
        <v>450.03059351136625</v>
      </c>
      <c r="H697" s="4">
        <f>G697*Thiet_ke!$B$15*B697*Dau_vao!$B$10/Thiet_ke!$B$7</f>
        <v>6049.645495014176</v>
      </c>
      <c r="I697" s="4">
        <f>IF(D697&lt;=Dau_vao!$B$14,Dau_vao!$B$13,Dau_vao!$B$13*(1+D697^2/1500))</f>
        <v>0.015</v>
      </c>
      <c r="J697" s="4">
        <f>Thiet_ke!$B$8*D697^2</f>
        <v>372.64572704329356</v>
      </c>
      <c r="K697" s="4">
        <f>Thiet_ke!$B$3*I697+J697</f>
        <v>1504.2292270432938</v>
      </c>
      <c r="L697" s="4">
        <f>(H697-J697)/Thiet_ke!$B$3</f>
        <v>0.07525294997635015</v>
      </c>
      <c r="M697" s="4">
        <f>1.05+0.05*B697^2</f>
        <v>1.1822875655532297</v>
      </c>
      <c r="N697" s="4">
        <f>(MIN(H697,Thiet_ke!$B$16)-K697)/(Thiet_ke!$B$2*M697)</f>
        <v>0.49994726874371676</v>
      </c>
      <c r="O697" s="4">
        <f>IF(N697&gt;0,1/N697,"")</f>
        <v>2.0002109472721625</v>
      </c>
    </row>
    <row r="698" spans="1:15">
      <c r="A698">
        <v>4</v>
      </c>
      <c r="B698" s="4">
        <f>Thiet_ke!$B$23</f>
        <v>1.6265765616977859</v>
      </c>
      <c r="C698" s="4">
        <f>Dau_vao!$B$21+(Dau_vao!$B$19-Dau_vao!$B$21)*93/200</f>
        <v>1637.0</v>
      </c>
      <c r="D698" s="4">
        <f>2*PI()*C698*Thiet_ke!$B$7/(60*Thiet_ke!$B$15*B698)</f>
        <v>11.349570228658104</v>
      </c>
      <c r="E698" s="4">
        <f>D698*3.6</f>
        <v>40.85845282316917</v>
      </c>
      <c r="F698" s="4">
        <f>Thiet_ke!$B$12*(Dau_vao!$B$22*(C698/Dau_vao!$B$19)+Dau_vao!$B$23*(C698/Dau_vao!$B$19)^2-Dau_vao!$B$24*(C698/Dau_vao!$B$19)^3)</f>
        <v>77.20933591731331</v>
      </c>
      <c r="G698" s="4">
        <f>60000*F698/(2*PI()*C698)</f>
        <v>450.39392049174216</v>
      </c>
      <c r="H698" s="4">
        <f>G698*Thiet_ke!$B$15*B698*Dau_vao!$B$10/Thiet_ke!$B$7</f>
        <v>6054.529606142929</v>
      </c>
      <c r="I698" s="4">
        <f>IF(D698&lt;=Dau_vao!$B$14,Dau_vao!$B$13,Dau_vao!$B$13*(1+D698^2/1500))</f>
        <v>0.015</v>
      </c>
      <c r="J698" s="4">
        <f>Thiet_ke!$B$8*D698^2</f>
        <v>376.77727729758396</v>
      </c>
      <c r="K698" s="4">
        <f>Thiet_ke!$B$3*I698+J698</f>
        <v>1508.3607772975843</v>
      </c>
      <c r="L698" s="4">
        <f>(H698-J698)/Thiet_ke!$B$3</f>
        <v>0.07526292574315564</v>
      </c>
      <c r="M698" s="4">
        <f>1.05+0.05*B698^2</f>
        <v>1.1822875655532297</v>
      </c>
      <c r="N698" s="4">
        <f>(MIN(H698,Thiet_ke!$B$16)-K698)/(Thiet_ke!$B$2*M698)</f>
        <v>0.5000300424065828</v>
      </c>
      <c r="O698" s="4">
        <f>IF(N698&gt;0,1/N698,"")</f>
        <v>1.9998798375936047</v>
      </c>
    </row>
    <row r="699" spans="1:15">
      <c r="A699">
        <v>4</v>
      </c>
      <c r="B699" s="4">
        <f>Thiet_ke!$B$23</f>
        <v>1.6265765616977859</v>
      </c>
      <c r="C699" s="4">
        <f>Dau_vao!$B$21+(Dau_vao!$B$19-Dau_vao!$B$21)*94/200</f>
        <v>1646.0</v>
      </c>
      <c r="D699" s="4">
        <f>2*PI()*C699*Thiet_ke!$B$7/(60*Thiet_ke!$B$15*B699)</f>
        <v>11.411968598882858</v>
      </c>
      <c r="E699" s="4">
        <f>D699*3.6</f>
        <v>41.08308695597829</v>
      </c>
      <c r="F699" s="4">
        <f>Thiet_ke!$B$12*(Dau_vao!$B$22*(C699/Dau_vao!$B$19)+Dau_vao!$B$23*(C699/Dau_vao!$B$19)^2-Dau_vao!$B$24*(C699/Dau_vao!$B$19)^3)</f>
        <v>77.69467316127707</v>
      </c>
      <c r="G699" s="4">
        <f>60000*F699/(2*PI()*C699)</f>
        <v>450.7469484396036</v>
      </c>
      <c r="H699" s="4">
        <f>G699*Thiet_ke!$B$15*B699*Dau_vao!$B$10/Thiet_ke!$B$7</f>
        <v>6059.275270027088</v>
      </c>
      <c r="I699" s="4">
        <f>IF(D699&lt;=Dau_vao!$B$14,Dau_vao!$B$13,Dau_vao!$B$13*(1+D699^2/1500))</f>
        <v>0.015</v>
      </c>
      <c r="J699" s="4">
        <f>Thiet_ke!$B$8*D699^2</f>
        <v>380.9316048580235</v>
      </c>
      <c r="K699" s="4">
        <f>Thiet_ke!$B$3*I699+J699</f>
        <v>1512.5151048580237</v>
      </c>
      <c r="L699" s="4">
        <f>(H699-J699)/Thiet_ke!$B$3</f>
        <v>0.07527076435591007</v>
      </c>
      <c r="M699" s="4">
        <f>1.05+0.05*B699^2</f>
        <v>1.1822875655532297</v>
      </c>
      <c r="N699" s="4">
        <f>(MIN(H699,Thiet_ke!$B$16)-K699)/(Thiet_ke!$B$2*M699)</f>
        <v>0.5000950830898829</v>
      </c>
      <c r="O699" s="4">
        <f>IF(N699&gt;0,1/N699,"")</f>
        <v>1.9996197399530686</v>
      </c>
    </row>
    <row r="700" spans="1:15">
      <c r="A700">
        <v>4</v>
      </c>
      <c r="B700" s="4">
        <f>Thiet_ke!$B$23</f>
        <v>1.6265765616977859</v>
      </c>
      <c r="C700" s="4">
        <f>Dau_vao!$B$21+(Dau_vao!$B$19-Dau_vao!$B$21)*95/200</f>
        <v>1655.0</v>
      </c>
      <c r="D700" s="4">
        <f>2*PI()*C700*Thiet_ke!$B$7/(60*Thiet_ke!$B$15*B700)</f>
        <v>11.474366969107612</v>
      </c>
      <c r="E700" s="4">
        <f>D700*3.6</f>
        <v>41.3077210887874</v>
      </c>
      <c r="F700" s="4">
        <f>Thiet_ke!$B$12*(Dau_vao!$B$22*(C700/Dau_vao!$B$19)+Dau_vao!$B$23*(C700/Dau_vao!$B$19)^2-Dau_vao!$B$24*(C700/Dau_vao!$B$19)^3)</f>
        <v>78.17889090961572</v>
      </c>
      <c r="G700" s="4">
        <f>60000*F700/(2*PI()*C700)</f>
        <v>451.0896773549504</v>
      </c>
      <c r="H700" s="4">
        <f>G700*Thiet_ke!$B$15*B700*Dau_vao!$B$10/Thiet_ke!$B$7</f>
        <v>6063.8824866666555</v>
      </c>
      <c r="I700" s="4">
        <f>IF(D700&lt;=Dau_vao!$B$14,Dau_vao!$B$13,Dau_vao!$B$13*(1+D700^2/1500))</f>
        <v>0.015</v>
      </c>
      <c r="J700" s="4">
        <f>Thiet_ke!$B$8*D700^2</f>
        <v>385.1087097246123</v>
      </c>
      <c r="K700" s="4">
        <f>Thiet_ke!$B$3*I700+J700</f>
        <v>1516.6922097246124</v>
      </c>
      <c r="L700" s="4">
        <f>(H700-J700)/Thiet_ke!$B$3</f>
        <v>0.07527646581461345</v>
      </c>
      <c r="M700" s="4">
        <f>1.05+0.05*B700^2</f>
        <v>1.1822875655532297</v>
      </c>
      <c r="N700" s="4">
        <f>(MIN(H700,Thiet_ke!$B$16)-K700)/(Thiet_ke!$B$2*M700)</f>
        <v>0.5001423907936174</v>
      </c>
      <c r="O700" s="4">
        <f>IF(N700&gt;0,1/N700,"")</f>
        <v>1.9994305989804564</v>
      </c>
    </row>
    <row r="701" spans="1:15">
      <c r="A701">
        <v>4</v>
      </c>
      <c r="B701" s="4">
        <f>Thiet_ke!$B$23</f>
        <v>1.6265765616977859</v>
      </c>
      <c r="C701" s="4">
        <f>Dau_vao!$B$21+(Dau_vao!$B$19-Dau_vao!$B$21)*96/200</f>
        <v>1664.0</v>
      </c>
      <c r="D701" s="4">
        <f>2*PI()*C701*Thiet_ke!$B$7/(60*Thiet_ke!$B$15*B701)</f>
        <v>11.536765339332367</v>
      </c>
      <c r="E701" s="4">
        <f>D701*3.6</f>
        <v>41.532355221596525</v>
      </c>
      <c r="F701" s="4">
        <f>Thiet_ke!$B$12*(Dau_vao!$B$22*(C701/Dau_vao!$B$19)+Dau_vao!$B$23*(C701/Dau_vao!$B$19)^2-Dau_vao!$B$24*(C701/Dau_vao!$B$19)^3)</f>
        <v>78.66196004250087</v>
      </c>
      <c r="G701" s="4">
        <f>60000*F701/(2*PI()*C701)</f>
        <v>451.4221072377826</v>
      </c>
      <c r="H701" s="4">
        <f>G701*Thiet_ke!$B$15*B701*Dau_vao!$B$10/Thiet_ke!$B$7</f>
        <v>6068.351256061623</v>
      </c>
      <c r="I701" s="4">
        <f>IF(D701&lt;=Dau_vao!$B$14,Dau_vao!$B$13,Dau_vao!$B$13*(1+D701^2/1500))</f>
        <v>0.015</v>
      </c>
      <c r="J701" s="4">
        <f>Thiet_ke!$B$8*D701^2</f>
        <v>389.3085918973505</v>
      </c>
      <c r="K701" s="4">
        <f>Thiet_ke!$B$3*I701+J701</f>
        <v>1520.8920918973506</v>
      </c>
      <c r="L701" s="4">
        <f>(H701-J701)/Thiet_ke!$B$3</f>
        <v>0.07528003011926568</v>
      </c>
      <c r="M701" s="4">
        <f>1.05+0.05*B701^2</f>
        <v>1.1822875655532297</v>
      </c>
      <c r="N701" s="4">
        <f>(MIN(H701,Thiet_ke!$B$16)-K701)/(Thiet_ke!$B$2*M701)</f>
        <v>0.5001719655177853</v>
      </c>
      <c r="O701" s="4">
        <f>IF(N701&gt;0,1/N701,"")</f>
        <v>1.999312374424635</v>
      </c>
    </row>
    <row r="702" spans="1:15">
      <c r="A702">
        <v>4</v>
      </c>
      <c r="B702" s="4">
        <f>Thiet_ke!$B$23</f>
        <v>1.6265765616977859</v>
      </c>
      <c r="C702" s="4">
        <f>Dau_vao!$B$21+(Dau_vao!$B$19-Dau_vao!$B$21)*97/200</f>
        <v>1673.0</v>
      </c>
      <c r="D702" s="4">
        <f>2*PI()*C702*Thiet_ke!$B$7/(60*Thiet_ke!$B$15*B702)</f>
        <v>11.59916370955712</v>
      </c>
      <c r="E702" s="4">
        <f>D702*3.6</f>
        <v>41.75698935440563</v>
      </c>
      <c r="F702" s="4">
        <f>Thiet_ke!$B$12*(Dau_vao!$B$22*(C702/Dau_vao!$B$19)+Dau_vao!$B$23*(C702/Dau_vao!$B$19)^2-Dau_vao!$B$24*(C702/Dau_vao!$B$19)^3)</f>
        <v>79.14385144010419</v>
      </c>
      <c r="G702" s="4">
        <f>60000*F702/(2*PI()*C702)</f>
        <v>451.7442380881005</v>
      </c>
      <c r="H702" s="4">
        <f>G702*Thiet_ke!$B$15*B702*Dau_vao!$B$10/Thiet_ke!$B$7</f>
        <v>6072.681578212001</v>
      </c>
      <c r="I702" s="4">
        <f>IF(D702&lt;=Dau_vao!$B$14,Dau_vao!$B$13,Dau_vao!$B$13*(1+D702^2/1500))</f>
        <v>0.015</v>
      </c>
      <c r="J702" s="4">
        <f>Thiet_ke!$B$8*D702^2</f>
        <v>393.53125137623766</v>
      </c>
      <c r="K702" s="4">
        <f>Thiet_ke!$B$3*I702+J702</f>
        <v>1525.1147513762378</v>
      </c>
      <c r="L702" s="4">
        <f>(H702-J702)/Thiet_ke!$B$3</f>
        <v>0.07528145726986692</v>
      </c>
      <c r="M702" s="4">
        <f>1.05+0.05*B702^2</f>
        <v>1.1822875655532297</v>
      </c>
      <c r="N702" s="4">
        <f>(MIN(H702,Thiet_ke!$B$16)-K702)/(Thiet_ke!$B$2*M702)</f>
        <v>0.5001838072623879</v>
      </c>
      <c r="O702" s="4">
        <f>IF(N702&gt;0,1/N702,"")</f>
        <v>1.9992650411320034</v>
      </c>
    </row>
    <row r="703" spans="1:15">
      <c r="A703">
        <v>4</v>
      </c>
      <c r="B703" s="4">
        <f>Thiet_ke!$B$23</f>
        <v>1.6265765616977859</v>
      </c>
      <c r="C703" s="4">
        <f>Dau_vao!$B$21+(Dau_vao!$B$19-Dau_vao!$B$21)*98/200</f>
        <v>1682.0</v>
      </c>
      <c r="D703" s="4">
        <f>2*PI()*C703*Thiet_ke!$B$7/(60*Thiet_ke!$B$15*B703)</f>
        <v>11.661562079781875</v>
      </c>
      <c r="E703" s="4">
        <f>D703*3.6</f>
        <v>41.981623487214755</v>
      </c>
      <c r="F703" s="4">
        <f>Thiet_ke!$B$12*(Dau_vao!$B$22*(C703/Dau_vao!$B$19)+Dau_vao!$B$23*(C703/Dau_vao!$B$19)^2-Dau_vao!$B$24*(C703/Dau_vao!$B$19)^3)</f>
        <v>79.62453598259717</v>
      </c>
      <c r="G703" s="4">
        <f>60000*F703/(2*PI()*C703)</f>
        <v>452.05606990590337</v>
      </c>
      <c r="H703" s="4">
        <f>G703*Thiet_ke!$B$15*B703*Dau_vao!$B$10/Thiet_ke!$B$7</f>
        <v>6076.8734531177815</v>
      </c>
      <c r="I703" s="4">
        <f>IF(D703&lt;=Dau_vao!$B$14,Dau_vao!$B$13,Dau_vao!$B$13*(1+D703^2/1500))</f>
        <v>0.015</v>
      </c>
      <c r="J703" s="4">
        <f>Thiet_ke!$B$8*D703^2</f>
        <v>397.77668816127425</v>
      </c>
      <c r="K703" s="4">
        <f>Thiet_ke!$B$3*I703+J703</f>
        <v>1529.3601881612744</v>
      </c>
      <c r="L703" s="4">
        <f>(H703-J703)/Thiet_ke!$B$3</f>
        <v>0.07528074726641702</v>
      </c>
      <c r="M703" s="4">
        <f>1.05+0.05*B703^2</f>
        <v>1.1822875655532297</v>
      </c>
      <c r="N703" s="4">
        <f>(MIN(H703,Thiet_ke!$B$16)-K703)/(Thiet_ke!$B$2*M703)</f>
        <v>0.5001779160274242</v>
      </c>
      <c r="O703" s="4">
        <f>IF(N703&gt;0,1/N703,"")</f>
        <v>1.9992885890331293</v>
      </c>
    </row>
    <row r="704" spans="1:15">
      <c r="A704">
        <v>4</v>
      </c>
      <c r="B704" s="4">
        <f>Thiet_ke!$B$23</f>
        <v>1.6265765616977859</v>
      </c>
      <c r="C704" s="4">
        <f>Dau_vao!$B$21+(Dau_vao!$B$19-Dau_vao!$B$21)*99/200</f>
        <v>1691.0</v>
      </c>
      <c r="D704" s="4">
        <f>2*PI()*C704*Thiet_ke!$B$7/(60*Thiet_ke!$B$15*B704)</f>
        <v>11.723960450006631</v>
      </c>
      <c r="E704" s="4">
        <f>D704*3.6</f>
        <v>42.20625762002387</v>
      </c>
      <c r="F704" s="4">
        <f>Thiet_ke!$B$12*(Dau_vao!$B$22*(C704/Dau_vao!$B$19)+Dau_vao!$B$23*(C704/Dau_vao!$B$19)^2-Dau_vao!$B$24*(C704/Dau_vao!$B$19)^3)</f>
        <v>80.1039845501515</v>
      </c>
      <c r="G704" s="4">
        <f>60000*F704/(2*PI()*C704)</f>
        <v>452.35760269119186</v>
      </c>
      <c r="H704" s="4">
        <f>G704*Thiet_ke!$B$15*B704*Dau_vao!$B$10/Thiet_ke!$B$7</f>
        <v>6080.9268807789695</v>
      </c>
      <c r="I704" s="4">
        <f>IF(D704&lt;=Dau_vao!$B$14,Dau_vao!$B$13,Dau_vao!$B$13*(1+D704^2/1500))</f>
        <v>0.015</v>
      </c>
      <c r="J704" s="4">
        <f>Thiet_ke!$B$8*D704^2</f>
        <v>402.04490225246013</v>
      </c>
      <c r="K704" s="4">
        <f>Thiet_ke!$B$3*I704+J704</f>
        <v>1533.6284022524603</v>
      </c>
      <c r="L704" s="4">
        <f>(H704-J704)/Thiet_ke!$B$3</f>
        <v>0.07527790010891608</v>
      </c>
      <c r="M704" s="4">
        <f>1.05+0.05*B704^2</f>
        <v>1.1822875655532297</v>
      </c>
      <c r="N704" s="4">
        <f>(MIN(H704,Thiet_ke!$B$16)-K704)/(Thiet_ke!$B$2*M704)</f>
        <v>0.5001542918128945</v>
      </c>
      <c r="O704" s="4">
        <f>IF(N704&gt;0,1/N704,"")</f>
        <v>1.9993830231373793</v>
      </c>
    </row>
    <row r="705" spans="1:15">
      <c r="A705">
        <v>4</v>
      </c>
      <c r="B705" s="4">
        <f>Thiet_ke!$B$23</f>
        <v>1.6265765616977859</v>
      </c>
      <c r="C705" s="4">
        <f>Dau_vao!$B$21+(Dau_vao!$B$19-Dau_vao!$B$21)*100/200</f>
        <v>1700.0</v>
      </c>
      <c r="D705" s="4">
        <f>2*PI()*C705*Thiet_ke!$B$7/(60*Thiet_ke!$B$15*B705)</f>
        <v>11.786358820231383</v>
      </c>
      <c r="E705" s="4">
        <f>D705*3.6</f>
        <v>42.43089175283298</v>
      </c>
      <c r="F705" s="4">
        <f>Thiet_ke!$B$12*(Dau_vao!$B$22*(C705/Dau_vao!$B$19)+Dau_vao!$B$23*(C705/Dau_vao!$B$19)^2-Dau_vao!$B$24*(C705/Dau_vao!$B$19)^3)</f>
        <v>80.58216802293873</v>
      </c>
      <c r="G705" s="4">
        <f>60000*F705/(2*PI()*C705)</f>
        <v>452.64883644396576</v>
      </c>
      <c r="H705" s="4">
        <f>G705*Thiet_ke!$B$15*B705*Dau_vao!$B$10/Thiet_ke!$B$7</f>
        <v>6084.841861195561</v>
      </c>
      <c r="I705" s="4">
        <f>IF(D705&lt;=Dau_vao!$B$14,Dau_vao!$B$13,Dau_vao!$B$13*(1+D705^2/1500))</f>
        <v>0.015</v>
      </c>
      <c r="J705" s="4">
        <f>Thiet_ke!$B$8*D705^2</f>
        <v>406.33589364979497</v>
      </c>
      <c r="K705" s="4">
        <f>Thiet_ke!$B$3*I705+J705</f>
        <v>1537.9193936497952</v>
      </c>
      <c r="L705" s="4">
        <f>(H705-J705)/Thiet_ke!$B$3</f>
        <v>0.07527291579736403</v>
      </c>
      <c r="M705" s="4">
        <f>1.05+0.05*B705^2</f>
        <v>1.1822875655532297</v>
      </c>
      <c r="N705" s="4">
        <f>(MIN(H705,Thiet_ke!$B$16)-K705)/(Thiet_ke!$B$2*M705)</f>
        <v>0.5001129346187989</v>
      </c>
      <c r="O705" s="4">
        <f>IF(N705&gt;0,1/N705,"")</f>
        <v>1.9995483635355882</v>
      </c>
    </row>
    <row r="706" spans="1:15">
      <c r="A706">
        <v>4</v>
      </c>
      <c r="B706" s="4">
        <f>Thiet_ke!$B$23</f>
        <v>1.6265765616977859</v>
      </c>
      <c r="C706" s="4">
        <f>Dau_vao!$B$21+(Dau_vao!$B$19-Dau_vao!$B$21)*101/200</f>
        <v>1709.0</v>
      </c>
      <c r="D706" s="4">
        <f>2*PI()*C706*Thiet_ke!$B$7/(60*Thiet_ke!$B$15*B706)</f>
        <v>11.848757190456139</v>
      </c>
      <c r="E706" s="4">
        <f>D706*3.6</f>
        <v>42.6555258856421</v>
      </c>
      <c r="F706" s="4">
        <f>Thiet_ke!$B$12*(Dau_vao!$B$22*(C706/Dau_vao!$B$19)+Dau_vao!$B$23*(C706/Dau_vao!$B$19)^2-Dau_vao!$B$24*(C706/Dau_vao!$B$19)^3)</f>
        <v>81.05905728113048</v>
      </c>
      <c r="G706" s="4">
        <f>60000*F706/(2*PI()*C706)</f>
        <v>452.929771164225</v>
      </c>
      <c r="H706" s="4">
        <f>G706*Thiet_ke!$B$15*B706*Dau_vao!$B$10/Thiet_ke!$B$7</f>
        <v>6088.618394367559</v>
      </c>
      <c r="I706" s="4">
        <f>IF(D706&lt;=Dau_vao!$B$14,Dau_vao!$B$13,Dau_vao!$B$13*(1+D706^2/1500))</f>
        <v>0.015</v>
      </c>
      <c r="J706" s="4">
        <f>Thiet_ke!$B$8*D706^2</f>
        <v>410.64966235327927</v>
      </c>
      <c r="K706" s="4">
        <f>Thiet_ke!$B$3*I706+J706</f>
        <v>1542.2331623532796</v>
      </c>
      <c r="L706" s="4">
        <f>(H706-J706)/Thiet_ke!$B$3</f>
        <v>0.07526579433176092</v>
      </c>
      <c r="M706" s="4">
        <f>1.05+0.05*B706^2</f>
        <v>1.1822875655532297</v>
      </c>
      <c r="N706" s="4">
        <f>(MIN(H706,Thiet_ke!$B$16)-K706)/(Thiet_ke!$B$2*M706)</f>
        <v>0.5000538444451372</v>
      </c>
      <c r="O706" s="4">
        <f>IF(N706&gt;0,1/N706,"")</f>
        <v>1.9997846454107477</v>
      </c>
    </row>
    <row r="707" spans="1:15">
      <c r="A707">
        <v>4</v>
      </c>
      <c r="B707" s="4">
        <f>Thiet_ke!$B$23</f>
        <v>1.6265765616977859</v>
      </c>
      <c r="C707" s="4">
        <f>Dau_vao!$B$21+(Dau_vao!$B$19-Dau_vao!$B$21)*102/200</f>
        <v>1718.0</v>
      </c>
      <c r="D707" s="4">
        <f>2*PI()*C707*Thiet_ke!$B$7/(60*Thiet_ke!$B$15*B707)</f>
        <v>11.911155560680895</v>
      </c>
      <c r="E707" s="4">
        <f>D707*3.6</f>
        <v>42.88016001845122</v>
      </c>
      <c r="F707" s="4">
        <f>Thiet_ke!$B$12*(Dau_vao!$B$22*(C707/Dau_vao!$B$19)+Dau_vao!$B$23*(C707/Dau_vao!$B$19)^2-Dau_vao!$B$24*(C707/Dau_vao!$B$19)^3)</f>
        <v>81.53462320489838</v>
      </c>
      <c r="G707" s="4">
        <f>60000*F707/(2*PI()*C707)</f>
        <v>453.2004068519697</v>
      </c>
      <c r="H707" s="4">
        <f>G707*Thiet_ke!$B$15*B707*Dau_vao!$B$10/Thiet_ke!$B$7</f>
        <v>6092.256480294964</v>
      </c>
      <c r="I707" s="4">
        <f>IF(D707&lt;=Dau_vao!$B$14,Dau_vao!$B$13,Dau_vao!$B$13*(1+D707^2/1500))</f>
        <v>0.015</v>
      </c>
      <c r="J707" s="4">
        <f>Thiet_ke!$B$8*D707^2</f>
        <v>414.9862083629128</v>
      </c>
      <c r="K707" s="4">
        <f>Thiet_ke!$B$3*I707+J707</f>
        <v>1546.569708362913</v>
      </c>
      <c r="L707" s="4">
        <f>(H707-J707)/Thiet_ke!$B$3</f>
        <v>0.07525653571210675</v>
      </c>
      <c r="M707" s="4">
        <f>1.05+0.05*B707^2</f>
        <v>1.1822875655532297</v>
      </c>
      <c r="N707" s="4">
        <f>(MIN(H707,Thiet_ke!$B$16)-K707)/(Thiet_ke!$B$2*M707)</f>
        <v>0.49997702129190985</v>
      </c>
      <c r="O707" s="4">
        <f>IF(N707&gt;0,1/N707,"")</f>
        <v>2.000091919056723</v>
      </c>
    </row>
    <row r="708" spans="1:15">
      <c r="A708">
        <v>4</v>
      </c>
      <c r="B708" s="4">
        <f>Thiet_ke!$B$23</f>
        <v>1.6265765616977859</v>
      </c>
      <c r="C708" s="4">
        <f>Dau_vao!$B$21+(Dau_vao!$B$19-Dau_vao!$B$21)*103/200</f>
        <v>1727.0</v>
      </c>
      <c r="D708" s="4">
        <f>2*PI()*C708*Thiet_ke!$B$7/(60*Thiet_ke!$B$15*B708)</f>
        <v>11.973553930905647</v>
      </c>
      <c r="E708" s="4">
        <f>D708*3.6</f>
        <v>43.10479415126033</v>
      </c>
      <c r="F708" s="4">
        <f>Thiet_ke!$B$12*(Dau_vao!$B$22*(C708/Dau_vao!$B$19)+Dau_vao!$B$23*(C708/Dau_vao!$B$19)^2-Dau_vao!$B$24*(C708/Dau_vao!$B$19)^3)</f>
        <v>82.00883667441398</v>
      </c>
      <c r="G708" s="4">
        <f>60000*F708/(2*PI()*C708)</f>
        <v>453.46074350719965</v>
      </c>
      <c r="H708" s="4">
        <f>G708*Thiet_ke!$B$15*B708*Dau_vao!$B$10/Thiet_ke!$B$7</f>
        <v>6095.75611897777</v>
      </c>
      <c r="I708" s="4">
        <f>IF(D708&lt;=Dau_vao!$B$14,Dau_vao!$B$13,Dau_vao!$B$13*(1+D708^2/1500))</f>
        <v>0.015</v>
      </c>
      <c r="J708" s="4">
        <f>Thiet_ke!$B$8*D708^2</f>
        <v>419.34553167869524</v>
      </c>
      <c r="K708" s="4">
        <f>Thiet_ke!$B$3*I708+J708</f>
        <v>1550.9290316786955</v>
      </c>
      <c r="L708" s="4">
        <f>(H708-J708)/Thiet_ke!$B$3</f>
        <v>0.07524513993840147</v>
      </c>
      <c r="M708" s="4">
        <f>1.05+0.05*B708^2</f>
        <v>1.1822875655532297</v>
      </c>
      <c r="N708" s="4">
        <f>(MIN(H708,Thiet_ke!$B$16)-K708)/(Thiet_ke!$B$2*M708)</f>
        <v>0.499882465159116</v>
      </c>
      <c r="O708" s="4">
        <f>IF(N708&gt;0,1/N708,"")</f>
        <v>2.0004702499050317</v>
      </c>
    </row>
    <row r="709" spans="1:15">
      <c r="A709">
        <v>4</v>
      </c>
      <c r="B709" s="4">
        <f>Thiet_ke!$B$23</f>
        <v>1.6265765616977859</v>
      </c>
      <c r="C709" s="4">
        <f>Dau_vao!$B$21+(Dau_vao!$B$19-Dau_vao!$B$21)*104/200</f>
        <v>1736.0</v>
      </c>
      <c r="D709" s="4">
        <f>2*PI()*C709*Thiet_ke!$B$7/(60*Thiet_ke!$B$15*B709)</f>
        <v>12.035952301130402</v>
      </c>
      <c r="E709" s="4">
        <f>D709*3.6</f>
        <v>43.32942828406945</v>
      </c>
      <c r="F709" s="4">
        <f>Thiet_ke!$B$12*(Dau_vao!$B$22*(C709/Dau_vao!$B$19)+Dau_vao!$B$23*(C709/Dau_vao!$B$19)^2-Dau_vao!$B$24*(C709/Dau_vao!$B$19)^3)</f>
        <v>82.4816685698489</v>
      </c>
      <c r="G709" s="4">
        <f>60000*F709/(2*PI()*C709)</f>
        <v>453.71078112991506</v>
      </c>
      <c r="H709" s="4">
        <f>G709*Thiet_ke!$B$15*B709*Dau_vao!$B$10/Thiet_ke!$B$7</f>
        <v>6099.117310415984</v>
      </c>
      <c r="I709" s="4">
        <f>IF(D709&lt;=Dau_vao!$B$14,Dau_vao!$B$13,Dau_vao!$B$13*(1+D709^2/1500))</f>
        <v>0.015</v>
      </c>
      <c r="J709" s="4">
        <f>Thiet_ke!$B$8*D709^2</f>
        <v>423.7276323006273</v>
      </c>
      <c r="K709" s="4">
        <f>Thiet_ke!$B$3*I709+J709</f>
        <v>1555.3111323006274</v>
      </c>
      <c r="L709" s="4">
        <f>(H709-J709)/Thiet_ke!$B$3</f>
        <v>0.07523160701064513</v>
      </c>
      <c r="M709" s="4">
        <f>1.05+0.05*B709^2</f>
        <v>1.1822875655532297</v>
      </c>
      <c r="N709" s="4">
        <f>(MIN(H709,Thiet_ke!$B$16)-K709)/(Thiet_ke!$B$2*M709)</f>
        <v>0.49977017604675655</v>
      </c>
      <c r="O709" s="4">
        <f>IF(N709&gt;0,1/N709,"")</f>
        <v>2.0009197185596843</v>
      </c>
    </row>
    <row r="710" spans="1:15">
      <c r="A710">
        <v>4</v>
      </c>
      <c r="B710" s="4">
        <f>Thiet_ke!$B$23</f>
        <v>1.6265765616977859</v>
      </c>
      <c r="C710" s="4">
        <f>Dau_vao!$B$21+(Dau_vao!$B$19-Dau_vao!$B$21)*105/200</f>
        <v>1745.0</v>
      </c>
      <c r="D710" s="4">
        <f>2*PI()*C710*Thiet_ke!$B$7/(60*Thiet_ke!$B$15*B710)</f>
        <v>12.098350671355155</v>
      </c>
      <c r="E710" s="4">
        <f>D710*3.6</f>
        <v>43.55406241687856</v>
      </c>
      <c r="F710" s="4">
        <f>Thiet_ke!$B$12*(Dau_vao!$B$22*(C710/Dau_vao!$B$19)+Dau_vao!$B$23*(C710/Dau_vao!$B$19)^2-Dau_vao!$B$24*(C710/Dau_vao!$B$19)^3)</f>
        <v>82.95308977137479</v>
      </c>
      <c r="G710" s="4">
        <f>60000*F710/(2*PI()*C710)</f>
        <v>453.950519720116</v>
      </c>
      <c r="H710" s="4">
        <f>G710*Thiet_ke!$B$15*B710*Dau_vao!$B$10/Thiet_ke!$B$7</f>
        <v>6102.340054609603</v>
      </c>
      <c r="I710" s="4">
        <f>IF(D710&lt;=Dau_vao!$B$14,Dau_vao!$B$13,Dau_vao!$B$13*(1+D710^2/1500))</f>
        <v>0.015</v>
      </c>
      <c r="J710" s="4">
        <f>Thiet_ke!$B$8*D710^2</f>
        <v>428.1325102287082</v>
      </c>
      <c r="K710" s="4">
        <f>Thiet_ke!$B$3*I710+J710</f>
        <v>1559.7160102287085</v>
      </c>
      <c r="L710" s="4">
        <f>(H710-J710)/Thiet_ke!$B$3</f>
        <v>0.0752159369288377</v>
      </c>
      <c r="M710" s="4">
        <f>1.05+0.05*B710^2</f>
        <v>1.1822875655532297</v>
      </c>
      <c r="N710" s="4">
        <f>(MIN(H710,Thiet_ke!$B$16)-K710)/(Thiet_ke!$B$2*M710)</f>
        <v>0.4996401539548309</v>
      </c>
      <c r="O710" s="4">
        <f>IF(N710&gt;0,1/N710,"")</f>
        <v>2.001440420840162</v>
      </c>
    </row>
    <row r="711" spans="1:15">
      <c r="A711">
        <v>4</v>
      </c>
      <c r="B711" s="4">
        <f>Thiet_ke!$B$23</f>
        <v>1.6265765616977859</v>
      </c>
      <c r="C711" s="4">
        <f>Dau_vao!$B$21+(Dau_vao!$B$19-Dau_vao!$B$21)*106/200</f>
        <v>1754.0</v>
      </c>
      <c r="D711" s="4">
        <f>2*PI()*C711*Thiet_ke!$B$7/(60*Thiet_ke!$B$15*B711)</f>
        <v>12.16074904157991</v>
      </c>
      <c r="E711" s="4">
        <f>D711*3.6</f>
        <v>43.77869654968768</v>
      </c>
      <c r="F711" s="4">
        <f>Thiet_ke!$B$12*(Dau_vao!$B$22*(C711/Dau_vao!$B$19)+Dau_vao!$B$23*(C711/Dau_vao!$B$19)^2-Dau_vao!$B$24*(C711/Dau_vao!$B$19)^3)</f>
        <v>83.42307115916319</v>
      </c>
      <c r="G711" s="4">
        <f>60000*F711/(2*PI()*C711)</f>
        <v>454.17995927780225</v>
      </c>
      <c r="H711" s="4">
        <f>G711*Thiet_ke!$B$15*B711*Dau_vao!$B$10/Thiet_ke!$B$7</f>
        <v>6105.424351558629</v>
      </c>
      <c r="I711" s="4">
        <f>IF(D711&lt;=Dau_vao!$B$14,Dau_vao!$B$13,Dau_vao!$B$13*(1+D711^2/1500))</f>
        <v>0.015</v>
      </c>
      <c r="J711" s="4">
        <f>Thiet_ke!$B$8*D711^2</f>
        <v>432.5601654629387</v>
      </c>
      <c r="K711" s="4">
        <f>Thiet_ke!$B$3*I711+J711</f>
        <v>1564.1436654629388</v>
      </c>
      <c r="L711" s="4">
        <f>(H711-J711)/Thiet_ke!$B$3</f>
        <v>0.0751981296929792</v>
      </c>
      <c r="M711" s="4">
        <f>1.05+0.05*B711^2</f>
        <v>1.1822875655532297</v>
      </c>
      <c r="N711" s="4">
        <f>(MIN(H711,Thiet_ke!$B$16)-K711)/(Thiet_ke!$B$2*M711)</f>
        <v>0.49949239888333946</v>
      </c>
      <c r="O711" s="4">
        <f>IF(N711&gt;0,1/N711,"")</f>
        <v>2.002032467832525</v>
      </c>
    </row>
    <row r="712" spans="1:15">
      <c r="A712">
        <v>4</v>
      </c>
      <c r="B712" s="4">
        <f>Thiet_ke!$B$23</f>
        <v>1.6265765616977859</v>
      </c>
      <c r="C712" s="4">
        <f>Dau_vao!$B$21+(Dau_vao!$B$19-Dau_vao!$B$21)*107/200</f>
        <v>1763.0</v>
      </c>
      <c r="D712" s="4">
        <f>2*PI()*C712*Thiet_ke!$B$7/(60*Thiet_ke!$B$15*B712)</f>
        <v>12.223147411804666</v>
      </c>
      <c r="E712" s="4">
        <f>D712*3.6</f>
        <v>44.003330682496795</v>
      </c>
      <c r="F712" s="4">
        <f>Thiet_ke!$B$12*(Dau_vao!$B$22*(C712/Dau_vao!$B$19)+Dau_vao!$B$23*(C712/Dau_vao!$B$19)^2-Dau_vao!$B$24*(C712/Dau_vao!$B$19)^3)</f>
        <v>83.8915836133857</v>
      </c>
      <c r="G712" s="4">
        <f>60000*F712/(2*PI()*C712)</f>
        <v>454.39909980297386</v>
      </c>
      <c r="H712" s="4">
        <f>G712*Thiet_ke!$B$15*B712*Dau_vao!$B$10/Thiet_ke!$B$7</f>
        <v>6108.3702012630565</v>
      </c>
      <c r="I712" s="4">
        <f>IF(D712&lt;=Dau_vao!$B$14,Dau_vao!$B$13,Dau_vao!$B$13*(1+D712^2/1500))</f>
        <v>0.015</v>
      </c>
      <c r="J712" s="4">
        <f>Thiet_ke!$B$8*D712^2</f>
        <v>437.0105980033183</v>
      </c>
      <c r="K712" s="4">
        <f>Thiet_ke!$B$3*I712+J712</f>
        <v>1568.5940980033185</v>
      </c>
      <c r="L712" s="4">
        <f>(H712-J712)/Thiet_ke!$B$3</f>
        <v>0.0751781853030696</v>
      </c>
      <c r="M712" s="4">
        <f>1.05+0.05*B712^2</f>
        <v>1.1822875655532297</v>
      </c>
      <c r="N712" s="4">
        <f>(MIN(H712,Thiet_ke!$B$16)-K712)/(Thiet_ke!$B$2*M712)</f>
        <v>0.4993269108322817</v>
      </c>
      <c r="O712" s="4">
        <f>IF(N712&gt;0,1/N712,"")</f>
        <v>2.00269598594875</v>
      </c>
    </row>
    <row r="713" spans="1:15">
      <c r="A713">
        <v>4</v>
      </c>
      <c r="B713" s="4">
        <f>Thiet_ke!$B$23</f>
        <v>1.6265765616977859</v>
      </c>
      <c r="C713" s="4">
        <f>Dau_vao!$B$21+(Dau_vao!$B$19-Dau_vao!$B$21)*108/200</f>
        <v>1772.0</v>
      </c>
      <c r="D713" s="4">
        <f>2*PI()*C713*Thiet_ke!$B$7/(60*Thiet_ke!$B$15*B713)</f>
        <v>12.285545782029418</v>
      </c>
      <c r="E713" s="4">
        <f>D713*3.6</f>
        <v>44.2279648153059</v>
      </c>
      <c r="F713" s="4">
        <f>Thiet_ke!$B$12*(Dau_vao!$B$22*(C713/Dau_vao!$B$19)+Dau_vao!$B$23*(C713/Dau_vao!$B$19)^2-Dau_vao!$B$24*(C713/Dau_vao!$B$19)^3)</f>
        <v>84.35859801421401</v>
      </c>
      <c r="G713" s="4">
        <f>60000*F713/(2*PI()*C713)</f>
        <v>454.6079412956311</v>
      </c>
      <c r="H713" s="4">
        <f>G713*Thiet_ke!$B$15*B713*Dau_vao!$B$10/Thiet_ke!$B$7</f>
        <v>6111.177603722894</v>
      </c>
      <c r="I713" s="4">
        <f>IF(D713&lt;=Dau_vao!$B$14,Dau_vao!$B$13,Dau_vao!$B$13*(1+D713^2/1500))</f>
        <v>0.015</v>
      </c>
      <c r="J713" s="4">
        <f>Thiet_ke!$B$8*D713^2</f>
        <v>441.4838078498469</v>
      </c>
      <c r="K713" s="4">
        <f>Thiet_ke!$B$3*I713+J713</f>
        <v>1573.067307849847</v>
      </c>
      <c r="L713" s="4">
        <f>(H713-J713)/Thiet_ke!$B$3</f>
        <v>0.07515610375910897</v>
      </c>
      <c r="M713" s="4">
        <f>1.05+0.05*B713^2</f>
        <v>1.1822875655532297</v>
      </c>
      <c r="N713" s="4">
        <f>(MIN(H713,Thiet_ke!$B$16)-K713)/(Thiet_ke!$B$2*M713)</f>
        <v>0.49914368980165835</v>
      </c>
      <c r="O713" s="4">
        <f>IF(N713&gt;0,1/N713,"")</f>
        <v>2.0034311169943146</v>
      </c>
    </row>
    <row r="714" spans="1:15">
      <c r="A714">
        <v>4</v>
      </c>
      <c r="B714" s="4">
        <f>Thiet_ke!$B$23</f>
        <v>1.6265765616977859</v>
      </c>
      <c r="C714" s="4">
        <f>Dau_vao!$B$21+(Dau_vao!$B$19-Dau_vao!$B$21)*109/200</f>
        <v>1781.0</v>
      </c>
      <c r="D714" s="4">
        <f>2*PI()*C714*Thiet_ke!$B$7/(60*Thiet_ke!$B$15*B714)</f>
        <v>12.347944152254174</v>
      </c>
      <c r="E714" s="4">
        <f>D714*3.6</f>
        <v>44.452598948115025</v>
      </c>
      <c r="F714" s="4">
        <f>Thiet_ke!$B$12*(Dau_vao!$B$22*(C714/Dau_vao!$B$19)+Dau_vao!$B$23*(C714/Dau_vao!$B$19)^2-Dau_vao!$B$24*(C714/Dau_vao!$B$19)^3)</f>
        <v>84.82408524181962</v>
      </c>
      <c r="G714" s="4">
        <f>60000*F714/(2*PI()*C714)</f>
        <v>454.8064837557737</v>
      </c>
      <c r="H714" s="4">
        <f>G714*Thiet_ke!$B$15*B714*Dau_vao!$B$10/Thiet_ke!$B$7</f>
        <v>6113.846558938137</v>
      </c>
      <c r="I714" s="4">
        <f>IF(D714&lt;=Dau_vao!$B$14,Dau_vao!$B$13,Dau_vao!$B$13*(1+D714^2/1500))</f>
        <v>0.015</v>
      </c>
      <c r="J714" s="4">
        <f>Thiet_ke!$B$8*D714^2</f>
        <v>445.97979500252507</v>
      </c>
      <c r="K714" s="4">
        <f>Thiet_ke!$B$3*I714+J714</f>
        <v>1577.5632950025251</v>
      </c>
      <c r="L714" s="4">
        <f>(H714-J714)/Thiet_ke!$B$3</f>
        <v>0.07513188506109728</v>
      </c>
      <c r="M714" s="4">
        <f>1.05+0.05*B714^2</f>
        <v>1.1822875655532297</v>
      </c>
      <c r="N714" s="4">
        <f>(MIN(H714,Thiet_ke!$B$16)-K714)/(Thiet_ke!$B$2*M714)</f>
        <v>0.4989427357914691</v>
      </c>
      <c r="O714" s="4">
        <f>IF(N714&gt;0,1/N714,"")</f>
        <v>2.004238018244133</v>
      </c>
    </row>
    <row r="715" spans="1:15">
      <c r="A715">
        <v>4</v>
      </c>
      <c r="B715" s="4">
        <f>Thiet_ke!$B$23</f>
        <v>1.6265765616977859</v>
      </c>
      <c r="C715" s="4">
        <f>Dau_vao!$B$21+(Dau_vao!$B$19-Dau_vao!$B$21)*110/200</f>
        <v>1790.0</v>
      </c>
      <c r="D715" s="4">
        <f>2*PI()*C715*Thiet_ke!$B$7/(60*Thiet_ke!$B$15*B715)</f>
        <v>12.41034252247893</v>
      </c>
      <c r="E715" s="4">
        <f>D715*3.6</f>
        <v>44.67723308092415</v>
      </c>
      <c r="F715" s="4">
        <f>Thiet_ke!$B$12*(Dau_vao!$B$22*(C715/Dau_vao!$B$19)+Dau_vao!$B$23*(C715/Dau_vao!$B$19)^2-Dau_vao!$B$24*(C715/Dau_vao!$B$19)^3)</f>
        <v>85.28801617637414</v>
      </c>
      <c r="G715" s="4">
        <f>60000*F715/(2*PI()*C715)</f>
        <v>454.99472718340144</v>
      </c>
      <c r="H715" s="4">
        <f>G715*Thiet_ke!$B$15*B715*Dau_vao!$B$10/Thiet_ke!$B$7</f>
        <v>6116.377066908781</v>
      </c>
      <c r="I715" s="4">
        <f>IF(D715&lt;=Dau_vao!$B$14,Dau_vao!$B$13,Dau_vao!$B$13*(1+D715^2/1500))</f>
        <v>0.015</v>
      </c>
      <c r="J715" s="4">
        <f>Thiet_ke!$B$8*D715^2</f>
        <v>450.49855946135244</v>
      </c>
      <c r="K715" s="4">
        <f>Thiet_ke!$B$3*I715+J715</f>
        <v>1582.0820594613526</v>
      </c>
      <c r="L715" s="4">
        <f>(H715-J715)/Thiet_ke!$B$3</f>
        <v>0.07510552920903443</v>
      </c>
      <c r="M715" s="4">
        <f>1.05+0.05*B715^2</f>
        <v>1.1822875655532297</v>
      </c>
      <c r="N715" s="4">
        <f>(MIN(H715,Thiet_ke!$B$16)-K715)/(Thiet_ke!$B$2*M715)</f>
        <v>0.49872404880171345</v>
      </c>
      <c r="O715" s="4">
        <f>IF(N715&gt;0,1/N715,"")</f>
        <v>2.0051168625268914</v>
      </c>
    </row>
    <row r="716" spans="1:15">
      <c r="A716">
        <v>4</v>
      </c>
      <c r="B716" s="4">
        <f>Thiet_ke!$B$23</f>
        <v>1.6265765616977859</v>
      </c>
      <c r="C716" s="4">
        <f>Dau_vao!$B$21+(Dau_vao!$B$19-Dau_vao!$B$21)*111/200</f>
        <v>1799.0</v>
      </c>
      <c r="D716" s="4">
        <f>2*PI()*C716*Thiet_ke!$B$7/(60*Thiet_ke!$B$15*B716)</f>
        <v>12.472740892703682</v>
      </c>
      <c r="E716" s="4">
        <f>D716*3.6</f>
        <v>44.901867213733254</v>
      </c>
      <c r="F716" s="4">
        <f>Thiet_ke!$B$12*(Dau_vao!$B$22*(C716/Dau_vao!$B$19)+Dau_vao!$B$23*(C716/Dau_vao!$B$19)^2-Dau_vao!$B$24*(C716/Dau_vao!$B$19)^3)</f>
        <v>85.75036169804922</v>
      </c>
      <c r="G716" s="4">
        <f>60000*F716/(2*PI()*C716)</f>
        <v>455.17267157851467</v>
      </c>
      <c r="H716" s="4">
        <f>G716*Thiet_ke!$B$15*B716*Dau_vao!$B$10/Thiet_ke!$B$7</f>
        <v>6118.769127634831</v>
      </c>
      <c r="I716" s="4">
        <f>IF(D716&lt;=Dau_vao!$B$14,Dau_vao!$B$13,Dau_vao!$B$13*(1+D716^2/1500))</f>
        <v>0.015</v>
      </c>
      <c r="J716" s="4">
        <f>Thiet_ke!$B$8*D716^2</f>
        <v>455.0401012263287</v>
      </c>
      <c r="K716" s="4">
        <f>Thiet_ke!$B$3*I716+J716</f>
        <v>1586.623601226329</v>
      </c>
      <c r="L716" s="4">
        <f>(H716-J716)/Thiet_ke!$B$3</f>
        <v>0.07507703620292053</v>
      </c>
      <c r="M716" s="4">
        <f>1.05+0.05*B716^2</f>
        <v>1.1822875655532297</v>
      </c>
      <c r="N716" s="4">
        <f>(MIN(H716,Thiet_ke!$B$16)-K716)/(Thiet_ke!$B$2*M716)</f>
        <v>0.4984876288323919</v>
      </c>
      <c r="O716" s="4">
        <f>IF(N716&gt;0,1/N716,"")</f>
        <v>2.006067838317876</v>
      </c>
    </row>
    <row r="717" spans="1:15">
      <c r="A717">
        <v>4</v>
      </c>
      <c r="B717" s="4">
        <f>Thiet_ke!$B$23</f>
        <v>1.6265765616977859</v>
      </c>
      <c r="C717" s="4">
        <f>Dau_vao!$B$21+(Dau_vao!$B$19-Dau_vao!$B$21)*112/200</f>
        <v>1808.0</v>
      </c>
      <c r="D717" s="4">
        <f>2*PI()*C717*Thiet_ke!$B$7/(60*Thiet_ke!$B$15*B717)</f>
        <v>12.535139262928437</v>
      </c>
      <c r="E717" s="4">
        <f>D717*3.6</f>
        <v>45.126501346542376</v>
      </c>
      <c r="F717" s="4">
        <f>Thiet_ke!$B$12*(Dau_vao!$B$22*(C717/Dau_vao!$B$19)+Dau_vao!$B$23*(C717/Dau_vao!$B$19)^2-Dau_vao!$B$24*(C717/Dau_vao!$B$19)^3)</f>
        <v>86.21109268701645</v>
      </c>
      <c r="G717" s="4">
        <f>60000*F717/(2*PI()*C717)</f>
        <v>455.34031694111343</v>
      </c>
      <c r="H717" s="4">
        <f>G717*Thiet_ke!$B$15*B717*Dau_vao!$B$10/Thiet_ke!$B$7</f>
        <v>6121.022741116289</v>
      </c>
      <c r="I717" s="4">
        <f>IF(D717&lt;=Dau_vao!$B$14,Dau_vao!$B$13,Dau_vao!$B$13*(1+D717^2/1500))</f>
        <v>0.015</v>
      </c>
      <c r="J717" s="4">
        <f>Thiet_ke!$B$8*D717^2</f>
        <v>459.60442029745457</v>
      </c>
      <c r="K717" s="4">
        <f>Thiet_ke!$B$3*I717+J717</f>
        <v>1591.1879202974546</v>
      </c>
      <c r="L717" s="4">
        <f>(H717-J717)/Thiet_ke!$B$3</f>
        <v>0.07504640604275557</v>
      </c>
      <c r="M717" s="4">
        <f>1.05+0.05*B717^2</f>
        <v>1.1822875655532297</v>
      </c>
      <c r="N717" s="4">
        <f>(MIN(H717,Thiet_ke!$B$16)-K717)/(Thiet_ke!$B$2*M717)</f>
        <v>0.49823347588350453</v>
      </c>
      <c r="O717" s="4">
        <f>IF(N717&gt;0,1/N717,"")</f>
        <v>2.007091149840395</v>
      </c>
    </row>
    <row r="718" spans="1:15">
      <c r="A718">
        <v>4</v>
      </c>
      <c r="B718" s="4">
        <f>Thiet_ke!$B$23</f>
        <v>1.6265765616977859</v>
      </c>
      <c r="C718" s="4">
        <f>Dau_vao!$B$21+(Dau_vao!$B$19-Dau_vao!$B$21)*113/200</f>
        <v>1817.0</v>
      </c>
      <c r="D718" s="4">
        <f>2*PI()*C718*Thiet_ke!$B$7/(60*Thiet_ke!$B$15*B718)</f>
        <v>12.597537633153193</v>
      </c>
      <c r="E718" s="4">
        <f>D718*3.6</f>
        <v>45.3511354793515</v>
      </c>
      <c r="F718" s="4">
        <f>Thiet_ke!$B$12*(Dau_vao!$B$22*(C718/Dau_vao!$B$19)+Dau_vao!$B$23*(C718/Dau_vao!$B$19)^2-Dau_vao!$B$24*(C718/Dau_vao!$B$19)^3)</f>
        <v>86.67018002344741</v>
      </c>
      <c r="G718" s="4">
        <f>60000*F718/(2*PI()*C718)</f>
        <v>455.49766327119755</v>
      </c>
      <c r="H718" s="4">
        <f>G718*Thiet_ke!$B$15*B718*Dau_vao!$B$10/Thiet_ke!$B$7</f>
        <v>6123.137907353152</v>
      </c>
      <c r="I718" s="4">
        <f>IF(D718&lt;=Dau_vao!$B$14,Dau_vao!$B$13,Dau_vao!$B$13*(1+D718^2/1500))</f>
        <v>0.015</v>
      </c>
      <c r="J718" s="4">
        <f>Thiet_ke!$B$8*D718^2</f>
        <v>464.1915166747296</v>
      </c>
      <c r="K718" s="4">
        <f>Thiet_ke!$B$3*I718+J718</f>
        <v>1595.7750166747298</v>
      </c>
      <c r="L718" s="4">
        <f>(H718-J718)/Thiet_ke!$B$3</f>
        <v>0.07501363872853954</v>
      </c>
      <c r="M718" s="4">
        <f>1.05+0.05*B718^2</f>
        <v>1.1822875655532297</v>
      </c>
      <c r="N718" s="4">
        <f>(MIN(H718,Thiet_ke!$B$16)-K718)/(Thiet_ke!$B$2*M718)</f>
        <v>0.4979615899550511</v>
      </c>
      <c r="O718" s="4">
        <f>IF(N718&gt;0,1/N718,"")</f>
        <v>2.008187017175895</v>
      </c>
    </row>
    <row r="719" spans="1:15">
      <c r="A719">
        <v>4</v>
      </c>
      <c r="B719" s="4">
        <f>Thiet_ke!$B$23</f>
        <v>1.6265765616977859</v>
      </c>
      <c r="C719" s="4">
        <f>Dau_vao!$B$21+(Dau_vao!$B$19-Dau_vao!$B$21)*114/200</f>
        <v>1826.0</v>
      </c>
      <c r="D719" s="4">
        <f>2*PI()*C719*Thiet_ke!$B$7/(60*Thiet_ke!$B$15*B719)</f>
        <v>12.659936003377947</v>
      </c>
      <c r="E719" s="4">
        <f>D719*3.6</f>
        <v>45.57576961216061</v>
      </c>
      <c r="F719" s="4">
        <f>Thiet_ke!$B$12*(Dau_vao!$B$22*(C719/Dau_vao!$B$19)+Dau_vao!$B$23*(C719/Dau_vao!$B$19)^2-Dau_vao!$B$24*(C719/Dau_vao!$B$19)^3)</f>
        <v>87.12759458751373</v>
      </c>
      <c r="G719" s="4">
        <f>60000*F719/(2*PI()*C719)</f>
        <v>455.64471056876704</v>
      </c>
      <c r="H719" s="4">
        <f>G719*Thiet_ke!$B$15*B719*Dau_vao!$B$10/Thiet_ke!$B$7</f>
        <v>6125.114626345418</v>
      </c>
      <c r="I719" s="4">
        <f>IF(D719&lt;=Dau_vao!$B$14,Dau_vao!$B$13,Dau_vao!$B$13*(1+D719^2/1500))</f>
        <v>0.015</v>
      </c>
      <c r="J719" s="4">
        <f>Thiet_ke!$B$8*D719^2</f>
        <v>468.8013903581537</v>
      </c>
      <c r="K719" s="4">
        <f>Thiet_ke!$B$3*I719+J719</f>
        <v>1600.3848903581538</v>
      </c>
      <c r="L719" s="4">
        <f>(H719-J719)/Thiet_ke!$B$3</f>
        <v>0.0749787342602724</v>
      </c>
      <c r="M719" s="4">
        <f>1.05+0.05*B719^2</f>
        <v>1.1822875655532297</v>
      </c>
      <c r="N719" s="4">
        <f>(MIN(H719,Thiet_ke!$B$16)-K719)/(Thiet_ke!$B$2*M719)</f>
        <v>0.4976719710470316</v>
      </c>
      <c r="O719" s="4">
        <f>IF(N719&gt;0,1/N719,"")</f>
        <v>2.0093556763828615</v>
      </c>
    </row>
    <row r="720" spans="1:15">
      <c r="A720">
        <v>4</v>
      </c>
      <c r="B720" s="4">
        <f>Thiet_ke!$B$23</f>
        <v>1.6265765616977859</v>
      </c>
      <c r="C720" s="4">
        <f>Dau_vao!$B$21+(Dau_vao!$B$19-Dau_vao!$B$21)*115/200</f>
        <v>1835.0</v>
      </c>
      <c r="D720" s="4">
        <f>2*PI()*C720*Thiet_ke!$B$7/(60*Thiet_ke!$B$15*B720)</f>
        <v>12.7223343736027</v>
      </c>
      <c r="E720" s="4">
        <f>D720*3.6</f>
        <v>45.80040374496972</v>
      </c>
      <c r="F720" s="4">
        <f>Thiet_ke!$B$12*(Dau_vao!$B$22*(C720/Dau_vao!$B$19)+Dau_vao!$B$23*(C720/Dau_vao!$B$19)^2-Dau_vao!$B$24*(C720/Dau_vao!$B$19)^3)</f>
        <v>87.58330725938698</v>
      </c>
      <c r="G720" s="4">
        <f>60000*F720/(2*PI()*C720)</f>
        <v>455.7814588338219</v>
      </c>
      <c r="H720" s="4">
        <f>G720*Thiet_ke!$B$15*B720*Dau_vao!$B$10/Thiet_ke!$B$7</f>
        <v>6126.952898093091</v>
      </c>
      <c r="I720" s="4">
        <f>IF(D720&lt;=Dau_vao!$B$14,Dau_vao!$B$13,Dau_vao!$B$13*(1+D720^2/1500))</f>
        <v>0.015</v>
      </c>
      <c r="J720" s="4">
        <f>Thiet_ke!$B$8*D720^2</f>
        <v>473.4340413477271</v>
      </c>
      <c r="K720" s="4">
        <f>Thiet_ke!$B$3*I720+J720</f>
        <v>1605.0175413477273</v>
      </c>
      <c r="L720" s="4">
        <f>(H720-J720)/Thiet_ke!$B$3</f>
        <v>0.07494169263795421</v>
      </c>
      <c r="M720" s="4">
        <f>1.05+0.05*B720^2</f>
        <v>1.1822875655532297</v>
      </c>
      <c r="N720" s="4">
        <f>(MIN(H720,Thiet_ke!$B$16)-K720)/(Thiet_ke!$B$2*M720)</f>
        <v>0.49736461915944613</v>
      </c>
      <c r="O720" s="4">
        <f>IF(N720&gt;0,1/N720,"")</f>
        <v>2.0105973796246612</v>
      </c>
    </row>
    <row r="721" spans="1:15">
      <c r="A721">
        <v>4</v>
      </c>
      <c r="B721" s="4">
        <f>Thiet_ke!$B$23</f>
        <v>1.6265765616977859</v>
      </c>
      <c r="C721" s="4">
        <f>Dau_vao!$B$21+(Dau_vao!$B$19-Dau_vao!$B$21)*116/200</f>
        <v>1844.0</v>
      </c>
      <c r="D721" s="4">
        <f>2*PI()*C721*Thiet_ke!$B$7/(60*Thiet_ke!$B$15*B721)</f>
        <v>12.784732743827453</v>
      </c>
      <c r="E721" s="4">
        <f>D721*3.6</f>
        <v>46.02503787777883</v>
      </c>
      <c r="F721" s="4">
        <f>Thiet_ke!$B$12*(Dau_vao!$B$22*(C721/Dau_vao!$B$19)+Dau_vao!$B$23*(C721/Dau_vao!$B$19)^2-Dau_vao!$B$24*(C721/Dau_vao!$B$19)^3)</f>
        <v>88.03728891923879</v>
      </c>
      <c r="G721" s="4">
        <f>60000*F721/(2*PI()*C721)</f>
        <v>455.90790806636215</v>
      </c>
      <c r="H721" s="4">
        <f>G721*Thiet_ke!$B$15*B721*Dau_vao!$B$10/Thiet_ke!$B$7</f>
        <v>6128.652722596169</v>
      </c>
      <c r="I721" s="4">
        <f>IF(D721&lt;=Dau_vao!$B$14,Dau_vao!$B$13,Dau_vao!$B$13*(1+D721^2/1500))</f>
        <v>0.015</v>
      </c>
      <c r="J721" s="4">
        <f>Thiet_ke!$B$8*D721^2</f>
        <v>478.0894696434495</v>
      </c>
      <c r="K721" s="4">
        <f>Thiet_ke!$B$3*I721+J721</f>
        <v>1609.6729696434497</v>
      </c>
      <c r="L721" s="4">
        <f>(H721-J721)/Thiet_ke!$B$3</f>
        <v>0.07490251386158492</v>
      </c>
      <c r="M721" s="4">
        <f>1.05+0.05*B721^2</f>
        <v>1.1822875655532297</v>
      </c>
      <c r="N721" s="4">
        <f>(MIN(H721,Thiet_ke!$B$16)-K721)/(Thiet_ke!$B$2*M721)</f>
        <v>0.4970395342922948</v>
      </c>
      <c r="O721" s="4">
        <f>IF(N721&gt;0,1/N721,"")</f>
        <v>2.0119123953064233</v>
      </c>
    </row>
    <row r="722" spans="1:15">
      <c r="A722">
        <v>4</v>
      </c>
      <c r="B722" s="4">
        <f>Thiet_ke!$B$23</f>
        <v>1.6265765616977859</v>
      </c>
      <c r="C722" s="4">
        <f>Dau_vao!$B$21+(Dau_vao!$B$19-Dau_vao!$B$21)*117/200</f>
        <v>1853.0</v>
      </c>
      <c r="D722" s="4">
        <f>2*PI()*C722*Thiet_ke!$B$7/(60*Thiet_ke!$B$15*B722)</f>
        <v>12.847131114052209</v>
      </c>
      <c r="E722" s="4">
        <f>D722*3.6</f>
        <v>46.24967201058795</v>
      </c>
      <c r="F722" s="4">
        <f>Thiet_ke!$B$12*(Dau_vao!$B$22*(C722/Dau_vao!$B$19)+Dau_vao!$B$23*(C722/Dau_vao!$B$19)^2-Dau_vao!$B$24*(C722/Dau_vao!$B$19)^3)</f>
        <v>88.48951044724076</v>
      </c>
      <c r="G722" s="4">
        <f>60000*F722/(2*PI()*C722)</f>
        <v>456.024058266388</v>
      </c>
      <c r="H722" s="4">
        <f>G722*Thiet_ke!$B$15*B722*Dau_vao!$B$10/Thiet_ke!$B$7</f>
        <v>6130.214099854655</v>
      </c>
      <c r="I722" s="4">
        <f>IF(D722&lt;=Dau_vao!$B$14,Dau_vao!$B$13,Dau_vao!$B$13*(1+D722^2/1500))</f>
        <v>0.015</v>
      </c>
      <c r="J722" s="4">
        <f>Thiet_ke!$B$8*D722^2</f>
        <v>482.76767524532147</v>
      </c>
      <c r="K722" s="4">
        <f>Thiet_ke!$B$3*I722+J722</f>
        <v>1614.3511752453217</v>
      </c>
      <c r="L722" s="4">
        <f>(H722-J722)/Thiet_ke!$B$3</f>
        <v>0.0748611979311646</v>
      </c>
      <c r="M722" s="4">
        <f>1.05+0.05*B722^2</f>
        <v>1.1822875655532297</v>
      </c>
      <c r="N722" s="4">
        <f>(MIN(H722,Thiet_ke!$B$16)-K722)/(Thiet_ke!$B$2*M722)</f>
        <v>0.4966967164455776</v>
      </c>
      <c r="O722" s="4">
        <f>IF(N722&gt;0,1/N722,"")</f>
        <v>2.013301008221118</v>
      </c>
    </row>
    <row r="723" spans="1:15">
      <c r="A723">
        <v>4</v>
      </c>
      <c r="B723" s="4">
        <f>Thiet_ke!$B$23</f>
        <v>1.6265765616977859</v>
      </c>
      <c r="C723" s="4">
        <f>Dau_vao!$B$21+(Dau_vao!$B$19-Dau_vao!$B$21)*118/200</f>
        <v>1862.0</v>
      </c>
      <c r="D723" s="4">
        <f>2*PI()*C723*Thiet_ke!$B$7/(60*Thiet_ke!$B$15*B723)</f>
        <v>12.909529484276964</v>
      </c>
      <c r="E723" s="4">
        <f>D723*3.6</f>
        <v>46.47430614339707</v>
      </c>
      <c r="F723" s="4">
        <f>Thiet_ke!$B$12*(Dau_vao!$B$22*(C723/Dau_vao!$B$19)+Dau_vao!$B$23*(C723/Dau_vao!$B$19)^2-Dau_vao!$B$24*(C723/Dau_vao!$B$19)^3)</f>
        <v>88.93994272356449</v>
      </c>
      <c r="G723" s="4">
        <f>60000*F723/(2*PI()*C723)</f>
        <v>456.1299094338991</v>
      </c>
      <c r="H723" s="4">
        <f>G723*Thiet_ke!$B$15*B723*Dau_vao!$B$10/Thiet_ke!$B$7</f>
        <v>6131.637029868543</v>
      </c>
      <c r="I723" s="4">
        <f>IF(D723&lt;=Dau_vao!$B$14,Dau_vao!$B$13,Dau_vao!$B$13*(1+D723^2/1500))</f>
        <v>0.015</v>
      </c>
      <c r="J723" s="4">
        <f>Thiet_ke!$B$8*D723^2</f>
        <v>487.4686581533426</v>
      </c>
      <c r="K723" s="4">
        <f>Thiet_ke!$B$3*I723+J723</f>
        <v>1619.0521581533428</v>
      </c>
      <c r="L723" s="4">
        <f>(H723-J723)/Thiet_ke!$B$3</f>
        <v>0.07481774484669315</v>
      </c>
      <c r="M723" s="4">
        <f>1.05+0.05*B723^2</f>
        <v>1.1822875655532297</v>
      </c>
      <c r="N723" s="4">
        <f>(MIN(H723,Thiet_ke!$B$16)-K723)/(Thiet_ke!$B$2*M723)</f>
        <v>0.49633616561929417</v>
      </c>
      <c r="O723" s="4">
        <f>IF(N723&gt;0,1/N723,"")</f>
        <v>2.014763519704974</v>
      </c>
    </row>
    <row r="724" spans="1:15">
      <c r="A724">
        <v>4</v>
      </c>
      <c r="B724" s="4">
        <f>Thiet_ke!$B$23</f>
        <v>1.6265765616977859</v>
      </c>
      <c r="C724" s="4">
        <f>Dau_vao!$B$21+(Dau_vao!$B$19-Dau_vao!$B$21)*119/200</f>
        <v>1871.0</v>
      </c>
      <c r="D724" s="4">
        <f>2*PI()*C724*Thiet_ke!$B$7/(60*Thiet_ke!$B$15*B724)</f>
        <v>12.971927854501716</v>
      </c>
      <c r="E724" s="4">
        <f>D724*3.6</f>
        <v>46.69894027620618</v>
      </c>
      <c r="F724" s="4">
        <f>Thiet_ke!$B$12*(Dau_vao!$B$22*(C724/Dau_vao!$B$19)+Dau_vao!$B$23*(C724/Dau_vao!$B$19)^2-Dau_vao!$B$24*(C724/Dau_vao!$B$19)^3)</f>
        <v>89.38855662838155</v>
      </c>
      <c r="G724" s="4">
        <f>60000*F724/(2*PI()*C724)</f>
        <v>456.2254615688957</v>
      </c>
      <c r="H724" s="4">
        <f>G724*Thiet_ke!$B$15*B724*Dau_vao!$B$10/Thiet_ke!$B$7</f>
        <v>6132.921512637837</v>
      </c>
      <c r="I724" s="4">
        <f>IF(D724&lt;=Dau_vao!$B$14,Dau_vao!$B$13,Dau_vao!$B$13*(1+D724^2/1500))</f>
        <v>0.015</v>
      </c>
      <c r="J724" s="4">
        <f>Thiet_ke!$B$8*D724^2</f>
        <v>492.19241836751274</v>
      </c>
      <c r="K724" s="4">
        <f>Thiet_ke!$B$3*I724+J724</f>
        <v>1623.775918367513</v>
      </c>
      <c r="L724" s="4">
        <f>(H724-J724)/Thiet_ke!$B$3</f>
        <v>0.07477215460817063</v>
      </c>
      <c r="M724" s="4">
        <f>1.05+0.05*B724^2</f>
        <v>1.1822875655532297</v>
      </c>
      <c r="N724" s="4">
        <f>(MIN(H724,Thiet_ke!$B$16)-K724)/(Thiet_ke!$B$2*M724)</f>
        <v>0.4959578818134447</v>
      </c>
      <c r="O724" s="4">
        <f>IF(N724&gt;0,1/N724,"")</f>
        <v>2.016300247802396</v>
      </c>
    </row>
    <row r="725" spans="1:15">
      <c r="A725">
        <v>4</v>
      </c>
      <c r="B725" s="4">
        <f>Thiet_ke!$B$23</f>
        <v>1.6265765616977859</v>
      </c>
      <c r="C725" s="4">
        <f>Dau_vao!$B$21+(Dau_vao!$B$19-Dau_vao!$B$21)*120/200</f>
        <v>1880.0</v>
      </c>
      <c r="D725" s="4">
        <f>2*PI()*C725*Thiet_ke!$B$7/(60*Thiet_ke!$B$15*B725)</f>
        <v>13.034326224726472</v>
      </c>
      <c r="E725" s="4">
        <f>D725*3.6</f>
        <v>46.9235744090153</v>
      </c>
      <c r="F725" s="4">
        <f>Thiet_ke!$B$12*(Dau_vao!$B$22*(C725/Dau_vao!$B$19)+Dau_vao!$B$23*(C725/Dau_vao!$B$19)^2-Dau_vao!$B$24*(C725/Dau_vao!$B$19)^3)</f>
        <v>89.83532304186356</v>
      </c>
      <c r="G725" s="4">
        <f>60000*F725/(2*PI()*C725)</f>
        <v>456.3107146713776</v>
      </c>
      <c r="H725" s="4">
        <f>G725*Thiet_ke!$B$15*B725*Dau_vao!$B$10/Thiet_ke!$B$7</f>
        <v>6134.067548162538</v>
      </c>
      <c r="I725" s="4">
        <f>IF(D725&lt;=Dau_vao!$B$14,Dau_vao!$B$13,Dau_vao!$B$13*(1+D725^2/1500))</f>
        <v>0.015</v>
      </c>
      <c r="J725" s="4">
        <f>Thiet_ke!$B$8*D725^2</f>
        <v>496.9389558878324</v>
      </c>
      <c r="K725" s="4">
        <f>Thiet_ke!$B$3*I725+J725</f>
        <v>1628.5224558878326</v>
      </c>
      <c r="L725" s="4">
        <f>(H725-J725)/Thiet_ke!$B$3</f>
        <v>0.07472442721559706</v>
      </c>
      <c r="M725" s="4">
        <f>1.05+0.05*B725^2</f>
        <v>1.1822875655532297</v>
      </c>
      <c r="N725" s="4">
        <f>(MIN(H725,Thiet_ke!$B$16)-K725)/(Thiet_ke!$B$2*M725)</f>
        <v>0.4955618650280295</v>
      </c>
      <c r="O725" s="4">
        <f>IF(N725&gt;0,1/N725,"")</f>
        <v>2.017911527440553</v>
      </c>
    </row>
    <row r="726" spans="1:15">
      <c r="A726">
        <v>4</v>
      </c>
      <c r="B726" s="4">
        <f>Thiet_ke!$B$23</f>
        <v>1.6265765616977859</v>
      </c>
      <c r="C726" s="4">
        <f>Dau_vao!$B$21+(Dau_vao!$B$19-Dau_vao!$B$21)*121/200</f>
        <v>1889.0</v>
      </c>
      <c r="D726" s="4">
        <f>2*PI()*C726*Thiet_ke!$B$7/(60*Thiet_ke!$B$15*B726)</f>
        <v>13.096724594951228</v>
      </c>
      <c r="E726" s="4">
        <f>D726*3.6</f>
        <v>47.148208541824424</v>
      </c>
      <c r="F726" s="4">
        <f>Thiet_ke!$B$12*(Dau_vao!$B$22*(C726/Dau_vao!$B$19)+Dau_vao!$B$23*(C726/Dau_vao!$B$19)^2-Dau_vao!$B$24*(C726/Dau_vao!$B$19)^3)</f>
        <v>90.28021284418215</v>
      </c>
      <c r="G726" s="4">
        <f>60000*F726/(2*PI()*C726)</f>
        <v>456.38566874134494</v>
      </c>
      <c r="H726" s="4">
        <f>G726*Thiet_ke!$B$15*B726*Dau_vao!$B$10/Thiet_ke!$B$7</f>
        <v>6135.075136442643</v>
      </c>
      <c r="I726" s="4">
        <f>IF(D726&lt;=Dau_vao!$B$14,Dau_vao!$B$13,Dau_vao!$B$13*(1+D726^2/1500))</f>
        <v>0.015</v>
      </c>
      <c r="J726" s="4">
        <f>Thiet_ke!$B$8*D726^2</f>
        <v>501.70827071430125</v>
      </c>
      <c r="K726" s="4">
        <f>Thiet_ke!$B$3*I726+J726</f>
        <v>1633.2917707143015</v>
      </c>
      <c r="L726" s="4">
        <f>(H726-J726)/Thiet_ke!$B$3</f>
        <v>0.07467456266897239</v>
      </c>
      <c r="M726" s="4">
        <f>1.05+0.05*B726^2</f>
        <v>1.1822875655532297</v>
      </c>
      <c r="N726" s="4">
        <f>(MIN(H726,Thiet_ke!$B$16)-K726)/(Thiet_ke!$B$2*M726)</f>
        <v>0.49514811526304825</v>
      </c>
      <c r="O726" s="4">
        <f>IF(N726&gt;0,1/N726,"")</f>
        <v>2.01959771061382</v>
      </c>
    </row>
    <row r="727" spans="1:15">
      <c r="A727">
        <v>4</v>
      </c>
      <c r="B727" s="4">
        <f>Thiet_ke!$B$23</f>
        <v>1.6265765616977859</v>
      </c>
      <c r="C727" s="4">
        <f>Dau_vao!$B$21+(Dau_vao!$B$19-Dau_vao!$B$21)*122/200</f>
        <v>1898.0</v>
      </c>
      <c r="D727" s="4">
        <f>2*PI()*C727*Thiet_ke!$B$7/(60*Thiet_ke!$B$15*B727)</f>
        <v>13.15912296517598</v>
      </c>
      <c r="E727" s="4">
        <f>D727*3.6</f>
        <v>47.37284267463353</v>
      </c>
      <c r="F727" s="4">
        <f>Thiet_ke!$B$12*(Dau_vao!$B$22*(C727/Dau_vao!$B$19)+Dau_vao!$B$23*(C727/Dau_vao!$B$19)^2-Dau_vao!$B$24*(C727/Dau_vao!$B$19)^3)</f>
        <v>90.7231969155089</v>
      </c>
      <c r="G727" s="4">
        <f>60000*F727/(2*PI()*C727)</f>
        <v>456.45032377879767</v>
      </c>
      <c r="H727" s="4">
        <f>G727*Thiet_ke!$B$15*B727*Dau_vao!$B$10/Thiet_ke!$B$7</f>
        <v>6135.944277478154</v>
      </c>
      <c r="I727" s="4">
        <f>IF(D727&lt;=Dau_vao!$B$14,Dau_vao!$B$13,Dau_vao!$B$13*(1+D727^2/1500))</f>
        <v>0.015</v>
      </c>
      <c r="J727" s="4">
        <f>Thiet_ke!$B$8*D727^2</f>
        <v>506.500362846919</v>
      </c>
      <c r="K727" s="4">
        <f>Thiet_ke!$B$3*I727+J727</f>
        <v>1638.0838628469191</v>
      </c>
      <c r="L727" s="4">
        <f>(H727-J727)/Thiet_ke!$B$3</f>
        <v>0.07462256096829664</v>
      </c>
      <c r="M727" s="4">
        <f>1.05+0.05*B727^2</f>
        <v>1.1822875655532297</v>
      </c>
      <c r="N727" s="4">
        <f>(MIN(H727,Thiet_ke!$B$16)-K727)/(Thiet_ke!$B$2*M727)</f>
        <v>0.49471663251850095</v>
      </c>
      <c r="O727" s="4">
        <f>IF(N727&gt;0,1/N727,"")</f>
        <v>2.021359166578259</v>
      </c>
    </row>
    <row r="728" spans="1:15">
      <c r="A728">
        <v>4</v>
      </c>
      <c r="B728" s="4">
        <f>Thiet_ke!$B$23</f>
        <v>1.6265765616977859</v>
      </c>
      <c r="C728" s="4">
        <f>Dau_vao!$B$21+(Dau_vao!$B$19-Dau_vao!$B$21)*123/200</f>
        <v>1907.0</v>
      </c>
      <c r="D728" s="4">
        <f>2*PI()*C728*Thiet_ke!$B$7/(60*Thiet_ke!$B$15*B728)</f>
        <v>13.221521335400736</v>
      </c>
      <c r="E728" s="4">
        <f>D728*3.6</f>
        <v>47.597476807442646</v>
      </c>
      <c r="F728" s="4">
        <f>Thiet_ke!$B$12*(Dau_vao!$B$22*(C728/Dau_vao!$B$19)+Dau_vao!$B$23*(C728/Dau_vao!$B$19)^2-Dau_vao!$B$24*(C728/Dau_vao!$B$19)^3)</f>
        <v>91.16424613601536</v>
      </c>
      <c r="G728" s="4">
        <f>60000*F728/(2*PI()*C728)</f>
        <v>456.50467978373564</v>
      </c>
      <c r="H728" s="4">
        <f>G728*Thiet_ke!$B$15*B728*Dau_vao!$B$10/Thiet_ke!$B$7</f>
        <v>6136.674971269069</v>
      </c>
      <c r="I728" s="4">
        <f>IF(D728&lt;=Dau_vao!$B$14,Dau_vao!$B$13,Dau_vao!$B$13*(1+D728^2/1500))</f>
        <v>0.015</v>
      </c>
      <c r="J728" s="4">
        <f>Thiet_ke!$B$8*D728^2</f>
        <v>511.31523228568636</v>
      </c>
      <c r="K728" s="4">
        <f>Thiet_ke!$B$3*I728+J728</f>
        <v>1642.8987322856865</v>
      </c>
      <c r="L728" s="4">
        <f>(H728-J728)/Thiet_ke!$B$3</f>
        <v>0.07456842211356982</v>
      </c>
      <c r="M728" s="4">
        <f>1.05+0.05*B728^2</f>
        <v>1.1822875655532297</v>
      </c>
      <c r="N728" s="4">
        <f>(MIN(H728,Thiet_ke!$B$16)-K728)/(Thiet_ke!$B$2*M728)</f>
        <v>0.49426741679438757</v>
      </c>
      <c r="O728" s="4">
        <f>IF(N728&gt;0,1/N728,"")</f>
        <v>2.0231962820563476</v>
      </c>
    </row>
    <row r="729" spans="1:15">
      <c r="A729">
        <v>4</v>
      </c>
      <c r="B729" s="4">
        <f>Thiet_ke!$B$23</f>
        <v>1.6265765616977859</v>
      </c>
      <c r="C729" s="4">
        <f>Dau_vao!$B$21+(Dau_vao!$B$19-Dau_vao!$B$21)*124/200</f>
        <v>1916.0</v>
      </c>
      <c r="D729" s="4">
        <f>2*PI()*C729*Thiet_ke!$B$7/(60*Thiet_ke!$B$15*B729)</f>
        <v>13.28391970562549</v>
      </c>
      <c r="E729" s="4">
        <f>D729*3.6</f>
        <v>47.82211094025176</v>
      </c>
      <c r="F729" s="4">
        <f>Thiet_ke!$B$12*(Dau_vao!$B$22*(C729/Dau_vao!$B$19)+Dau_vao!$B$23*(C729/Dau_vao!$B$19)^2-Dau_vao!$B$24*(C729/Dau_vao!$B$19)^3)</f>
        <v>91.60333138587326</v>
      </c>
      <c r="G729" s="4">
        <f>60000*F729/(2*PI()*C729)</f>
        <v>456.54873675615937</v>
      </c>
      <c r="H729" s="4">
        <f>G729*Thiet_ke!$B$15*B729*Dau_vao!$B$10/Thiet_ke!$B$7</f>
        <v>6137.267217815389</v>
      </c>
      <c r="I729" s="4">
        <f>IF(D729&lt;=Dau_vao!$B$14,Dau_vao!$B$13,Dau_vao!$B$13*(1+D729^2/1500))</f>
        <v>0.015</v>
      </c>
      <c r="J729" s="4">
        <f>Thiet_ke!$B$8*D729^2</f>
        <v>516.1528790306028</v>
      </c>
      <c r="K729" s="4">
        <f>Thiet_ke!$B$3*I729+J729</f>
        <v>1647.736379030603</v>
      </c>
      <c r="L729" s="4">
        <f>(H729-J729)/Thiet_ke!$B$3</f>
        <v>0.0745121461047919</v>
      </c>
      <c r="M729" s="4">
        <f>1.05+0.05*B729^2</f>
        <v>1.1822875655532297</v>
      </c>
      <c r="N729" s="4">
        <f>(MIN(H729,Thiet_ke!$B$16)-K729)/(Thiet_ke!$B$2*M729)</f>
        <v>0.4938004680907081</v>
      </c>
      <c r="O729" s="4">
        <f>IF(N729&gt;0,1/N729,"")</f>
        <v>2.025109461452163</v>
      </c>
    </row>
    <row r="730" spans="1:15">
      <c r="A730">
        <v>4</v>
      </c>
      <c r="B730" s="4">
        <f>Thiet_ke!$B$23</f>
        <v>1.6265765616977859</v>
      </c>
      <c r="C730" s="4">
        <f>Dau_vao!$B$21+(Dau_vao!$B$19-Dau_vao!$B$21)*125/200</f>
        <v>1925.0</v>
      </c>
      <c r="D730" s="4">
        <f>2*PI()*C730*Thiet_ke!$B$7/(60*Thiet_ke!$B$15*B730)</f>
        <v>13.346318075850245</v>
      </c>
      <c r="E730" s="4">
        <f>D730*3.6</f>
        <v>48.04674507306088</v>
      </c>
      <c r="F730" s="4">
        <f>Thiet_ke!$B$12*(Dau_vao!$B$22*(C730/Dau_vao!$B$19)+Dau_vao!$B$23*(C730/Dau_vao!$B$19)^2-Dau_vao!$B$24*(C730/Dau_vao!$B$19)^3)</f>
        <v>92.04042354525409</v>
      </c>
      <c r="G730" s="4">
        <f>60000*F730/(2*PI()*C730)</f>
        <v>456.58249469606835</v>
      </c>
      <c r="H730" s="4">
        <f>G730*Thiet_ke!$B$15*B730*Dau_vao!$B$10/Thiet_ke!$B$7</f>
        <v>6137.721017117117</v>
      </c>
      <c r="I730" s="4">
        <f>IF(D730&lt;=Dau_vao!$B$14,Dau_vao!$B$13,Dau_vao!$B$13*(1+D730^2/1500))</f>
        <v>0.015</v>
      </c>
      <c r="J730" s="4">
        <f>Thiet_ke!$B$8*D730^2</f>
        <v>521.0133030816685</v>
      </c>
      <c r="K730" s="4">
        <f>Thiet_ke!$B$3*I730+J730</f>
        <v>1652.5968030816687</v>
      </c>
      <c r="L730" s="4">
        <f>(H730-J730)/Thiet_ke!$B$3</f>
        <v>0.07445373294196293</v>
      </c>
      <c r="M730" s="4">
        <f>1.05+0.05*B730^2</f>
        <v>1.1822875655532297</v>
      </c>
      <c r="N730" s="4">
        <f>(MIN(H730,Thiet_ke!$B$16)-K730)/(Thiet_ke!$B$2*M730)</f>
        <v>0.4933157864074631</v>
      </c>
      <c r="O730" s="4">
        <f>IF(N730&gt;0,1/N730,"")</f>
        <v>2.027099127077259</v>
      </c>
    </row>
    <row r="731" spans="1:15">
      <c r="A731">
        <v>4</v>
      </c>
      <c r="B731" s="4">
        <f>Thiet_ke!$B$23</f>
        <v>1.6265765616977859</v>
      </c>
      <c r="C731" s="4">
        <f>Dau_vao!$B$21+(Dau_vao!$B$19-Dau_vao!$B$21)*126/200</f>
        <v>1934.0</v>
      </c>
      <c r="D731" s="4">
        <f>2*PI()*C731*Thiet_ke!$B$7/(60*Thiet_ke!$B$15*B731)</f>
        <v>13.408716446075</v>
      </c>
      <c r="E731" s="4">
        <f>D731*3.6</f>
        <v>48.27137920587</v>
      </c>
      <c r="F731" s="4">
        <f>Thiet_ke!$B$12*(Dau_vao!$B$22*(C731/Dau_vao!$B$19)+Dau_vao!$B$23*(C731/Dau_vao!$B$19)^2-Dau_vao!$B$24*(C731/Dau_vao!$B$19)^3)</f>
        <v>92.47549349432948</v>
      </c>
      <c r="G731" s="4">
        <f>60000*F731/(2*PI()*C731)</f>
        <v>456.6059536034627</v>
      </c>
      <c r="H731" s="4">
        <f>G731*Thiet_ke!$B$15*B731*Dau_vao!$B$10/Thiet_ke!$B$7</f>
        <v>6138.0363691742505</v>
      </c>
      <c r="I731" s="4">
        <f>IF(D731&lt;=Dau_vao!$B$14,Dau_vao!$B$13,Dau_vao!$B$13*(1+D731^2/1500))</f>
        <v>0.015</v>
      </c>
      <c r="J731" s="4">
        <f>Thiet_ke!$B$8*D731^2</f>
        <v>525.8965044388833</v>
      </c>
      <c r="K731" s="4">
        <f>Thiet_ke!$B$3*I731+J731</f>
        <v>1657.4800044388835</v>
      </c>
      <c r="L731" s="4">
        <f>(H731-J731)/Thiet_ke!$B$3</f>
        <v>0.0743931826250829</v>
      </c>
      <c r="M731" s="4">
        <f>1.05+0.05*B731^2</f>
        <v>1.1822875655532297</v>
      </c>
      <c r="N731" s="4">
        <f>(MIN(H731,Thiet_ke!$B$16)-K731)/(Thiet_ke!$B$2*M731)</f>
        <v>0.4928133717446519</v>
      </c>
      <c r="O731" s="4">
        <f>IF(N731&gt;0,1/N731,"")</f>
        <v>2.0291657193874673</v>
      </c>
    </row>
    <row r="732" spans="1:15">
      <c r="A732">
        <v>4</v>
      </c>
      <c r="B732" s="4">
        <f>Thiet_ke!$B$23</f>
        <v>1.6265765616977859</v>
      </c>
      <c r="C732" s="4">
        <f>Dau_vao!$B$21+(Dau_vao!$B$19-Dau_vao!$B$21)*127/200</f>
        <v>1943.0</v>
      </c>
      <c r="D732" s="4">
        <f>2*PI()*C732*Thiet_ke!$B$7/(60*Thiet_ke!$B$15*B732)</f>
        <v>13.471114816299753</v>
      </c>
      <c r="E732" s="4">
        <f>D732*3.6</f>
        <v>48.49601333867911</v>
      </c>
      <c r="F732" s="4">
        <f>Thiet_ke!$B$12*(Dau_vao!$B$22*(C732/Dau_vao!$B$19)+Dau_vao!$B$23*(C732/Dau_vao!$B$19)^2-Dau_vao!$B$24*(C732/Dau_vao!$B$19)^3)</f>
        <v>92.90851211327106</v>
      </c>
      <c r="G732" s="4">
        <f>60000*F732/(2*PI()*C732)</f>
        <v>456.6191134783425</v>
      </c>
      <c r="H732" s="4">
        <f>G732*Thiet_ke!$B$15*B732*Dau_vao!$B$10/Thiet_ke!$B$7</f>
        <v>6138.213273986788</v>
      </c>
      <c r="I732" s="4">
        <f>IF(D732&lt;=Dau_vao!$B$14,Dau_vao!$B$13,Dau_vao!$B$13*(1+D732^2/1500))</f>
        <v>0.015</v>
      </c>
      <c r="J732" s="4">
        <f>Thiet_ke!$B$8*D732^2</f>
        <v>530.8024831022474</v>
      </c>
      <c r="K732" s="4">
        <f>Thiet_ke!$B$3*I732+J732</f>
        <v>1662.3859831022476</v>
      </c>
      <c r="L732" s="4">
        <f>(H732-J732)/Thiet_ke!$B$3</f>
        <v>0.07433049515415177</v>
      </c>
      <c r="M732" s="4">
        <f>1.05+0.05*B732^2</f>
        <v>1.1822875655532297</v>
      </c>
      <c r="N732" s="4">
        <f>(MIN(H732,Thiet_ke!$B$16)-K732)/(Thiet_ke!$B$2*M732)</f>
        <v>0.49229322410227483</v>
      </c>
      <c r="O732" s="4">
        <f>IF(N732&gt;0,1/N732,"")</f>
        <v>2.0313096972308684</v>
      </c>
    </row>
    <row r="733" spans="1:15">
      <c r="A733">
        <v>4</v>
      </c>
      <c r="B733" s="4">
        <f>Thiet_ke!$B$23</f>
        <v>1.6265765616977859</v>
      </c>
      <c r="C733" s="4">
        <f>Dau_vao!$B$21+(Dau_vao!$B$19-Dau_vao!$B$21)*128/200</f>
        <v>1952.0</v>
      </c>
      <c r="D733" s="4">
        <f>2*PI()*C733*Thiet_ke!$B$7/(60*Thiet_ke!$B$15*B733)</f>
        <v>13.533513186524507</v>
      </c>
      <c r="E733" s="4">
        <f>D733*3.6</f>
        <v>48.72064747148823</v>
      </c>
      <c r="F733" s="4">
        <f>Thiet_ke!$B$12*(Dau_vao!$B$22*(C733/Dau_vao!$B$19)+Dau_vao!$B$23*(C733/Dau_vao!$B$19)^2-Dau_vao!$B$24*(C733/Dau_vao!$B$19)^3)</f>
        <v>93.33945028225037</v>
      </c>
      <c r="G733" s="4">
        <f>60000*F733/(2*PI()*C733)</f>
        <v>456.6219743207076</v>
      </c>
      <c r="H733" s="4">
        <f>G733*Thiet_ke!$B$15*B733*Dau_vao!$B$10/Thiet_ke!$B$7</f>
        <v>6138.251731554732</v>
      </c>
      <c r="I733" s="4">
        <f>IF(D733&lt;=Dau_vao!$B$14,Dau_vao!$B$13,Dau_vao!$B$13*(1+D733^2/1500))</f>
        <v>0.015</v>
      </c>
      <c r="J733" s="4">
        <f>Thiet_ke!$B$8*D733^2</f>
        <v>535.7312390717607</v>
      </c>
      <c r="K733" s="4">
        <f>Thiet_ke!$B$3*I733+J733</f>
        <v>1667.3147390717609</v>
      </c>
      <c r="L733" s="4">
        <f>(H733-J733)/Thiet_ke!$B$3</f>
        <v>0.07426567052916958</v>
      </c>
      <c r="M733" s="4">
        <f>1.05+0.05*B733^2</f>
        <v>1.1822875655532297</v>
      </c>
      <c r="N733" s="4">
        <f>(MIN(H733,Thiet_ke!$B$16)-K733)/(Thiet_ke!$B$2*M733)</f>
        <v>0.49175534348033173</v>
      </c>
      <c r="O733" s="4">
        <f>IF(N733&gt;0,1/N733,"")</f>
        <v>2.0335315381072134</v>
      </c>
    </row>
    <row r="734" spans="1:15">
      <c r="A734">
        <v>4</v>
      </c>
      <c r="B734" s="4">
        <f>Thiet_ke!$B$23</f>
        <v>1.6265765616977859</v>
      </c>
      <c r="C734" s="4">
        <f>Dau_vao!$B$21+(Dau_vao!$B$19-Dau_vao!$B$21)*129/200</f>
        <v>1961.0</v>
      </c>
      <c r="D734" s="4">
        <f>2*PI()*C734*Thiet_ke!$B$7/(60*Thiet_ke!$B$15*B734)</f>
        <v>13.595911556749261</v>
      </c>
      <c r="E734" s="4">
        <f>D734*3.6</f>
        <v>48.94528160429734</v>
      </c>
      <c r="F734" s="4">
        <f>Thiet_ke!$B$12*(Dau_vao!$B$22*(C734/Dau_vao!$B$19)+Dau_vao!$B$23*(C734/Dau_vao!$B$19)^2-Dau_vao!$B$24*(C734/Dau_vao!$B$19)^3)</f>
        <v>93.76827888143906</v>
      </c>
      <c r="G734" s="4">
        <f>60000*F734/(2*PI()*C734)</f>
        <v>456.61453613055806</v>
      </c>
      <c r="H734" s="4">
        <f>G734*Thiet_ke!$B$15*B734*Dau_vao!$B$10/Thiet_ke!$B$7</f>
        <v>6138.151741878078</v>
      </c>
      <c r="I734" s="4">
        <f>IF(D734&lt;=Dau_vao!$B$14,Dau_vao!$B$13,Dau_vao!$B$13*(1+D734^2/1500))</f>
        <v>0.015</v>
      </c>
      <c r="J734" s="4">
        <f>Thiet_ke!$B$8*D734^2</f>
        <v>540.6827723474233</v>
      </c>
      <c r="K734" s="4">
        <f>Thiet_ke!$B$3*I734+J734</f>
        <v>1672.2662723474236</v>
      </c>
      <c r="L734" s="4">
        <f>(H734-J734)/Thiet_ke!$B$3</f>
        <v>0.07419870875013625</v>
      </c>
      <c r="M734" s="4">
        <f>1.05+0.05*B734^2</f>
        <v>1.1822875655532297</v>
      </c>
      <c r="N734" s="4">
        <f>(MIN(H734,Thiet_ke!$B$16)-K734)/(Thiet_ke!$B$2*M734)</f>
        <v>0.49119972987882227</v>
      </c>
      <c r="O734" s="4">
        <f>IF(N734&gt;0,1/N734,"")</f>
        <v>2.0358317384390614</v>
      </c>
    </row>
    <row r="735" spans="1:15">
      <c r="A735">
        <v>4</v>
      </c>
      <c r="B735" s="4">
        <f>Thiet_ke!$B$23</f>
        <v>1.6265765616977859</v>
      </c>
      <c r="C735" s="4">
        <f>Dau_vao!$B$21+(Dau_vao!$B$19-Dau_vao!$B$21)*130/200</f>
        <v>1970.0</v>
      </c>
      <c r="D735" s="4">
        <f>2*PI()*C735*Thiet_ke!$B$7/(60*Thiet_ke!$B$15*B735)</f>
        <v>13.658309926974015</v>
      </c>
      <c r="E735" s="4">
        <f>D735*3.6</f>
        <v>49.16991573710646</v>
      </c>
      <c r="F735" s="4">
        <f>Thiet_ke!$B$12*(Dau_vao!$B$22*(C735/Dau_vao!$B$19)+Dau_vao!$B$23*(C735/Dau_vao!$B$19)^2-Dau_vao!$B$24*(C735/Dau_vao!$B$19)^3)</f>
        <v>94.19496879100878</v>
      </c>
      <c r="G735" s="4">
        <f>60000*F735/(2*PI()*C735)</f>
        <v>456.5967989078942</v>
      </c>
      <c r="H735" s="4">
        <f>G735*Thiet_ke!$B$15*B735*Dau_vao!$B$10/Thiet_ke!$B$7</f>
        <v>6137.913304956832</v>
      </c>
      <c r="I735" s="4">
        <f>IF(D735&lt;=Dau_vao!$B$14,Dau_vao!$B$13,Dau_vao!$B$13*(1+D735^2/1500))</f>
        <v>0.015</v>
      </c>
      <c r="J735" s="4">
        <f>Thiet_ke!$B$8*D735^2</f>
        <v>545.657082929235</v>
      </c>
      <c r="K735" s="4">
        <f>Thiet_ke!$B$3*I735+J735</f>
        <v>1677.2405829292352</v>
      </c>
      <c r="L735" s="4">
        <f>(H735-J735)/Thiet_ke!$B$3</f>
        <v>0.0741296098170519</v>
      </c>
      <c r="M735" s="4">
        <f>1.05+0.05*B735^2</f>
        <v>1.1822875655532297</v>
      </c>
      <c r="N735" s="4">
        <f>(MIN(H735,Thiet_ke!$B$16)-K735)/(Thiet_ke!$B$2*M735)</f>
        <v>0.49062638329774716</v>
      </c>
      <c r="O735" s="4">
        <f>IF(N735&gt;0,1/N735,"")</f>
        <v>2.038210813854926</v>
      </c>
    </row>
    <row r="736" spans="1:15">
      <c r="A736">
        <v>4</v>
      </c>
      <c r="B736" s="4">
        <f>Thiet_ke!$B$23</f>
        <v>1.6265765616977859</v>
      </c>
      <c r="C736" s="4">
        <f>Dau_vao!$B$21+(Dau_vao!$B$19-Dau_vao!$B$21)*131/200</f>
        <v>1979.0</v>
      </c>
      <c r="D736" s="4">
        <f>2*PI()*C736*Thiet_ke!$B$7/(60*Thiet_ke!$B$15*B736)</f>
        <v>13.720708297198769</v>
      </c>
      <c r="E736" s="4">
        <f>D736*3.6</f>
        <v>49.39454986991557</v>
      </c>
      <c r="F736" s="4">
        <f>Thiet_ke!$B$12*(Dau_vao!$B$22*(C736/Dau_vao!$B$19)+Dau_vao!$B$23*(C736/Dau_vao!$B$19)^2-Dau_vao!$B$24*(C736/Dau_vao!$B$19)^3)</f>
        <v>94.61949089113101</v>
      </c>
      <c r="G736" s="4">
        <f>60000*F736/(2*PI()*C736)</f>
        <v>456.5687626527155</v>
      </c>
      <c r="H736" s="4">
        <f>G736*Thiet_ke!$B$15*B736*Dau_vao!$B$10/Thiet_ke!$B$7</f>
        <v>6137.536420790992</v>
      </c>
      <c r="I736" s="4">
        <f>IF(D736&lt;=Dau_vao!$B$14,Dau_vao!$B$13,Dau_vao!$B$13*(1+D736^2/1500))</f>
        <v>0.015</v>
      </c>
      <c r="J736" s="4">
        <f>Thiet_ke!$B$8*D736^2</f>
        <v>550.654170817196</v>
      </c>
      <c r="K736" s="4">
        <f>Thiet_ke!$B$3*I736+J736</f>
        <v>1682.2376708171962</v>
      </c>
      <c r="L736" s="4">
        <f>(H736-J736)/Thiet_ke!$B$3</f>
        <v>0.07405837372991647</v>
      </c>
      <c r="M736" s="4">
        <f>1.05+0.05*B736^2</f>
        <v>1.1822875655532297</v>
      </c>
      <c r="N736" s="4">
        <f>(MIN(H736,Thiet_ke!$B$16)-K736)/(Thiet_ke!$B$2*M736)</f>
        <v>0.4900353037371062</v>
      </c>
      <c r="O736" s="4">
        <f>IF(N736&gt;0,1/N736,"")</f>
        <v>2.040669299484756</v>
      </c>
    </row>
    <row r="737" spans="1:15">
      <c r="A737">
        <v>4</v>
      </c>
      <c r="B737" s="4">
        <f>Thiet_ke!$B$23</f>
        <v>1.6265765616977859</v>
      </c>
      <c r="C737" s="4">
        <f>Dau_vao!$B$21+(Dau_vao!$B$19-Dau_vao!$B$21)*132/200</f>
        <v>1988.0</v>
      </c>
      <c r="D737" s="4">
        <f>2*PI()*C737*Thiet_ke!$B$7/(60*Thiet_ke!$B$15*B737)</f>
        <v>13.783106667423525</v>
      </c>
      <c r="E737" s="4">
        <f>D737*3.6</f>
        <v>49.61918400272469</v>
      </c>
      <c r="F737" s="4">
        <f>Thiet_ke!$B$12*(Dau_vao!$B$22*(C737/Dau_vao!$B$19)+Dau_vao!$B$23*(C737/Dau_vao!$B$19)^2-Dau_vao!$B$24*(C737/Dau_vao!$B$19)^3)</f>
        <v>95.04181606197744</v>
      </c>
      <c r="G737" s="4">
        <f>60000*F737/(2*PI()*C737)</f>
        <v>456.5304273650223</v>
      </c>
      <c r="H737" s="4">
        <f>G737*Thiet_ke!$B$15*B737*Dau_vao!$B$10/Thiet_ke!$B$7</f>
        <v>6137.021089380556</v>
      </c>
      <c r="I737" s="4">
        <f>IF(D737&lt;=Dau_vao!$B$14,Dau_vao!$B$13,Dau_vao!$B$13*(1+D737^2/1500))</f>
        <v>0.015</v>
      </c>
      <c r="J737" s="4">
        <f>Thiet_ke!$B$8*D737^2</f>
        <v>555.6740360113064</v>
      </c>
      <c r="K737" s="4">
        <f>Thiet_ke!$B$3*I737+J737</f>
        <v>1687.2575360113065</v>
      </c>
      <c r="L737" s="4">
        <f>(H737-J737)/Thiet_ke!$B$3</f>
        <v>0.07398500048872994</v>
      </c>
      <c r="M737" s="4">
        <f>1.05+0.05*B737^2</f>
        <v>1.1822875655532297</v>
      </c>
      <c r="N737" s="4">
        <f>(MIN(H737,Thiet_ke!$B$16)-K737)/(Thiet_ke!$B$2*M737)</f>
        <v>0.48942649119689896</v>
      </c>
      <c r="O737" s="4">
        <f>IF(N737&gt;0,1/N737,"")</f>
        <v>2.043207750268047</v>
      </c>
    </row>
    <row r="738" spans="1:15">
      <c r="A738">
        <v>4</v>
      </c>
      <c r="B738" s="4">
        <f>Thiet_ke!$B$23</f>
        <v>1.6265765616977859</v>
      </c>
      <c r="C738" s="4">
        <f>Dau_vao!$B$21+(Dau_vao!$B$19-Dau_vao!$B$21)*133/200</f>
        <v>1997.0</v>
      </c>
      <c r="D738" s="4">
        <f>2*PI()*C738*Thiet_ke!$B$7/(60*Thiet_ke!$B$15*B738)</f>
        <v>13.84550503764828</v>
      </c>
      <c r="E738" s="4">
        <f>D738*3.6</f>
        <v>49.84381813553381</v>
      </c>
      <c r="F738" s="4">
        <f>Thiet_ke!$B$12*(Dau_vao!$B$22*(C738/Dau_vao!$B$19)+Dau_vao!$B$23*(C738/Dau_vao!$B$19)^2-Dau_vao!$B$24*(C738/Dau_vao!$B$19)^3)</f>
        <v>95.46191518371967</v>
      </c>
      <c r="G738" s="4">
        <f>60000*F738/(2*PI()*C738)</f>
        <v>456.48179304481454</v>
      </c>
      <c r="H738" s="4">
        <f>G738*Thiet_ke!$B$15*B738*Dau_vao!$B$10/Thiet_ke!$B$7</f>
        <v>6136.367310725526</v>
      </c>
      <c r="I738" s="4">
        <f>IF(D738&lt;=Dau_vao!$B$14,Dau_vao!$B$13,Dau_vao!$B$13*(1+D738^2/1500))</f>
        <v>0.015</v>
      </c>
      <c r="J738" s="4">
        <f>Thiet_ke!$B$8*D738^2</f>
        <v>560.716678511566</v>
      </c>
      <c r="K738" s="4">
        <f>Thiet_ke!$B$3*I738+J738</f>
        <v>1692.3001785115662</v>
      </c>
      <c r="L738" s="4">
        <f>(H738-J738)/Thiet_ke!$B$3</f>
        <v>0.07390949009349235</v>
      </c>
      <c r="M738" s="4">
        <f>1.05+0.05*B738^2</f>
        <v>1.1822875655532297</v>
      </c>
      <c r="N738" s="4">
        <f>(MIN(H738,Thiet_ke!$B$16)-K738)/(Thiet_ke!$B$2*M738)</f>
        <v>0.48879994567712587</v>
      </c>
      <c r="O738" s="4">
        <f>IF(N738&gt;0,1/N738,"")</f>
        <v>2.0458267412749356</v>
      </c>
    </row>
    <row r="739" spans="1:15">
      <c r="A739">
        <v>4</v>
      </c>
      <c r="B739" s="4">
        <f>Thiet_ke!$B$23</f>
        <v>1.6265765616977859</v>
      </c>
      <c r="C739" s="4">
        <f>Dau_vao!$B$21+(Dau_vao!$B$19-Dau_vao!$B$21)*134/200</f>
        <v>2006.0</v>
      </c>
      <c r="D739" s="4">
        <f>2*PI()*C739*Thiet_ke!$B$7/(60*Thiet_ke!$B$15*B739)</f>
        <v>13.907903407873032</v>
      </c>
      <c r="E739" s="4">
        <f>D739*3.6</f>
        <v>50.06845226834292</v>
      </c>
      <c r="F739" s="4">
        <f>Thiet_ke!$B$12*(Dau_vao!$B$22*(C739/Dau_vao!$B$19)+Dau_vao!$B$23*(C739/Dau_vao!$B$19)^2-Dau_vao!$B$24*(C739/Dau_vao!$B$19)^3)</f>
        <v>95.87975913652924</v>
      </c>
      <c r="G739" s="4">
        <f>60000*F739/(2*PI()*C739)</f>
        <v>456.42285969209206</v>
      </c>
      <c r="H739" s="4">
        <f>G739*Thiet_ke!$B$15*B739*Dau_vao!$B$10/Thiet_ke!$B$7</f>
        <v>6135.575084825902</v>
      </c>
      <c r="I739" s="4">
        <f>IF(D739&lt;=Dau_vao!$B$14,Dau_vao!$B$13,Dau_vao!$B$13*(1+D739^2/1500))</f>
        <v>0.015</v>
      </c>
      <c r="J739" s="4">
        <f>Thiet_ke!$B$8*D739^2</f>
        <v>565.7820983179745</v>
      </c>
      <c r="K739" s="4">
        <f>Thiet_ke!$B$3*I739+J739</f>
        <v>1697.3655983179747</v>
      </c>
      <c r="L739" s="4">
        <f>(H739-J739)/Thiet_ke!$B$3</f>
        <v>0.07383184254420368</v>
      </c>
      <c r="M739" s="4">
        <f>1.05+0.05*B739^2</f>
        <v>1.1822875655532297</v>
      </c>
      <c r="N739" s="4">
        <f>(MIN(H739,Thiet_ke!$B$16)-K739)/(Thiet_ke!$B$2*M739)</f>
        <v>0.48815566717778675</v>
      </c>
      <c r="O739" s="4">
        <f>IF(N739&gt;0,1/N739,"")</f>
        <v>2.0485268680406388</v>
      </c>
    </row>
    <row r="740" spans="1:15">
      <c r="A740">
        <v>4</v>
      </c>
      <c r="B740" s="4">
        <f>Thiet_ke!$B$23</f>
        <v>1.6265765616977859</v>
      </c>
      <c r="C740" s="4">
        <f>Dau_vao!$B$21+(Dau_vao!$B$19-Dau_vao!$B$21)*135/200</f>
        <v>2015.0</v>
      </c>
      <c r="D740" s="4">
        <f>2*PI()*C740*Thiet_ke!$B$7/(60*Thiet_ke!$B$15*B740)</f>
        <v>13.970301778097788</v>
      </c>
      <c r="E740" s="4">
        <f>D740*3.6</f>
        <v>50.29308640115204</v>
      </c>
      <c r="F740" s="4">
        <f>Thiet_ke!$B$12*(Dau_vao!$B$22*(C740/Dau_vao!$B$19)+Dau_vao!$B$23*(C740/Dau_vao!$B$19)^2-Dau_vao!$B$24*(C740/Dau_vao!$B$19)^3)</f>
        <v>96.29531880057782</v>
      </c>
      <c r="G740" s="4">
        <f>60000*F740/(2*PI()*C740)</f>
        <v>456.35362730685506</v>
      </c>
      <c r="H740" s="4">
        <f>G740*Thiet_ke!$B$15*B740*Dau_vao!$B$10/Thiet_ke!$B$7</f>
        <v>6134.644411681679</v>
      </c>
      <c r="I740" s="4">
        <f>IF(D740&lt;=Dau_vao!$B$14,Dau_vao!$B$13,Dau_vao!$B$13*(1+D740^2/1500))</f>
        <v>0.015</v>
      </c>
      <c r="J740" s="4">
        <f>Thiet_ke!$B$8*D740^2</f>
        <v>570.8702954305326</v>
      </c>
      <c r="K740" s="4">
        <f>Thiet_ke!$B$3*I740+J740</f>
        <v>1702.4537954305329</v>
      </c>
      <c r="L740" s="4">
        <f>(H740-J740)/Thiet_ke!$B$3</f>
        <v>0.07375205784086387</v>
      </c>
      <c r="M740" s="4">
        <f>1.05+0.05*B740^2</f>
        <v>1.1822875655532297</v>
      </c>
      <c r="N740" s="4">
        <f>(MIN(H740,Thiet_ke!$B$16)-K740)/(Thiet_ke!$B$2*M740)</f>
        <v>0.48749365569888126</v>
      </c>
      <c r="O740" s="4">
        <f>IF(N740&gt;0,1/N740,"")</f>
        <v>2.0513087469135955</v>
      </c>
    </row>
    <row r="741" spans="1:15">
      <c r="A741">
        <v>4</v>
      </c>
      <c r="B741" s="4">
        <f>Thiet_ke!$B$23</f>
        <v>1.6265765616977859</v>
      </c>
      <c r="C741" s="4">
        <f>Dau_vao!$B$21+(Dau_vao!$B$19-Dau_vao!$B$21)*136/200</f>
        <v>2024.0</v>
      </c>
      <c r="D741" s="4">
        <f>2*PI()*C741*Thiet_ke!$B$7/(60*Thiet_ke!$B$15*B741)</f>
        <v>14.032700148322544</v>
      </c>
      <c r="E741" s="4">
        <f>D741*3.6</f>
        <v>50.51772053396116</v>
      </c>
      <c r="F741" s="4">
        <f>Thiet_ke!$B$12*(Dau_vao!$B$22*(C741/Dau_vao!$B$19)+Dau_vao!$B$23*(C741/Dau_vao!$B$19)^2-Dau_vao!$B$24*(C741/Dau_vao!$B$19)^3)</f>
        <v>96.70856505603696</v>
      </c>
      <c r="G741" s="4">
        <f>60000*F741/(2*PI()*C741)</f>
        <v>456.2740958891034</v>
      </c>
      <c r="H741" s="4">
        <f>G741*Thiet_ke!$B$15*B741*Dau_vao!$B$10/Thiet_ke!$B$7</f>
        <v>6133.575291292869</v>
      </c>
      <c r="I741" s="4">
        <f>IF(D741&lt;=Dau_vao!$B$14,Dau_vao!$B$13,Dau_vao!$B$13*(1+D741^2/1500))</f>
        <v>0.015</v>
      </c>
      <c r="J741" s="4">
        <f>Thiet_ke!$B$8*D741^2</f>
        <v>575.9812698492398</v>
      </c>
      <c r="K741" s="4">
        <f>Thiet_ke!$B$3*I741+J741</f>
        <v>1707.5647698492398</v>
      </c>
      <c r="L741" s="4">
        <f>(H741-J741)/Thiet_ke!$B$3</f>
        <v>0.0736701359834731</v>
      </c>
      <c r="M741" s="4">
        <f>1.05+0.05*B741^2</f>
        <v>1.1822875655532297</v>
      </c>
      <c r="N741" s="4">
        <f>(MIN(H741,Thiet_ke!$B$16)-K741)/(Thiet_ke!$B$2*M741)</f>
        <v>0.4868139112404108</v>
      </c>
      <c r="O741" s="4">
        <f>IF(N741&gt;0,1/N741,"")</f>
        <v>2.054173015417702</v>
      </c>
    </row>
    <row r="742" spans="1:15">
      <c r="A742">
        <v>4</v>
      </c>
      <c r="B742" s="4">
        <f>Thiet_ke!$B$23</f>
        <v>1.6265765616977859</v>
      </c>
      <c r="C742" s="4">
        <f>Dau_vao!$B$21+(Dau_vao!$B$19-Dau_vao!$B$21)*137/200</f>
        <v>2033.0</v>
      </c>
      <c r="D742" s="4">
        <f>2*PI()*C742*Thiet_ke!$B$7/(60*Thiet_ke!$B$15*B742)</f>
        <v>14.095098518547296</v>
      </c>
      <c r="E742" s="4">
        <f>D742*3.6</f>
        <v>50.74235466677027</v>
      </c>
      <c r="F742" s="4">
        <f>Thiet_ke!$B$12*(Dau_vao!$B$22*(C742/Dau_vao!$B$19)+Dau_vao!$B$23*(C742/Dau_vao!$B$19)^2-Dau_vao!$B$24*(C742/Dau_vao!$B$19)^3)</f>
        <v>97.11946878307835</v>
      </c>
      <c r="G742" s="4">
        <f>60000*F742/(2*PI()*C742)</f>
        <v>456.18426543883743</v>
      </c>
      <c r="H742" s="4">
        <f>G742*Thiet_ke!$B$15*B742*Dau_vao!$B$10/Thiet_ke!$B$7</f>
        <v>6132.367723659458</v>
      </c>
      <c r="I742" s="4">
        <f>IF(D742&lt;=Dau_vao!$B$14,Dau_vao!$B$13,Dau_vao!$B$13*(1+D742^2/1500))</f>
        <v>0.015</v>
      </c>
      <c r="J742" s="4">
        <f>Thiet_ke!$B$8*D742^2</f>
        <v>581.1150215740961</v>
      </c>
      <c r="K742" s="4">
        <f>Thiet_ke!$B$3*I742+J742</f>
        <v>1712.6985215740963</v>
      </c>
      <c r="L742" s="4">
        <f>(H742-J742)/Thiet_ke!$B$3</f>
        <v>0.07358607697203115</v>
      </c>
      <c r="M742" s="4">
        <f>1.05+0.05*B742^2</f>
        <v>1.1822875655532297</v>
      </c>
      <c r="N742" s="4">
        <f>(MIN(H742,Thiet_ke!$B$16)-K742)/(Thiet_ke!$B$2*M742)</f>
        <v>0.48611643380237335</v>
      </c>
      <c r="O742" s="4">
        <f>IF(N742&gt;0,1/N742,"")</f>
        <v>2.0571203326290792</v>
      </c>
    </row>
    <row r="743" spans="1:15">
      <c r="A743">
        <v>4</v>
      </c>
      <c r="B743" s="4">
        <f>Thiet_ke!$B$23</f>
        <v>1.6265765616977859</v>
      </c>
      <c r="C743" s="4">
        <f>Dau_vao!$B$21+(Dau_vao!$B$19-Dau_vao!$B$21)*138/200</f>
        <v>2042.0</v>
      </c>
      <c r="D743" s="4">
        <f>2*PI()*C743*Thiet_ke!$B$7/(60*Thiet_ke!$B$15*B743)</f>
        <v>14.157496888772052</v>
      </c>
      <c r="E743" s="4">
        <f>D743*3.6</f>
        <v>50.96698879957939</v>
      </c>
      <c r="F743" s="4">
        <f>Thiet_ke!$B$12*(Dau_vao!$B$22*(C743/Dau_vao!$B$19)+Dau_vao!$B$23*(C743/Dau_vao!$B$19)^2-Dau_vao!$B$24*(C743/Dau_vao!$B$19)^3)</f>
        <v>97.52800086187342</v>
      </c>
      <c r="G743" s="4">
        <f>60000*F743/(2*PI()*C743)</f>
        <v>456.08413595605634</v>
      </c>
      <c r="H743" s="4">
        <f>G743*Thiet_ke!$B$15*B743*Dau_vao!$B$10/Thiet_ke!$B$7</f>
        <v>6131.0217087814535</v>
      </c>
      <c r="I743" s="4">
        <f>IF(D743&lt;=Dau_vao!$B$14,Dau_vao!$B$13,Dau_vao!$B$13*(1+D743^2/1500))</f>
        <v>0.015</v>
      </c>
      <c r="J743" s="4">
        <f>Thiet_ke!$B$8*D743^2</f>
        <v>586.2715506051018</v>
      </c>
      <c r="K743" s="4">
        <f>Thiet_ke!$B$3*I743+J743</f>
        <v>1717.855050605102</v>
      </c>
      <c r="L743" s="4">
        <f>(H743-J743)/Thiet_ke!$B$3</f>
        <v>0.07349988080653816</v>
      </c>
      <c r="M743" s="4">
        <f>1.05+0.05*B743^2</f>
        <v>1.1822875655532297</v>
      </c>
      <c r="N743" s="4">
        <f>(MIN(H743,Thiet_ke!$B$16)-K743)/(Thiet_ke!$B$2*M743)</f>
        <v>0.48540122338477015</v>
      </c>
      <c r="O743" s="4">
        <f>IF(N743&gt;0,1/N743,"")</f>
        <v>2.060151379567734</v>
      </c>
    </row>
    <row r="744" spans="1:15">
      <c r="A744">
        <v>4</v>
      </c>
      <c r="B744" s="4">
        <f>Thiet_ke!$B$23</f>
        <v>1.6265765616977859</v>
      </c>
      <c r="C744" s="4">
        <f>Dau_vao!$B$21+(Dau_vao!$B$19-Dau_vao!$B$21)*139/200</f>
        <v>2051.0</v>
      </c>
      <c r="D744" s="4">
        <f>2*PI()*C744*Thiet_ke!$B$7/(60*Thiet_ke!$B$15*B744)</f>
        <v>14.219895258996807</v>
      </c>
      <c r="E744" s="4">
        <f>D744*3.6</f>
        <v>51.191622932388505</v>
      </c>
      <c r="F744" s="4">
        <f>Thiet_ke!$B$12*(Dau_vao!$B$22*(C744/Dau_vao!$B$19)+Dau_vao!$B$23*(C744/Dau_vao!$B$19)^2-Dau_vao!$B$24*(C744/Dau_vao!$B$19)^3)</f>
        <v>97.93413217259396</v>
      </c>
      <c r="G744" s="4">
        <f>60000*F744/(2*PI()*C744)</f>
        <v>455.9737074407611</v>
      </c>
      <c r="H744" s="4">
        <f>G744*Thiet_ke!$B$15*B744*Dau_vao!$B$10/Thiet_ke!$B$7</f>
        <v>6129.537246658858</v>
      </c>
      <c r="I744" s="4">
        <f>IF(D744&lt;=Dau_vao!$B$14,Dau_vao!$B$13,Dau_vao!$B$13*(1+D744^2/1500))</f>
        <v>0.015</v>
      </c>
      <c r="J744" s="4">
        <f>Thiet_ke!$B$8*D744^2</f>
        <v>591.4508569422567</v>
      </c>
      <c r="K744" s="4">
        <f>Thiet_ke!$B$3*I744+J744</f>
        <v>1723.0343569422569</v>
      </c>
      <c r="L744" s="4">
        <f>(H744-J744)/Thiet_ke!$B$3</f>
        <v>0.07341154748699412</v>
      </c>
      <c r="M744" s="4">
        <f>1.05+0.05*B744^2</f>
        <v>1.1822875655532297</v>
      </c>
      <c r="N744" s="4">
        <f>(MIN(H744,Thiet_ke!$B$16)-K744)/(Thiet_ke!$B$2*M744)</f>
        <v>0.4846682799876014</v>
      </c>
      <c r="O744" s="4">
        <f>IF(N744&gt;0,1/N744,"")</f>
        <v>2.063266859604638</v>
      </c>
    </row>
    <row r="745" spans="1:15">
      <c r="A745">
        <v>4</v>
      </c>
      <c r="B745" s="4">
        <f>Thiet_ke!$B$23</f>
        <v>1.6265765616977859</v>
      </c>
      <c r="C745" s="4">
        <f>Dau_vao!$B$21+(Dau_vao!$B$19-Dau_vao!$B$21)*140/200</f>
        <v>2060.0</v>
      </c>
      <c r="D745" s="4">
        <f>2*PI()*C745*Thiet_ke!$B$7/(60*Thiet_ke!$B$15*B745)</f>
        <v>14.28229362922156</v>
      </c>
      <c r="E745" s="4">
        <f>D745*3.6</f>
        <v>51.41625706519761</v>
      </c>
      <c r="F745" s="4">
        <f>Thiet_ke!$B$12*(Dau_vao!$B$22*(C745/Dau_vao!$B$19)+Dau_vao!$B$23*(C745/Dau_vao!$B$19)^2-Dau_vao!$B$24*(C745/Dau_vao!$B$19)^3)</f>
        <v>98.33783359541148</v>
      </c>
      <c r="G745" s="4">
        <f>60000*F745/(2*PI()*C745)</f>
        <v>455.8529798929511</v>
      </c>
      <c r="H745" s="4">
        <f>G745*Thiet_ke!$B$15*B745*Dau_vao!$B$10/Thiet_ke!$B$7</f>
        <v>6127.914337291665</v>
      </c>
      <c r="I745" s="4">
        <f>IF(D745&lt;=Dau_vao!$B$14,Dau_vao!$B$13,Dau_vao!$B$13*(1+D745^2/1500))</f>
        <v>0.015</v>
      </c>
      <c r="J745" s="4">
        <f>Thiet_ke!$B$8*D745^2</f>
        <v>596.6529405855606</v>
      </c>
      <c r="K745" s="4">
        <f>Thiet_ke!$B$3*I745+J745</f>
        <v>1728.2364405855608</v>
      </c>
      <c r="L745" s="4">
        <f>(H745-J745)/Thiet_ke!$B$3</f>
        <v>0.07332107701339897</v>
      </c>
      <c r="M745" s="4">
        <f>1.05+0.05*B745^2</f>
        <v>1.1822875655532297</v>
      </c>
      <c r="N745" s="4">
        <f>(MIN(H745,Thiet_ke!$B$16)-K745)/(Thiet_ke!$B$2*M745)</f>
        <v>0.48391760361086644</v>
      </c>
      <c r="O745" s="4">
        <f>IF(N745&gt;0,1/N745,"")</f>
        <v>2.0664674988846485</v>
      </c>
    </row>
    <row r="746" spans="1:15">
      <c r="A746">
        <v>4</v>
      </c>
      <c r="B746" s="4">
        <f>Thiet_ke!$B$23</f>
        <v>1.6265765616977859</v>
      </c>
      <c r="C746" s="4">
        <f>Dau_vao!$B$21+(Dau_vao!$B$19-Dau_vao!$B$21)*141/200</f>
        <v>2069.0</v>
      </c>
      <c r="D746" s="4">
        <f>2*PI()*C746*Thiet_ke!$B$7/(60*Thiet_ke!$B$15*B746)</f>
        <v>14.344691999446312</v>
      </c>
      <c r="E746" s="4">
        <f>D746*3.6</f>
        <v>51.64089119800672</v>
      </c>
      <c r="F746" s="4">
        <f>Thiet_ke!$B$12*(Dau_vao!$B$22*(C746/Dau_vao!$B$19)+Dau_vao!$B$23*(C746/Dau_vao!$B$19)^2-Dau_vao!$B$24*(C746/Dau_vao!$B$19)^3)</f>
        <v>98.7390760104976</v>
      </c>
      <c r="G746" s="4">
        <f>60000*F746/(2*PI()*C746)</f>
        <v>455.7219533126266</v>
      </c>
      <c r="H746" s="4">
        <f>G746*Thiet_ke!$B$15*B746*Dau_vao!$B$10/Thiet_ke!$B$7</f>
        <v>6126.152980679879</v>
      </c>
      <c r="I746" s="4">
        <f>IF(D746&lt;=Dau_vao!$B$14,Dau_vao!$B$13,Dau_vao!$B$13*(1+D746^2/1500))</f>
        <v>0.015</v>
      </c>
      <c r="J746" s="4">
        <f>Thiet_ke!$B$8*D746^2</f>
        <v>601.8778015350136</v>
      </c>
      <c r="K746" s="4">
        <f>Thiet_ke!$B$3*I746+J746</f>
        <v>1733.4613015350137</v>
      </c>
      <c r="L746" s="4">
        <f>(H746-J746)/Thiet_ke!$B$3</f>
        <v>0.07322846938575277</v>
      </c>
      <c r="M746" s="4">
        <f>1.05+0.05*B746^2</f>
        <v>1.1822875655532297</v>
      </c>
      <c r="N746" s="4">
        <f>(MIN(H746,Thiet_ke!$B$16)-K746)/(Thiet_ke!$B$2*M746)</f>
        <v>0.4831491942545656</v>
      </c>
      <c r="O746" s="4">
        <f>IF(N746&gt;0,1/N746,"")</f>
        <v>2.0697540467657527</v>
      </c>
    </row>
    <row r="747" spans="1:15">
      <c r="A747">
        <v>4</v>
      </c>
      <c r="B747" s="4">
        <f>Thiet_ke!$B$23</f>
        <v>1.6265765616977859</v>
      </c>
      <c r="C747" s="4">
        <f>Dau_vao!$B$21+(Dau_vao!$B$19-Dau_vao!$B$21)*142/200</f>
        <v>2078.0</v>
      </c>
      <c r="D747" s="4">
        <f>2*PI()*C747*Thiet_ke!$B$7/(60*Thiet_ke!$B$15*B747)</f>
        <v>14.407090369671067</v>
      </c>
      <c r="E747" s="4">
        <f>D747*3.6</f>
        <v>51.86552533081584</v>
      </c>
      <c r="F747" s="4">
        <f>Thiet_ke!$B$12*(Dau_vao!$B$22*(C747/Dau_vao!$B$19)+Dau_vao!$B$23*(C747/Dau_vao!$B$19)^2-Dau_vao!$B$24*(C747/Dau_vao!$B$19)^3)</f>
        <v>99.13783029802386</v>
      </c>
      <c r="G747" s="4">
        <f>60000*F747/(2*PI()*C747)</f>
        <v>455.58062769978727</v>
      </c>
      <c r="H747" s="4">
        <f>G747*Thiet_ke!$B$15*B747*Dau_vao!$B$10/Thiet_ke!$B$7</f>
        <v>6124.2531768234985</v>
      </c>
      <c r="I747" s="4">
        <f>IF(D747&lt;=Dau_vao!$B$14,Dau_vao!$B$13,Dau_vao!$B$13*(1+D747^2/1500))</f>
        <v>0.015</v>
      </c>
      <c r="J747" s="4">
        <f>Thiet_ke!$B$8*D747^2</f>
        <v>607.1254397906163</v>
      </c>
      <c r="K747" s="4">
        <f>Thiet_ke!$B$3*I747+J747</f>
        <v>1738.7089397906166</v>
      </c>
      <c r="L747" s="4">
        <f>(H747-J747)/Thiet_ke!$B$3</f>
        <v>0.0731337246040555</v>
      </c>
      <c r="M747" s="4">
        <f>1.05+0.05*B747^2</f>
        <v>1.1822875655532297</v>
      </c>
      <c r="N747" s="4">
        <f>(MIN(H747,Thiet_ke!$B$16)-K747)/(Thiet_ke!$B$2*M747)</f>
        <v>0.4823630519186987</v>
      </c>
      <c r="O747" s="4">
        <f>IF(N747&gt;0,1/N747,"")</f>
        <v>2.0731272762751902</v>
      </c>
    </row>
    <row r="748" spans="1:15">
      <c r="A748">
        <v>4</v>
      </c>
      <c r="B748" s="4">
        <f>Thiet_ke!$B$23</f>
        <v>1.6265765616977859</v>
      </c>
      <c r="C748" s="4">
        <f>Dau_vao!$B$21+(Dau_vao!$B$19-Dau_vao!$B$21)*143/200</f>
        <v>2087.0</v>
      </c>
      <c r="D748" s="4">
        <f>2*PI()*C748*Thiet_ke!$B$7/(60*Thiet_ke!$B$15*B748)</f>
        <v>14.469488739895823</v>
      </c>
      <c r="E748" s="4">
        <f>D748*3.6</f>
        <v>52.090159463624964</v>
      </c>
      <c r="F748" s="4">
        <f>Thiet_ke!$B$12*(Dau_vao!$B$22*(C748/Dau_vao!$B$19)+Dau_vao!$B$23*(C748/Dau_vao!$B$19)^2-Dau_vao!$B$24*(C748/Dau_vao!$B$19)^3)</f>
        <v>99.53406733816198</v>
      </c>
      <c r="G748" s="4">
        <f>60000*F748/(2*PI()*C748)</f>
        <v>455.42900305443357</v>
      </c>
      <c r="H748" s="4">
        <f>G748*Thiet_ke!$B$15*B748*Dau_vao!$B$10/Thiet_ke!$B$7</f>
        <v>6122.214925722521</v>
      </c>
      <c r="I748" s="4">
        <f>IF(D748&lt;=Dau_vao!$B$14,Dau_vao!$B$13,Dau_vao!$B$13*(1+D748^2/1500))</f>
        <v>0.015</v>
      </c>
      <c r="J748" s="4">
        <f>Thiet_ke!$B$8*D748^2</f>
        <v>612.3958553523682</v>
      </c>
      <c r="K748" s="4">
        <f>Thiet_ke!$B$3*I748+J748</f>
        <v>1743.9793553523684</v>
      </c>
      <c r="L748" s="4">
        <f>(H748-J748)/Thiet_ke!$B$3</f>
        <v>0.0730368426683071</v>
      </c>
      <c r="M748" s="4">
        <f>1.05+0.05*B748^2</f>
        <v>1.1822875655532297</v>
      </c>
      <c r="N748" s="4">
        <f>(MIN(H748,Thiet_ke!$B$16)-K748)/(Thiet_ke!$B$2*M748)</f>
        <v>0.4815591766032656</v>
      </c>
      <c r="O748" s="4">
        <f>IF(N748&gt;0,1/N748,"")</f>
        <v>2.07658798458295</v>
      </c>
    </row>
    <row r="749" spans="1:15">
      <c r="A749">
        <v>4</v>
      </c>
      <c r="B749" s="4">
        <f>Thiet_ke!$B$23</f>
        <v>1.6265765616977859</v>
      </c>
      <c r="C749" s="4">
        <f>Dau_vao!$B$21+(Dau_vao!$B$19-Dau_vao!$B$21)*144/200</f>
        <v>2096.0</v>
      </c>
      <c r="D749" s="4">
        <f>2*PI()*C749*Thiet_ke!$B$7/(60*Thiet_ke!$B$15*B749)</f>
        <v>14.531887110120579</v>
      </c>
      <c r="E749" s="4">
        <f>D749*3.6</f>
        <v>52.314793596434086</v>
      </c>
      <c r="F749" s="4">
        <f>Thiet_ke!$B$12*(Dau_vao!$B$22*(C749/Dau_vao!$B$19)+Dau_vao!$B$23*(C749/Dau_vao!$B$19)^2-Dau_vao!$B$24*(C749/Dau_vao!$B$19)^3)</f>
        <v>99.92775801108345</v>
      </c>
      <c r="G749" s="4">
        <f>60000*F749/(2*PI()*C749)</f>
        <v>455.26707937656516</v>
      </c>
      <c r="H749" s="4">
        <f>G749*Thiet_ke!$B$15*B749*Dau_vao!$B$10/Thiet_ke!$B$7</f>
        <v>6120.03822737695</v>
      </c>
      <c r="I749" s="4">
        <f>IF(D749&lt;=Dau_vao!$B$14,Dau_vao!$B$13,Dau_vao!$B$13*(1+D749^2/1500))</f>
        <v>0.015</v>
      </c>
      <c r="J749" s="4">
        <f>Thiet_ke!$B$8*D749^2</f>
        <v>617.6890482202693</v>
      </c>
      <c r="K749" s="4">
        <f>Thiet_ke!$B$3*I749+J749</f>
        <v>1749.2725482202695</v>
      </c>
      <c r="L749" s="4">
        <f>(H749-J749)/Thiet_ke!$B$3</f>
        <v>0.07293782357850764</v>
      </c>
      <c r="M749" s="4">
        <f>1.05+0.05*B749^2</f>
        <v>1.1822875655532297</v>
      </c>
      <c r="N749" s="4">
        <f>(MIN(H749,Thiet_ke!$B$16)-K749)/(Thiet_ke!$B$2*M749)</f>
        <v>0.4807375683082667</v>
      </c>
      <c r="O749" s="4">
        <f>IF(N749&gt;0,1/N749,"")</f>
        <v>2.0801369934932215</v>
      </c>
    </row>
    <row r="750" spans="1:15">
      <c r="A750">
        <v>4</v>
      </c>
      <c r="B750" s="4">
        <f>Thiet_ke!$B$23</f>
        <v>1.6265765616977859</v>
      </c>
      <c r="C750" s="4">
        <f>Dau_vao!$B$21+(Dau_vao!$B$19-Dau_vao!$B$21)*145/200</f>
        <v>2105.0</v>
      </c>
      <c r="D750" s="4">
        <f>2*PI()*C750*Thiet_ke!$B$7/(60*Thiet_ke!$B$15*B750)</f>
        <v>14.59428548034533</v>
      </c>
      <c r="E750" s="4">
        <f>D750*3.6</f>
        <v>52.539427729243194</v>
      </c>
      <c r="F750" s="4">
        <f>Thiet_ke!$B$12*(Dau_vao!$B$22*(C750/Dau_vao!$B$19)+Dau_vao!$B$23*(C750/Dau_vao!$B$19)^2-Dau_vao!$B$24*(C750/Dau_vao!$B$19)^3)</f>
        <v>100.31887319695994</v>
      </c>
      <c r="G750" s="4">
        <f>60000*F750/(2*PI()*C750)</f>
        <v>455.0948566661822</v>
      </c>
      <c r="H750" s="4">
        <f>G750*Thiet_ke!$B$15*B750*Dau_vao!$B$10/Thiet_ke!$B$7</f>
        <v>6117.723081786782</v>
      </c>
      <c r="I750" s="4">
        <f>IF(D750&lt;=Dau_vao!$B$14,Dau_vao!$B$13,Dau_vao!$B$13*(1+D750^2/1500))</f>
        <v>0.015</v>
      </c>
      <c r="J750" s="4">
        <f>Thiet_ke!$B$8*D750^2</f>
        <v>623.0050183943192</v>
      </c>
      <c r="K750" s="4">
        <f>Thiet_ke!$B$3*I750+J750</f>
        <v>1754.5885183943194</v>
      </c>
      <c r="L750" s="4">
        <f>(H750-J750)/Thiet_ke!$B$3</f>
        <v>0.07283666733465709</v>
      </c>
      <c r="M750" s="4">
        <f>1.05+0.05*B750^2</f>
        <v>1.1822875655532297</v>
      </c>
      <c r="N750" s="4">
        <f>(MIN(H750,Thiet_ke!$B$16)-K750)/(Thiet_ke!$B$2*M750)</f>
        <v>0.47989822703370155</v>
      </c>
      <c r="O750" s="4">
        <f>IF(N750&gt;0,1/N750,"")</f>
        <v>2.0837751499543957</v>
      </c>
    </row>
    <row r="751" spans="1:15">
      <c r="A751">
        <v>4</v>
      </c>
      <c r="B751" s="4">
        <f>Thiet_ke!$B$23</f>
        <v>1.6265765616977859</v>
      </c>
      <c r="C751" s="4">
        <f>Dau_vao!$B$21+(Dau_vao!$B$19-Dau_vao!$B$21)*146/200</f>
        <v>2114.0</v>
      </c>
      <c r="D751" s="4">
        <f>2*PI()*C751*Thiet_ke!$B$7/(60*Thiet_ke!$B$15*B751)</f>
        <v>14.656683850570086</v>
      </c>
      <c r="E751" s="4">
        <f>D751*3.6</f>
        <v>52.764061862052316</v>
      </c>
      <c r="F751" s="4">
        <f>Thiet_ke!$B$12*(Dau_vao!$B$22*(C751/Dau_vao!$B$19)+Dau_vao!$B$23*(C751/Dau_vao!$B$19)^2-Dau_vao!$B$24*(C751/Dau_vao!$B$19)^3)</f>
        <v>100.70738377596304</v>
      </c>
      <c r="G751" s="4">
        <f>60000*F751/(2*PI()*C751)</f>
        <v>454.9123349232846</v>
      </c>
      <c r="H751" s="4">
        <f>G751*Thiet_ke!$B$15*B751*Dau_vao!$B$10/Thiet_ke!$B$7</f>
        <v>6115.2694889520235</v>
      </c>
      <c r="I751" s="4">
        <f>IF(D751&lt;=Dau_vao!$B$14,Dau_vao!$B$13,Dau_vao!$B$13*(1+D751^2/1500))</f>
        <v>0.015</v>
      </c>
      <c r="J751" s="4">
        <f>Thiet_ke!$B$8*D751^2</f>
        <v>628.3437658745188</v>
      </c>
      <c r="K751" s="4">
        <f>Thiet_ke!$B$3*I751+J751</f>
        <v>1759.927265874519</v>
      </c>
      <c r="L751" s="4">
        <f>(H751-J751)/Thiet_ke!$B$3</f>
        <v>0.0727333739367555</v>
      </c>
      <c r="M751" s="4">
        <f>1.05+0.05*B751^2</f>
        <v>1.1822875655532297</v>
      </c>
      <c r="N751" s="4">
        <f>(MIN(H751,Thiet_ke!$B$16)-K751)/(Thiet_ke!$B$2*M751)</f>
        <v>0.4790411527795708</v>
      </c>
      <c r="O751" s="4">
        <f>IF(N751&gt;0,1/N751,"")</f>
        <v>2.0875033265881995</v>
      </c>
    </row>
    <row r="752" spans="1:15">
      <c r="A752">
        <v>4</v>
      </c>
      <c r="B752" s="4">
        <f>Thiet_ke!$B$23</f>
        <v>1.6265765616977859</v>
      </c>
      <c r="C752" s="4">
        <f>Dau_vao!$B$21+(Dau_vao!$B$19-Dau_vao!$B$21)*147/200</f>
        <v>2123.0</v>
      </c>
      <c r="D752" s="4">
        <f>2*PI()*C752*Thiet_ke!$B$7/(60*Thiet_ke!$B$15*B752)</f>
        <v>14.719082220794842</v>
      </c>
      <c r="E752" s="4">
        <f>D752*3.6</f>
        <v>52.98869599486143</v>
      </c>
      <c r="F752" s="4">
        <f>Thiet_ke!$B$12*(Dau_vao!$B$22*(C752/Dau_vao!$B$19)+Dau_vao!$B$23*(C752/Dau_vao!$B$19)^2-Dau_vao!$B$24*(C752/Dau_vao!$B$19)^3)</f>
        <v>101.09326062826435</v>
      </c>
      <c r="G752" s="4">
        <f>60000*F752/(2*PI()*C752)</f>
        <v>454.71951414787253</v>
      </c>
      <c r="H752" s="4">
        <f>G752*Thiet_ke!$B$15*B752*Dau_vao!$B$10/Thiet_ke!$B$7</f>
        <v>6112.677448872669</v>
      </c>
      <c r="I752" s="4">
        <f>IF(D752&lt;=Dau_vao!$B$14,Dau_vao!$B$13,Dau_vao!$B$13*(1+D752^2/1500))</f>
        <v>0.015</v>
      </c>
      <c r="J752" s="4">
        <f>Thiet_ke!$B$8*D752^2</f>
        <v>633.7052906608676</v>
      </c>
      <c r="K752" s="4">
        <f>Thiet_ke!$B$3*I752+J752</f>
        <v>1765.2887906608678</v>
      </c>
      <c r="L752" s="4">
        <f>(H752-J752)/Thiet_ke!$B$3</f>
        <v>0.0726279433848028</v>
      </c>
      <c r="M752" s="4">
        <f>1.05+0.05*B752^2</f>
        <v>1.1822875655532297</v>
      </c>
      <c r="N752" s="4">
        <f>(MIN(H752,Thiet_ke!$B$16)-K752)/(Thiet_ke!$B$2*M752)</f>
        <v>0.4781663455458739</v>
      </c>
      <c r="O752" s="4">
        <f>IF(N752&gt;0,1/N752,"")</f>
        <v>2.0913224222386493</v>
      </c>
    </row>
    <row r="753" spans="1:15">
      <c r="A753">
        <v>4</v>
      </c>
      <c r="B753" s="4">
        <f>Thiet_ke!$B$23</f>
        <v>1.6265765616977859</v>
      </c>
      <c r="C753" s="4">
        <f>Dau_vao!$B$21+(Dau_vao!$B$19-Dau_vao!$B$21)*148/200</f>
        <v>2132.0</v>
      </c>
      <c r="D753" s="4">
        <f>2*PI()*C753*Thiet_ke!$B$7/(60*Thiet_ke!$B$15*B753)</f>
        <v>14.781480591019594</v>
      </c>
      <c r="E753" s="4">
        <f>D753*3.6</f>
        <v>53.21333012767054</v>
      </c>
      <c r="F753" s="4">
        <f>Thiet_ke!$B$12*(Dau_vao!$B$22*(C753/Dau_vao!$B$19)+Dau_vao!$B$23*(C753/Dau_vao!$B$19)^2-Dau_vao!$B$24*(C753/Dau_vao!$B$19)^3)</f>
        <v>101.47647463403544</v>
      </c>
      <c r="G753" s="4">
        <f>60000*F753/(2*PI()*C753)</f>
        <v>454.51639433994575</v>
      </c>
      <c r="H753" s="4">
        <f>G753*Thiet_ke!$B$15*B753*Dau_vao!$B$10/Thiet_ke!$B$7</f>
        <v>6109.94696154872</v>
      </c>
      <c r="I753" s="4">
        <f>IF(D753&lt;=Dau_vao!$B$14,Dau_vao!$B$13,Dau_vao!$B$13*(1+D753^2/1500))</f>
        <v>0.015</v>
      </c>
      <c r="J753" s="4">
        <f>Thiet_ke!$B$8*D753^2</f>
        <v>639.0895927533653</v>
      </c>
      <c r="K753" s="4">
        <f>Thiet_ke!$B$3*I753+J753</f>
        <v>1770.6730927533654</v>
      </c>
      <c r="L753" s="4">
        <f>(H753-J753)/Thiet_ke!$B$3</f>
        <v>0.07252037567879904</v>
      </c>
      <c r="M753" s="4">
        <f>1.05+0.05*B753^2</f>
        <v>1.1822875655532297</v>
      </c>
      <c r="N753" s="4">
        <f>(MIN(H753,Thiet_ke!$B$16)-K753)/(Thiet_ke!$B$2*M753)</f>
        <v>0.47727380533261105</v>
      </c>
      <c r="O753" s="4">
        <f>IF(N753&gt;0,1/N753,"")</f>
        <v>2.0952333625414497</v>
      </c>
    </row>
    <row r="754" spans="1:15">
      <c r="A754">
        <v>4</v>
      </c>
      <c r="B754" s="4">
        <f>Thiet_ke!$B$23</f>
        <v>1.6265765616977859</v>
      </c>
      <c r="C754" s="4">
        <f>Dau_vao!$B$21+(Dau_vao!$B$19-Dau_vao!$B$21)*149/200</f>
        <v>2141.0</v>
      </c>
      <c r="D754" s="4">
        <f>2*PI()*C754*Thiet_ke!$B$7/(60*Thiet_ke!$B$15*B754)</f>
        <v>14.84387896124435</v>
      </c>
      <c r="E754" s="4">
        <f>D754*3.6</f>
        <v>53.43796426047966</v>
      </c>
      <c r="F754" s="4">
        <f>Thiet_ke!$B$12*(Dau_vao!$B$22*(C754/Dau_vao!$B$19)+Dau_vao!$B$23*(C754/Dau_vao!$B$19)^2-Dau_vao!$B$24*(C754/Dau_vao!$B$19)^3)</f>
        <v>101.85699667344795</v>
      </c>
      <c r="G754" s="4">
        <f>60000*F754/(2*PI()*C754)</f>
        <v>454.30297549950444</v>
      </c>
      <c r="H754" s="4">
        <f>G754*Thiet_ke!$B$15*B754*Dau_vao!$B$10/Thiet_ke!$B$7</f>
        <v>6107.078026980175</v>
      </c>
      <c r="I754" s="4">
        <f>IF(D754&lt;=Dau_vao!$B$14,Dau_vao!$B$13,Dau_vao!$B$13*(1+D754^2/1500))</f>
        <v>0.015</v>
      </c>
      <c r="J754" s="4">
        <f>Thiet_ke!$B$8*D754^2</f>
        <v>644.4966721520126</v>
      </c>
      <c r="K754" s="4">
        <f>Thiet_ke!$B$3*I754+J754</f>
        <v>1776.080172152013</v>
      </c>
      <c r="L754" s="4">
        <f>(H754-J754)/Thiet_ke!$B$3</f>
        <v>0.07241067081874421</v>
      </c>
      <c r="M754" s="4">
        <f>1.05+0.05*B754^2</f>
        <v>1.1822875655532297</v>
      </c>
      <c r="N754" s="4">
        <f>(MIN(H754,Thiet_ke!$B$16)-K754)/(Thiet_ke!$B$2*M754)</f>
        <v>0.47636353213978216</v>
      </c>
      <c r="O754" s="4">
        <f>IF(N754&gt;0,1/N754,"")</f>
        <v>2.0992371005145793</v>
      </c>
    </row>
    <row r="755" spans="1:15">
      <c r="A755">
        <v>4</v>
      </c>
      <c r="B755" s="4">
        <f>Thiet_ke!$B$23</f>
        <v>1.6265765616977859</v>
      </c>
      <c r="C755" s="4">
        <f>Dau_vao!$B$21+(Dau_vao!$B$19-Dau_vao!$B$21)*150/200</f>
        <v>2150.0</v>
      </c>
      <c r="D755" s="4">
        <f>2*PI()*C755*Thiet_ke!$B$7/(60*Thiet_ke!$B$15*B755)</f>
        <v>14.906277331469106</v>
      </c>
      <c r="E755" s="4">
        <f>D755*3.6</f>
        <v>53.66259839328878</v>
      </c>
      <c r="F755" s="4">
        <f>Thiet_ke!$B$12*(Dau_vao!$B$22*(C755/Dau_vao!$B$19)+Dau_vao!$B$23*(C755/Dau_vao!$B$19)^2-Dau_vao!$B$24*(C755/Dau_vao!$B$19)^3)</f>
        <v>102.23479762667348</v>
      </c>
      <c r="G755" s="4">
        <f>60000*F755/(2*PI()*C755)</f>
        <v>454.0792576265485</v>
      </c>
      <c r="H755" s="4">
        <f>G755*Thiet_ke!$B$15*B755*Dau_vao!$B$10/Thiet_ke!$B$7</f>
        <v>6104.070645167036</v>
      </c>
      <c r="I755" s="4">
        <f>IF(D755&lt;=Dau_vao!$B$14,Dau_vao!$B$13,Dau_vao!$B$13*(1+D755^2/1500))</f>
        <v>0.015</v>
      </c>
      <c r="J755" s="4">
        <f>Thiet_ke!$B$8*D755^2</f>
        <v>649.926528856809</v>
      </c>
      <c r="K755" s="4">
        <f>Thiet_ke!$B$3*I755+J755</f>
        <v>1781.5100288568092</v>
      </c>
      <c r="L755" s="4">
        <f>(H755-J755)/Thiet_ke!$B$3</f>
        <v>0.07229882880463827</v>
      </c>
      <c r="M755" s="4">
        <f>1.05+0.05*B755^2</f>
        <v>1.1822875655532297</v>
      </c>
      <c r="N755" s="4">
        <f>(MIN(H755,Thiet_ke!$B$16)-K755)/(Thiet_ke!$B$2*M755)</f>
        <v>0.4754355259673872</v>
      </c>
      <c r="O755" s="4">
        <f>IF(N755&gt;0,1/N755,"")</f>
        <v>2.1033346171707743</v>
      </c>
    </row>
    <row r="756" spans="1:15">
      <c r="A756">
        <v>4</v>
      </c>
      <c r="B756" s="4">
        <f>Thiet_ke!$B$23</f>
        <v>1.6265765616977859</v>
      </c>
      <c r="C756" s="4">
        <f>Dau_vao!$B$21+(Dau_vao!$B$19-Dau_vao!$B$21)*151/200</f>
        <v>2159.0</v>
      </c>
      <c r="D756" s="4">
        <f>2*PI()*C756*Thiet_ke!$B$7/(60*Thiet_ke!$B$15*B756)</f>
        <v>14.968675701693858</v>
      </c>
      <c r="E756" s="4">
        <f>D756*3.6</f>
        <v>53.88723252609789</v>
      </c>
      <c r="F756" s="4">
        <f>Thiet_ke!$B$12*(Dau_vao!$B$22*(C756/Dau_vao!$B$19)+Dau_vao!$B$23*(C756/Dau_vao!$B$19)^2-Dau_vao!$B$24*(C756/Dau_vao!$B$19)^3)</f>
        <v>102.60984837388361</v>
      </c>
      <c r="G756" s="4">
        <f>60000*F756/(2*PI()*C756)</f>
        <v>453.84524072107797</v>
      </c>
      <c r="H756" s="4">
        <f>G756*Thiet_ke!$B$15*B756*Dau_vao!$B$10/Thiet_ke!$B$7</f>
        <v>6100.924816109304</v>
      </c>
      <c r="I756" s="4">
        <f>IF(D756&lt;=Dau_vao!$B$14,Dau_vao!$B$13,Dau_vao!$B$13*(1+D756^2/1500))</f>
        <v>0.015</v>
      </c>
      <c r="J756" s="4">
        <f>Thiet_ke!$B$8*D756^2</f>
        <v>655.3791628677544</v>
      </c>
      <c r="K756" s="4">
        <f>Thiet_ke!$B$3*I756+J756</f>
        <v>1786.9626628677547</v>
      </c>
      <c r="L756" s="4">
        <f>(H756-J756)/Thiet_ke!$B$3</f>
        <v>0.0721848496364813</v>
      </c>
      <c r="M756" s="4">
        <f>1.05+0.05*B756^2</f>
        <v>1.1822875655532297</v>
      </c>
      <c r="N756" s="4">
        <f>(MIN(H756,Thiet_ke!$B$16)-K756)/(Thiet_ke!$B$2*M756)</f>
        <v>0.4744897868154266</v>
      </c>
      <c r="O756" s="4">
        <f>IF(N756&gt;0,1/N756,"")</f>
        <v>2.1075269221526858</v>
      </c>
    </row>
    <row r="757" spans="1:15">
      <c r="A757">
        <v>4</v>
      </c>
      <c r="B757" s="4">
        <f>Thiet_ke!$B$23</f>
        <v>1.6265765616977859</v>
      </c>
      <c r="C757" s="4">
        <f>Dau_vao!$B$21+(Dau_vao!$B$19-Dau_vao!$B$21)*152/200</f>
        <v>2168.0</v>
      </c>
      <c r="D757" s="4">
        <f>2*PI()*C757*Thiet_ke!$B$7/(60*Thiet_ke!$B$15*B757)</f>
        <v>15.031074071918614</v>
      </c>
      <c r="E757" s="4">
        <f>D757*3.6</f>
        <v>54.11186665890701</v>
      </c>
      <c r="F757" s="4">
        <f>Thiet_ke!$B$12*(Dau_vao!$B$22*(C757/Dau_vao!$B$19)+Dau_vao!$B$23*(C757/Dau_vao!$B$19)^2-Dau_vao!$B$24*(C757/Dau_vao!$B$19)^3)</f>
        <v>102.98211979524993</v>
      </c>
      <c r="G757" s="4">
        <f>60000*F757/(2*PI()*C757)</f>
        <v>453.6009247830928</v>
      </c>
      <c r="H757" s="4">
        <f>G757*Thiet_ke!$B$15*B757*Dau_vao!$B$10/Thiet_ke!$B$7</f>
        <v>6097.640539806974</v>
      </c>
      <c r="I757" s="4">
        <f>IF(D757&lt;=Dau_vao!$B$14,Dau_vao!$B$13,Dau_vao!$B$13*(1+D757^2/1500))</f>
        <v>0.015</v>
      </c>
      <c r="J757" s="4">
        <f>Thiet_ke!$B$8*D757^2</f>
        <v>660.8545741848493</v>
      </c>
      <c r="K757" s="4">
        <f>Thiet_ke!$B$3*I757+J757</f>
        <v>1792.4380741848495</v>
      </c>
      <c r="L757" s="4">
        <f>(H757-J757)/Thiet_ke!$B$3</f>
        <v>0.07206873331427319</v>
      </c>
      <c r="M757" s="4">
        <f>1.05+0.05*B757^2</f>
        <v>1.1822875655532297</v>
      </c>
      <c r="N757" s="4">
        <f>(MIN(H757,Thiet_ke!$B$16)-K757)/(Thiet_ke!$B$2*M757)</f>
        <v>0.47352631468389944</v>
      </c>
      <c r="O757" s="4">
        <f>IF(N757&gt;0,1/N757,"")</f>
        <v>2.1118150543915304</v>
      </c>
    </row>
    <row r="758" spans="1:15">
      <c r="A758">
        <v>4</v>
      </c>
      <c r="B758" s="4">
        <f>Thiet_ke!$B$23</f>
        <v>1.6265765616977859</v>
      </c>
      <c r="C758" s="4">
        <f>Dau_vao!$B$21+(Dau_vao!$B$19-Dau_vao!$B$21)*153/200</f>
        <v>2177.0</v>
      </c>
      <c r="D758" s="4">
        <f>2*PI()*C758*Thiet_ke!$B$7/(60*Thiet_ke!$B$15*B758)</f>
        <v>15.093472442143366</v>
      </c>
      <c r="E758" s="4">
        <f>D758*3.6</f>
        <v>54.33650079171612</v>
      </c>
      <c r="F758" s="4">
        <f>Thiet_ke!$B$12*(Dau_vao!$B$22*(C758/Dau_vao!$B$19)+Dau_vao!$B$23*(C758/Dau_vao!$B$19)^2-Dau_vao!$B$24*(C758/Dau_vao!$B$19)^3)</f>
        <v>103.35158277094412</v>
      </c>
      <c r="G758" s="4">
        <f>60000*F758/(2*PI()*C758)</f>
        <v>453.3463098125932</v>
      </c>
      <c r="H758" s="4">
        <f>G758*Thiet_ke!$B$15*B758*Dau_vao!$B$10/Thiet_ke!$B$7</f>
        <v>6094.217816260054</v>
      </c>
      <c r="I758" s="4">
        <f>IF(D758&lt;=Dau_vao!$B$14,Dau_vao!$B$13,Dau_vao!$B$13*(1+D758^2/1500))</f>
        <v>0.015</v>
      </c>
      <c r="J758" s="4">
        <f>Thiet_ke!$B$8*D758^2</f>
        <v>666.3527628080931</v>
      </c>
      <c r="K758" s="4">
        <f>Thiet_ke!$B$3*I758+J758</f>
        <v>1797.9362628080933</v>
      </c>
      <c r="L758" s="4">
        <f>(H758-J758)/Thiet_ke!$B$3</f>
        <v>0.07195047983801409</v>
      </c>
      <c r="M758" s="4">
        <f>1.05+0.05*B758^2</f>
        <v>1.1822875655532297</v>
      </c>
      <c r="N758" s="4">
        <f>(MIN(H758,Thiet_ke!$B$16)-K758)/(Thiet_ke!$B$2*M758)</f>
        <v>0.472545109572807</v>
      </c>
      <c r="O758" s="4">
        <f>IF(N758&gt;0,1/N758,"")</f>
        <v>2.1162000827900345</v>
      </c>
    </row>
    <row r="759" spans="1:15">
      <c r="A759">
        <v>4</v>
      </c>
      <c r="B759" s="4">
        <f>Thiet_ke!$B$23</f>
        <v>1.6265765616977859</v>
      </c>
      <c r="C759" s="4">
        <f>Dau_vao!$B$21+(Dau_vao!$B$19-Dau_vao!$B$21)*154/200</f>
        <v>2186.0</v>
      </c>
      <c r="D759" s="4">
        <f>2*PI()*C759*Thiet_ke!$B$7/(60*Thiet_ke!$B$15*B759)</f>
        <v>15.155870812368121</v>
      </c>
      <c r="E759" s="4">
        <f>D759*3.6</f>
        <v>54.56113492452524</v>
      </c>
      <c r="F759" s="4">
        <f>Thiet_ke!$B$12*(Dau_vao!$B$22*(C759/Dau_vao!$B$19)+Dau_vao!$B$23*(C759/Dau_vao!$B$19)^2-Dau_vao!$B$24*(C759/Dau_vao!$B$19)^3)</f>
        <v>103.71820818113765</v>
      </c>
      <c r="G759" s="4">
        <f>60000*F759/(2*PI()*C759)</f>
        <v>453.08139580957874</v>
      </c>
      <c r="H759" s="4">
        <f>G759*Thiet_ke!$B$15*B759*Dau_vao!$B$10/Thiet_ke!$B$7</f>
        <v>6090.656645468536</v>
      </c>
      <c r="I759" s="4">
        <f>IF(D759&lt;=Dau_vao!$B$14,Dau_vao!$B$13,Dau_vao!$B$13*(1+D759^2/1500))</f>
        <v>0.015</v>
      </c>
      <c r="J759" s="4">
        <f>Thiet_ke!$B$8*D759^2</f>
        <v>671.8737287374864</v>
      </c>
      <c r="K759" s="4">
        <f>Thiet_ke!$B$3*I759+J759</f>
        <v>1803.4572287374867</v>
      </c>
      <c r="L759" s="4">
        <f>(H759-J759)/Thiet_ke!$B$3</f>
        <v>0.07183008920770384</v>
      </c>
      <c r="M759" s="4">
        <f>1.05+0.05*B759^2</f>
        <v>1.1822875655532297</v>
      </c>
      <c r="N759" s="4">
        <f>(MIN(H759,Thiet_ke!$B$16)-K759)/(Thiet_ke!$B$2*M759)</f>
        <v>0.47154617148214817</v>
      </c>
      <c r="O759" s="4">
        <f>IF(N759&gt;0,1/N759,"")</f>
        <v>2.1206831069306182</v>
      </c>
    </row>
    <row r="760" spans="1:15">
      <c r="A760">
        <v>4</v>
      </c>
      <c r="B760" s="4">
        <f>Thiet_ke!$B$23</f>
        <v>1.6265765616977859</v>
      </c>
      <c r="C760" s="4">
        <f>Dau_vao!$B$21+(Dau_vao!$B$19-Dau_vao!$B$21)*155/200</f>
        <v>2195.0</v>
      </c>
      <c r="D760" s="4">
        <f>2*PI()*C760*Thiet_ke!$B$7/(60*Thiet_ke!$B$15*B760)</f>
        <v>15.218269182592877</v>
      </c>
      <c r="E760" s="4">
        <f>D760*3.6</f>
        <v>54.785769057334356</v>
      </c>
      <c r="F760" s="4">
        <f>Thiet_ke!$B$12*(Dau_vao!$B$22*(C760/Dau_vao!$B$19)+Dau_vao!$B$23*(C760/Dau_vao!$B$19)^2-Dau_vao!$B$24*(C760/Dau_vao!$B$19)^3)</f>
        <v>104.08196690600225</v>
      </c>
      <c r="G760" s="4">
        <f>60000*F760/(2*PI()*C760)</f>
        <v>452.80618277404983</v>
      </c>
      <c r="H760" s="4">
        <f>G760*Thiet_ke!$B$15*B760*Dau_vao!$B$10/Thiet_ke!$B$7</f>
        <v>6086.957027432424</v>
      </c>
      <c r="I760" s="4">
        <f>IF(D760&lt;=Dau_vao!$B$14,Dau_vao!$B$13,Dau_vao!$B$13*(1+D760^2/1500))</f>
        <v>0.015</v>
      </c>
      <c r="J760" s="4">
        <f>Thiet_ke!$B$8*D760^2</f>
        <v>677.4174719730291</v>
      </c>
      <c r="K760" s="4">
        <f>Thiet_ke!$B$3*I760+J760</f>
        <v>1809.0009719730292</v>
      </c>
      <c r="L760" s="4">
        <f>(H760-J760)/Thiet_ke!$B$3</f>
        <v>0.07170756142334253</v>
      </c>
      <c r="M760" s="4">
        <f>1.05+0.05*B760^2</f>
        <v>1.1822875655532297</v>
      </c>
      <c r="N760" s="4">
        <f>(MIN(H760,Thiet_ke!$B$16)-K760)/(Thiet_ke!$B$2*M760)</f>
        <v>0.47052950041192343</v>
      </c>
      <c r="O760" s="4">
        <f>IF(N760&gt;0,1/N760,"")</f>
        <v>2.1252652578096662</v>
      </c>
    </row>
    <row r="761" spans="1:15">
      <c r="A761">
        <v>4</v>
      </c>
      <c r="B761" s="4">
        <f>Thiet_ke!$B$23</f>
        <v>1.6265765616977859</v>
      </c>
      <c r="C761" s="4">
        <f>Dau_vao!$B$21+(Dau_vao!$B$19-Dau_vao!$B$21)*156/200</f>
        <v>2204.0</v>
      </c>
      <c r="D761" s="4">
        <f>2*PI()*C761*Thiet_ke!$B$7/(60*Thiet_ke!$B$15*B761)</f>
        <v>15.28066755281763</v>
      </c>
      <c r="E761" s="4">
        <f>D761*3.6</f>
        <v>55.010403190143464</v>
      </c>
      <c r="F761" s="4">
        <f>Thiet_ke!$B$12*(Dau_vao!$B$22*(C761/Dau_vao!$B$19)+Dau_vao!$B$23*(C761/Dau_vao!$B$19)^2-Dau_vao!$B$24*(C761/Dau_vao!$B$19)^3)</f>
        <v>104.44282982570947</v>
      </c>
      <c r="G761" s="4">
        <f>60000*F761/(2*PI()*C761)</f>
        <v>452.52067070600634</v>
      </c>
      <c r="H761" s="4">
        <f>G761*Thiet_ke!$B$15*B761*Dau_vao!$B$10/Thiet_ke!$B$7</f>
        <v>6083.118962151718</v>
      </c>
      <c r="I761" s="4">
        <f>IF(D761&lt;=Dau_vao!$B$14,Dau_vao!$B$13,Dau_vao!$B$13*(1+D761^2/1500))</f>
        <v>0.015</v>
      </c>
      <c r="J761" s="4">
        <f>Thiet_ke!$B$8*D761^2</f>
        <v>682.9839925147206</v>
      </c>
      <c r="K761" s="4">
        <f>Thiet_ke!$B$3*I761+J761</f>
        <v>1814.567492514721</v>
      </c>
      <c r="L761" s="4">
        <f>(H761-J761)/Thiet_ke!$B$3</f>
        <v>0.07158289648493014</v>
      </c>
      <c r="M761" s="4">
        <f>1.05+0.05*B761^2</f>
        <v>1.1822875655532297</v>
      </c>
      <c r="N761" s="4">
        <f>(MIN(H761,Thiet_ke!$B$16)-K761)/(Thiet_ke!$B$2*M761)</f>
        <v>0.4694950963621327</v>
      </c>
      <c r="O761" s="4">
        <f>IF(N761&gt;0,1/N761,"")</f>
        <v>2.1299476985989143</v>
      </c>
    </row>
    <row r="762" spans="1:15">
      <c r="A762">
        <v>4</v>
      </c>
      <c r="B762" s="4">
        <f>Thiet_ke!$B$23</f>
        <v>1.6265765616977859</v>
      </c>
      <c r="C762" s="4">
        <f>Dau_vao!$B$21+(Dau_vao!$B$19-Dau_vao!$B$21)*157/200</f>
        <v>2213.0</v>
      </c>
      <c r="D762" s="4">
        <f>2*PI()*C762*Thiet_ke!$B$7/(60*Thiet_ke!$B$15*B762)</f>
        <v>15.343065923042385</v>
      </c>
      <c r="E762" s="4">
        <f>D762*3.6</f>
        <v>55.235037322952586</v>
      </c>
      <c r="F762" s="4">
        <f>Thiet_ke!$B$12*(Dau_vao!$B$22*(C762/Dau_vao!$B$19)+Dau_vao!$B$23*(C762/Dau_vao!$B$19)^2-Dau_vao!$B$24*(C762/Dau_vao!$B$19)^3)</f>
        <v>104.80076782043088</v>
      </c>
      <c r="G762" s="4">
        <f>60000*F762/(2*PI()*C762)</f>
        <v>452.22485960544816</v>
      </c>
      <c r="H762" s="4">
        <f>G762*Thiet_ke!$B$15*B762*Dau_vao!$B$10/Thiet_ke!$B$7</f>
        <v>6079.142449626416</v>
      </c>
      <c r="I762" s="4">
        <f>IF(D762&lt;=Dau_vao!$B$14,Dau_vao!$B$13,Dau_vao!$B$13*(1+D762^2/1500))</f>
        <v>0.015</v>
      </c>
      <c r="J762" s="4">
        <f>Thiet_ke!$B$8*D762^2</f>
        <v>688.5732903625617</v>
      </c>
      <c r="K762" s="4">
        <f>Thiet_ke!$B$3*I762+J762</f>
        <v>1820.1567903625619</v>
      </c>
      <c r="L762" s="4">
        <f>(H762-J762)/Thiet_ke!$B$3</f>
        <v>0.07145609439246667</v>
      </c>
      <c r="M762" s="4">
        <f>1.05+0.05*B762^2</f>
        <v>1.1822875655532297</v>
      </c>
      <c r="N762" s="4">
        <f>(MIN(H762,Thiet_ke!$B$16)-K762)/(Thiet_ke!$B$2*M762)</f>
        <v>0.46844295933277585</v>
      </c>
      <c r="O762" s="4">
        <f>IF(N762&gt;0,1/N762,"")</f>
        <v>2.1347316254349185</v>
      </c>
    </row>
    <row r="763" spans="1:15">
      <c r="A763">
        <v>4</v>
      </c>
      <c r="B763" s="4">
        <f>Thiet_ke!$B$23</f>
        <v>1.6265765616977859</v>
      </c>
      <c r="C763" s="4">
        <f>Dau_vao!$B$21+(Dau_vao!$B$19-Dau_vao!$B$21)*158/200</f>
        <v>2222.0</v>
      </c>
      <c r="D763" s="4">
        <f>2*PI()*C763*Thiet_ke!$B$7/(60*Thiet_ke!$B$15*B763)</f>
        <v>15.405464293267139</v>
      </c>
      <c r="E763" s="4">
        <f>D763*3.6</f>
        <v>55.4596714557617</v>
      </c>
      <c r="F763" s="4">
        <f>Thiet_ke!$B$12*(Dau_vao!$B$22*(C763/Dau_vao!$B$19)+Dau_vao!$B$23*(C763/Dau_vao!$B$19)^2-Dau_vao!$B$24*(C763/Dau_vao!$B$19)^3)</f>
        <v>105.15575177033813</v>
      </c>
      <c r="G763" s="4">
        <f>60000*F763/(2*PI()*C763)</f>
        <v>451.9187494723755</v>
      </c>
      <c r="H763" s="4">
        <f>G763*Thiet_ke!$B$15*B763*Dau_vao!$B$10/Thiet_ke!$B$7</f>
        <v>6075.027489856522</v>
      </c>
      <c r="I763" s="4">
        <f>IF(D763&lt;=Dau_vao!$B$14,Dau_vao!$B$13,Dau_vao!$B$13*(1+D763^2/1500))</f>
        <v>0.015</v>
      </c>
      <c r="J763" s="4">
        <f>Thiet_ke!$B$8*D763^2</f>
        <v>694.1853655165518</v>
      </c>
      <c r="K763" s="4">
        <f>Thiet_ke!$B$3*I763+J763</f>
        <v>1825.768865516552</v>
      </c>
      <c r="L763" s="4">
        <f>(H763-J763)/Thiet_ke!$B$3</f>
        <v>0.07132715514595216</v>
      </c>
      <c r="M763" s="4">
        <f>1.05+0.05*B763^2</f>
        <v>1.1822875655532297</v>
      </c>
      <c r="N763" s="4">
        <f>(MIN(H763,Thiet_ke!$B$16)-K763)/(Thiet_ke!$B$2*M763)</f>
        <v>0.4673730893238533</v>
      </c>
      <c r="O763" s="4">
        <f>IF(N763&gt;0,1/N763,"")</f>
        <v>2.1396182682376854</v>
      </c>
    </row>
    <row r="764" spans="1:15">
      <c r="A764">
        <v>4</v>
      </c>
      <c r="B764" s="4">
        <f>Thiet_ke!$B$23</f>
        <v>1.6265765616977859</v>
      </c>
      <c r="C764" s="4">
        <f>Dau_vao!$B$21+(Dau_vao!$B$19-Dau_vao!$B$21)*159/200</f>
        <v>2231.0</v>
      </c>
      <c r="D764" s="4">
        <f>2*PI()*C764*Thiet_ke!$B$7/(60*Thiet_ke!$B$15*B764)</f>
        <v>15.467862663491895</v>
      </c>
      <c r="E764" s="4">
        <f>D764*3.6</f>
        <v>55.68430558857082</v>
      </c>
      <c r="F764" s="4">
        <f>Thiet_ke!$B$12*(Dau_vao!$B$22*(C764/Dau_vao!$B$19)+Dau_vao!$B$23*(C764/Dau_vao!$B$19)^2-Dau_vao!$B$24*(C764/Dau_vao!$B$19)^3)</f>
        <v>105.5077525556028</v>
      </c>
      <c r="G764" s="4">
        <f>60000*F764/(2*PI()*C764)</f>
        <v>451.60234030678816</v>
      </c>
      <c r="H764" s="4">
        <f>G764*Thiet_ke!$B$15*B764*Dau_vao!$B$10/Thiet_ke!$B$7</f>
        <v>6070.774082842031</v>
      </c>
      <c r="I764" s="4">
        <f>IF(D764&lt;=Dau_vao!$B$14,Dau_vao!$B$13,Dau_vao!$B$13*(1+D764^2/1500))</f>
        <v>0.015</v>
      </c>
      <c r="J764" s="4">
        <f>Thiet_ke!$B$8*D764^2</f>
        <v>699.8202179766913</v>
      </c>
      <c r="K764" s="4">
        <f>Thiet_ke!$B$3*I764+J764</f>
        <v>1831.4037179766915</v>
      </c>
      <c r="L764" s="4">
        <f>(H764-J764)/Thiet_ke!$B$3</f>
        <v>0.07119607874538651</v>
      </c>
      <c r="M764" s="4">
        <f>1.05+0.05*B764^2</f>
        <v>1.1822875655532297</v>
      </c>
      <c r="N764" s="4">
        <f>(MIN(H764,Thiet_ke!$B$16)-K764)/(Thiet_ke!$B$2*M764)</f>
        <v>0.46628548633536443</v>
      </c>
      <c r="O764" s="4">
        <f>IF(N764&gt;0,1/N764,"")</f>
        <v>2.144608891559568</v>
      </c>
    </row>
    <row r="765" spans="1:15">
      <c r="A765">
        <v>4</v>
      </c>
      <c r="B765" s="4">
        <f>Thiet_ke!$B$23</f>
        <v>1.6265765616977859</v>
      </c>
      <c r="C765" s="4">
        <f>Dau_vao!$B$21+(Dau_vao!$B$19-Dau_vao!$B$21)*160/200</f>
        <v>2240.0</v>
      </c>
      <c r="D765" s="4">
        <f>2*PI()*C765*Thiet_ke!$B$7/(60*Thiet_ke!$B$15*B765)</f>
        <v>15.530261033716648</v>
      </c>
      <c r="E765" s="4">
        <f>D765*3.6</f>
        <v>55.90893972137994</v>
      </c>
      <c r="F765" s="4">
        <f>Thiet_ke!$B$12*(Dau_vao!$B$22*(C765/Dau_vao!$B$19)+Dau_vao!$B$23*(C765/Dau_vao!$B$19)^2-Dau_vao!$B$24*(C765/Dau_vao!$B$19)^3)</f>
        <v>105.85674105639652</v>
      </c>
      <c r="G765" s="4">
        <f>60000*F765/(2*PI()*C765)</f>
        <v>451.2756321086863</v>
      </c>
      <c r="H765" s="4">
        <f>G765*Thiet_ke!$B$15*B765*Dau_vao!$B$10/Thiet_ke!$B$7</f>
        <v>6066.382228582947</v>
      </c>
      <c r="I765" s="4">
        <f>IF(D765&lt;=Dau_vao!$B$14,Dau_vao!$B$13,Dau_vao!$B$13*(1+D765^2/1500))</f>
        <v>0.015</v>
      </c>
      <c r="J765" s="4">
        <f>Thiet_ke!$B$8*D765^2</f>
        <v>705.4778477429799</v>
      </c>
      <c r="K765" s="4">
        <f>Thiet_ke!$B$3*I765+J765</f>
        <v>1837.0613477429802</v>
      </c>
      <c r="L765" s="4">
        <f>(H765-J765)/Thiet_ke!$B$3</f>
        <v>0.07106286519076983</v>
      </c>
      <c r="M765" s="4">
        <f>1.05+0.05*B765^2</f>
        <v>1.1822875655532297</v>
      </c>
      <c r="N765" s="4">
        <f>(MIN(H765,Thiet_ke!$B$16)-K765)/(Thiet_ke!$B$2*M765)</f>
        <v>0.4651801503673099</v>
      </c>
      <c r="O765" s="4">
        <f>IF(N765&gt;0,1/N765,"")</f>
        <v>2.149704795465568</v>
      </c>
    </row>
    <row r="766" spans="1:15">
      <c r="A766">
        <v>4</v>
      </c>
      <c r="B766" s="4">
        <f>Thiet_ke!$B$23</f>
        <v>1.6265765616977859</v>
      </c>
      <c r="C766" s="4">
        <f>Dau_vao!$B$21+(Dau_vao!$B$19-Dau_vao!$B$21)*161/200</f>
        <v>2249.0</v>
      </c>
      <c r="D766" s="4">
        <f>2*PI()*C766*Thiet_ke!$B$7/(60*Thiet_ke!$B$15*B766)</f>
        <v>15.592659403941402</v>
      </c>
      <c r="E766" s="4">
        <f>D766*3.6</f>
        <v>56.13357385418905</v>
      </c>
      <c r="F766" s="4">
        <f>Thiet_ke!$B$12*(Dau_vao!$B$22*(C766/Dau_vao!$B$19)+Dau_vao!$B$23*(C766/Dau_vao!$B$19)^2-Dau_vao!$B$24*(C766/Dau_vao!$B$19)^3)</f>
        <v>106.20268815289084</v>
      </c>
      <c r="G766" s="4">
        <f>60000*F766/(2*PI()*C766)</f>
        <v>450.9386248780698</v>
      </c>
      <c r="H766" s="4">
        <f>G766*Thiet_ke!$B$15*B766*Dau_vao!$B$10/Thiet_ke!$B$7</f>
        <v>6061.851927079268</v>
      </c>
      <c r="I766" s="4">
        <f>IF(D766&lt;=Dau_vao!$B$14,Dau_vao!$B$13,Dau_vao!$B$13*(1+D766^2/1500))</f>
        <v>0.015</v>
      </c>
      <c r="J766" s="4">
        <f>Thiet_ke!$B$8*D766^2</f>
        <v>711.1582548154176</v>
      </c>
      <c r="K766" s="4">
        <f>Thiet_ke!$B$3*I766+J766</f>
        <v>1842.7417548154178</v>
      </c>
      <c r="L766" s="4">
        <f>(H766-J766)/Thiet_ke!$B$3</f>
        <v>0.07092751448210206</v>
      </c>
      <c r="M766" s="4">
        <f>1.05+0.05*B766^2</f>
        <v>1.1822875655532297</v>
      </c>
      <c r="N766" s="4">
        <f>(MIN(H766,Thiet_ke!$B$16)-K766)/(Thiet_ke!$B$2*M766)</f>
        <v>0.46405708141968927</v>
      </c>
      <c r="O766" s="4">
        <f>IF(N766&gt;0,1/N766,"")</f>
        <v>2.1549073164462897</v>
      </c>
    </row>
    <row r="767" spans="1:15">
      <c r="A767">
        <v>4</v>
      </c>
      <c r="B767" s="4">
        <f>Thiet_ke!$B$23</f>
        <v>1.6265765616977859</v>
      </c>
      <c r="C767" s="4">
        <f>Dau_vao!$B$21+(Dau_vao!$B$19-Dau_vao!$B$21)*162/200</f>
        <v>2258.0</v>
      </c>
      <c r="D767" s="4">
        <f>2*PI()*C767*Thiet_ke!$B$7/(60*Thiet_ke!$B$15*B767)</f>
        <v>15.655057774166158</v>
      </c>
      <c r="E767" s="4">
        <f>D767*3.6</f>
        <v>56.35820798699817</v>
      </c>
      <c r="F767" s="4">
        <f>Thiet_ke!$B$12*(Dau_vao!$B$22*(C767/Dau_vao!$B$19)+Dau_vao!$B$23*(C767/Dau_vao!$B$19)^2-Dau_vao!$B$24*(C767/Dau_vao!$B$19)^3)</f>
        <v>106.54556472525739</v>
      </c>
      <c r="G767" s="4">
        <f>60000*F767/(2*PI()*C767)</f>
        <v>450.59131861493864</v>
      </c>
      <c r="H767" s="4">
        <f>G767*Thiet_ke!$B$15*B767*Dau_vao!$B$10/Thiet_ke!$B$7</f>
        <v>6057.183178330992</v>
      </c>
      <c r="I767" s="4">
        <f>IF(D767&lt;=Dau_vao!$B$14,Dau_vao!$B$13,Dau_vao!$B$13*(1+D767^2/1500))</f>
        <v>0.015</v>
      </c>
      <c r="J767" s="4">
        <f>Thiet_ke!$B$8*D767^2</f>
        <v>716.8614391940049</v>
      </c>
      <c r="K767" s="4">
        <f>Thiet_ke!$B$3*I767+J767</f>
        <v>1848.4449391940052</v>
      </c>
      <c r="L767" s="4">
        <f>(H767-J767)/Thiet_ke!$B$3</f>
        <v>0.07079002661938319</v>
      </c>
      <c r="M767" s="4">
        <f>1.05+0.05*B767^2</f>
        <v>1.1822875655532297</v>
      </c>
      <c r="N767" s="4">
        <f>(MIN(H767,Thiet_ke!$B$16)-K767)/(Thiet_ke!$B$2*M767)</f>
        <v>0.4629162794925024</v>
      </c>
      <c r="O767" s="4">
        <f>IF(N767&gt;0,1/N767,"")</f>
        <v>2.1602178283647864</v>
      </c>
    </row>
    <row r="768" spans="1:15">
      <c r="A768">
        <v>4</v>
      </c>
      <c r="B768" s="4">
        <f>Thiet_ke!$B$23</f>
        <v>1.6265765616977859</v>
      </c>
      <c r="C768" s="4">
        <f>Dau_vao!$B$21+(Dau_vao!$B$19-Dau_vao!$B$21)*163/200</f>
        <v>2267.0</v>
      </c>
      <c r="D768" s="4">
        <f>2*PI()*C768*Thiet_ke!$B$7/(60*Thiet_ke!$B$15*B768)</f>
        <v>15.71745614439091</v>
      </c>
      <c r="E768" s="4">
        <f>D768*3.6</f>
        <v>56.582842119807275</v>
      </c>
      <c r="F768" s="4">
        <f>Thiet_ke!$B$12*(Dau_vao!$B$22*(C768/Dau_vao!$B$19)+Dau_vao!$B$23*(C768/Dau_vao!$B$19)^2-Dau_vao!$B$24*(C768/Dau_vao!$B$19)^3)</f>
        <v>106.88534165366778</v>
      </c>
      <c r="G768" s="4">
        <f>60000*F768/(2*PI()*C768)</f>
        <v>450.23371331929303</v>
      </c>
      <c r="H768" s="4">
        <f>G768*Thiet_ke!$B$15*B768*Dau_vao!$B$10/Thiet_ke!$B$7</f>
        <v>6052.375982338123</v>
      </c>
      <c r="I768" s="4">
        <f>IF(D768&lt;=Dau_vao!$B$14,Dau_vao!$B$13,Dau_vao!$B$13*(1+D768^2/1500))</f>
        <v>0.015</v>
      </c>
      <c r="J768" s="4">
        <f>Thiet_ke!$B$8*D768^2</f>
        <v>722.5874008787409</v>
      </c>
      <c r="K768" s="4">
        <f>Thiet_ke!$B$3*I768+J768</f>
        <v>1854.1709008787411</v>
      </c>
      <c r="L768" s="4">
        <f>(H768-J768)/Thiet_ke!$B$3</f>
        <v>0.07065040160261327</v>
      </c>
      <c r="M768" s="4">
        <f>1.05+0.05*B768^2</f>
        <v>1.1822875655532297</v>
      </c>
      <c r="N768" s="4">
        <f>(MIN(H768,Thiet_ke!$B$16)-K768)/(Thiet_ke!$B$2*M768)</f>
        <v>0.46175774458574986</v>
      </c>
      <c r="O768" s="4">
        <f>IF(N768&gt;0,1/N768,"")</f>
        <v>2.1656377434386416</v>
      </c>
    </row>
    <row r="769" spans="1:15">
      <c r="A769">
        <v>4</v>
      </c>
      <c r="B769" s="4">
        <f>Thiet_ke!$B$23</f>
        <v>1.6265765616977859</v>
      </c>
      <c r="C769" s="4">
        <f>Dau_vao!$B$21+(Dau_vao!$B$19-Dau_vao!$B$21)*164/200</f>
        <v>2276.0</v>
      </c>
      <c r="D769" s="4">
        <f>2*PI()*C769*Thiet_ke!$B$7/(60*Thiet_ke!$B$15*B769)</f>
        <v>15.779854514615664</v>
      </c>
      <c r="E769" s="4">
        <f>D769*3.6</f>
        <v>56.80747625261639</v>
      </c>
      <c r="F769" s="4">
        <f>Thiet_ke!$B$12*(Dau_vao!$B$22*(C769/Dau_vao!$B$19)+Dau_vao!$B$23*(C769/Dau_vao!$B$19)^2-Dau_vao!$B$24*(C769/Dau_vao!$B$19)^3)</f>
        <v>107.22198981829357</v>
      </c>
      <c r="G769" s="4">
        <f>60000*F769/(2*PI()*C769)</f>
        <v>449.86580899113255</v>
      </c>
      <c r="H769" s="4">
        <f>G769*Thiet_ke!$B$15*B769*Dau_vao!$B$10/Thiet_ke!$B$7</f>
        <v>6047.430339100661</v>
      </c>
      <c r="I769" s="4">
        <f>IF(D769&lt;=Dau_vao!$B$14,Dau_vao!$B$13,Dau_vao!$B$13*(1+D769^2/1500))</f>
        <v>0.015</v>
      </c>
      <c r="J769" s="4">
        <f>Thiet_ke!$B$8*D769^2</f>
        <v>728.3361398696264</v>
      </c>
      <c r="K769" s="4">
        <f>Thiet_ke!$B$3*I769+J769</f>
        <v>1859.9196398696267</v>
      </c>
      <c r="L769" s="4">
        <f>(H769-J769)/Thiet_ke!$B$3</f>
        <v>0.07050863943179227</v>
      </c>
      <c r="M769" s="4">
        <f>1.05+0.05*B769^2</f>
        <v>1.1822875655532297</v>
      </c>
      <c r="N769" s="4">
        <f>(MIN(H769,Thiet_ke!$B$16)-K769)/(Thiet_ke!$B$2*M769)</f>
        <v>0.4605814766994313</v>
      </c>
      <c r="O769" s="4">
        <f>IF(N769&gt;0,1/N769,"")</f>
        <v>2.1711685132586984</v>
      </c>
    </row>
    <row r="770" spans="1:15">
      <c r="A770">
        <v>4</v>
      </c>
      <c r="B770" s="4">
        <f>Thiet_ke!$B$23</f>
        <v>1.6265765616977859</v>
      </c>
      <c r="C770" s="4">
        <f>Dau_vao!$B$21+(Dau_vao!$B$19-Dau_vao!$B$21)*165/200</f>
        <v>2285.0</v>
      </c>
      <c r="D770" s="4">
        <f>2*PI()*C770*Thiet_ke!$B$7/(60*Thiet_ke!$B$15*B770)</f>
        <v>15.84225288484042</v>
      </c>
      <c r="E770" s="4">
        <f>D770*3.6</f>
        <v>57.03211038542551</v>
      </c>
      <c r="F770" s="4">
        <f>Thiet_ke!$B$12*(Dau_vao!$B$22*(C770/Dau_vao!$B$19)+Dau_vao!$B$23*(C770/Dau_vao!$B$19)^2-Dau_vao!$B$24*(C770/Dau_vao!$B$19)^3)</f>
        <v>107.55548009930645</v>
      </c>
      <c r="G770" s="4">
        <f>60000*F770/(2*PI()*C770)</f>
        <v>449.4876056304578</v>
      </c>
      <c r="H770" s="4">
        <f>G770*Thiet_ke!$B$15*B770*Dau_vao!$B$10/Thiet_ke!$B$7</f>
        <v>6042.346248618603</v>
      </c>
      <c r="I770" s="4">
        <f>IF(D770&lt;=Dau_vao!$B$14,Dau_vao!$B$13,Dau_vao!$B$13*(1+D770^2/1500))</f>
        <v>0.015</v>
      </c>
      <c r="J770" s="4">
        <f>Thiet_ke!$B$8*D770^2</f>
        <v>734.1076561666613</v>
      </c>
      <c r="K770" s="4">
        <f>Thiet_ke!$B$3*I770+J770</f>
        <v>1865.6911561666616</v>
      </c>
      <c r="L770" s="4">
        <f>(H770-J770)/Thiet_ke!$B$3</f>
        <v>0.07036474010692018</v>
      </c>
      <c r="M770" s="4">
        <f>1.05+0.05*B770^2</f>
        <v>1.1822875655532297</v>
      </c>
      <c r="N770" s="4">
        <f>(MIN(H770,Thiet_ke!$B$16)-K770)/(Thiet_ke!$B$2*M770)</f>
        <v>0.4593874758335467</v>
      </c>
      <c r="O770" s="4">
        <f>IF(N770&gt;0,1/N770,"")</f>
        <v>2.1768116298458633</v>
      </c>
    </row>
    <row r="771" spans="1:15">
      <c r="A771">
        <v>4</v>
      </c>
      <c r="B771" s="4">
        <f>Thiet_ke!$B$23</f>
        <v>1.6265765616977859</v>
      </c>
      <c r="C771" s="4">
        <f>Dau_vao!$B$21+(Dau_vao!$B$19-Dau_vao!$B$21)*166/200</f>
        <v>2294.0</v>
      </c>
      <c r="D771" s="4">
        <f>2*PI()*C771*Thiet_ke!$B$7/(60*Thiet_ke!$B$15*B771)</f>
        <v>15.904651255065174</v>
      </c>
      <c r="E771" s="4">
        <f>D771*3.6</f>
        <v>57.256744518234626</v>
      </c>
      <c r="F771" s="4">
        <f>Thiet_ke!$B$12*(Dau_vao!$B$22*(C771/Dau_vao!$B$19)+Dau_vao!$B$23*(C771/Dau_vao!$B$19)^2-Dau_vao!$B$24*(C771/Dau_vao!$B$19)^3)</f>
        <v>107.88578337687797</v>
      </c>
      <c r="G771" s="4">
        <f>60000*F771/(2*PI()*C771)</f>
        <v>449.09910323726837</v>
      </c>
      <c r="H771" s="4">
        <f>G771*Thiet_ke!$B$15*B771*Dau_vao!$B$10/Thiet_ke!$B$7</f>
        <v>6037.12371089195</v>
      </c>
      <c r="I771" s="4">
        <f>IF(D771&lt;=Dau_vao!$B$14,Dau_vao!$B$13,Dau_vao!$B$13*(1+D771^2/1500))</f>
        <v>0.015</v>
      </c>
      <c r="J771" s="4">
        <f>Thiet_ke!$B$8*D771^2</f>
        <v>739.9019497698451</v>
      </c>
      <c r="K771" s="4">
        <f>Thiet_ke!$B$3*I771+J771</f>
        <v>1871.4854497698452</v>
      </c>
      <c r="L771" s="4">
        <f>(H771-J771)/Thiet_ke!$B$3</f>
        <v>0.07021870362799702</v>
      </c>
      <c r="M771" s="4">
        <f>1.05+0.05*B771^2</f>
        <v>1.1822875655532297</v>
      </c>
      <c r="N771" s="4">
        <f>(MIN(H771,Thiet_ke!$B$16)-K771)/(Thiet_ke!$B$2*M771)</f>
        <v>0.4581757419880962</v>
      </c>
      <c r="O771" s="4">
        <f>IF(N771&gt;0,1/N771,"")</f>
        <v>2.1825686267475524</v>
      </c>
    </row>
    <row r="772" spans="1:15">
      <c r="A772">
        <v>4</v>
      </c>
      <c r="B772" s="4">
        <f>Thiet_ke!$B$23</f>
        <v>1.6265765616977859</v>
      </c>
      <c r="C772" s="4">
        <f>Dau_vao!$B$21+(Dau_vao!$B$19-Dau_vao!$B$21)*167/200</f>
        <v>2303.0</v>
      </c>
      <c r="D772" s="4">
        <f>2*PI()*C772*Thiet_ke!$B$7/(60*Thiet_ke!$B$15*B772)</f>
        <v>15.967049625289928</v>
      </c>
      <c r="E772" s="4">
        <f>D772*3.6</f>
        <v>57.48137865104374</v>
      </c>
      <c r="F772" s="4">
        <f>Thiet_ke!$B$12*(Dau_vao!$B$22*(C772/Dau_vao!$B$19)+Dau_vao!$B$23*(C772/Dau_vao!$B$19)^2-Dau_vao!$B$24*(C772/Dau_vao!$B$19)^3)</f>
        <v>108.21287053117969</v>
      </c>
      <c r="G772" s="4">
        <f>60000*F772/(2*PI()*C772)</f>
        <v>448.7003018115643</v>
      </c>
      <c r="H772" s="4">
        <f>G772*Thiet_ke!$B$15*B772*Dau_vao!$B$10/Thiet_ke!$B$7</f>
        <v>6031.762725920703</v>
      </c>
      <c r="I772" s="4">
        <f>IF(D772&lt;=Dau_vao!$B$14,Dau_vao!$B$13,Dau_vao!$B$13*(1+D772^2/1500))</f>
        <v>0.015</v>
      </c>
      <c r="J772" s="4">
        <f>Thiet_ke!$B$8*D772^2</f>
        <v>745.7190206791784</v>
      </c>
      <c r="K772" s="4">
        <f>Thiet_ke!$B$3*I772+J772</f>
        <v>1877.3025206791785</v>
      </c>
      <c r="L772" s="4">
        <f>(H772-J772)/Thiet_ke!$B$3</f>
        <v>0.07007052999502278</v>
      </c>
      <c r="M772" s="4">
        <f>1.05+0.05*B772^2</f>
        <v>1.1822875655532297</v>
      </c>
      <c r="N772" s="4">
        <f>(MIN(H772,Thiet_ke!$B$16)-K772)/(Thiet_ke!$B$2*M772)</f>
        <v>0.4569462751630796</v>
      </c>
      <c r="O772" s="4">
        <f>IF(N772&gt;0,1/N772,"")</f>
        <v>2.188441080175366</v>
      </c>
    </row>
    <row r="773" spans="1:15">
      <c r="A773">
        <v>4</v>
      </c>
      <c r="B773" s="4">
        <f>Thiet_ke!$B$23</f>
        <v>1.6265765616977859</v>
      </c>
      <c r="C773" s="4">
        <f>Dau_vao!$B$21+(Dau_vao!$B$19-Dau_vao!$B$21)*168/200</f>
        <v>2312.0</v>
      </c>
      <c r="D773" s="4">
        <f>2*PI()*C773*Thiet_ke!$B$7/(60*Thiet_ke!$B$15*B773)</f>
        <v>16.029447995514683</v>
      </c>
      <c r="E773" s="4">
        <f>D773*3.6</f>
        <v>57.70601278385286</v>
      </c>
      <c r="F773" s="4">
        <f>Thiet_ke!$B$12*(Dau_vao!$B$22*(C773/Dau_vao!$B$19)+Dau_vao!$B$23*(C773/Dau_vao!$B$19)^2-Dau_vao!$B$24*(C773/Dau_vao!$B$19)^3)</f>
        <v>108.53671244238325</v>
      </c>
      <c r="G773" s="4">
        <f>60000*F773/(2*PI()*C773)</f>
        <v>448.29120135334557</v>
      </c>
      <c r="H773" s="4">
        <f>G773*Thiet_ke!$B$15*B773*Dau_vao!$B$10/Thiet_ke!$B$7</f>
        <v>6026.26329370486</v>
      </c>
      <c r="I773" s="4">
        <f>IF(D773&lt;=Dau_vao!$B$14,Dau_vao!$B$13,Dau_vao!$B$13*(1+D773^2/1500))</f>
        <v>0.015</v>
      </c>
      <c r="J773" s="4">
        <f>Thiet_ke!$B$8*D773^2</f>
        <v>751.5588688946609</v>
      </c>
      <c r="K773" s="4">
        <f>Thiet_ke!$B$3*I773+J773</f>
        <v>1883.142368894661</v>
      </c>
      <c r="L773" s="4">
        <f>(H773-J773)/Thiet_ke!$B$3</f>
        <v>0.06992021920799744</v>
      </c>
      <c r="M773" s="4">
        <f>1.05+0.05*B773^2</f>
        <v>1.1822875655532297</v>
      </c>
      <c r="N773" s="4">
        <f>(MIN(H773,Thiet_ke!$B$16)-K773)/(Thiet_ke!$B$2*M773)</f>
        <v>0.45569907535849685</v>
      </c>
      <c r="O773" s="4">
        <f>IF(N773&gt;0,1/N773,"")</f>
        <v>2.194430610185688</v>
      </c>
    </row>
    <row r="774" spans="1:15">
      <c r="A774">
        <v>4</v>
      </c>
      <c r="B774" s="4">
        <f>Thiet_ke!$B$23</f>
        <v>1.6265765616977859</v>
      </c>
      <c r="C774" s="4">
        <f>Dau_vao!$B$21+(Dau_vao!$B$19-Dau_vao!$B$21)*169/200</f>
        <v>2321.0</v>
      </c>
      <c r="D774" s="4">
        <f>2*PI()*C774*Thiet_ke!$B$7/(60*Thiet_ke!$B$15*B774)</f>
        <v>16.09184636573944</v>
      </c>
      <c r="E774" s="4">
        <f>D774*3.6</f>
        <v>57.930646916661985</v>
      </c>
      <c r="F774" s="4">
        <f>Thiet_ke!$B$12*(Dau_vao!$B$22*(C774/Dau_vao!$B$19)+Dau_vao!$B$23*(C774/Dau_vao!$B$19)^2-Dau_vao!$B$24*(C774/Dau_vao!$B$19)^3)</f>
        <v>108.8572799906603</v>
      </c>
      <c r="G774" s="4">
        <f>60000*F774/(2*PI()*C774)</f>
        <v>447.8718018626125</v>
      </c>
      <c r="H774" s="4">
        <f>G774*Thiet_ke!$B$15*B774*Dau_vao!$B$10/Thiet_ke!$B$7</f>
        <v>6020.625414244426</v>
      </c>
      <c r="I774" s="4">
        <f>IF(D774&lt;=Dau_vao!$B$14,Dau_vao!$B$13,Dau_vao!$B$13*(1+D774^2/1500))</f>
        <v>0.015</v>
      </c>
      <c r="J774" s="4">
        <f>Thiet_ke!$B$8*D774^2</f>
        <v>757.4214944162927</v>
      </c>
      <c r="K774" s="4">
        <f>Thiet_ke!$B$3*I774+J774</f>
        <v>1889.004994416293</v>
      </c>
      <c r="L774" s="4">
        <f>(H774-J774)/Thiet_ke!$B$3</f>
        <v>0.06976777126692107</v>
      </c>
      <c r="M774" s="4">
        <f>1.05+0.05*B774^2</f>
        <v>1.1822875655532297</v>
      </c>
      <c r="N774" s="4">
        <f>(MIN(H774,Thiet_ke!$B$16)-K774)/(Thiet_ke!$B$2*M774)</f>
        <v>0.45443414257434855</v>
      </c>
      <c r="O774" s="4">
        <f>IF(N774&gt;0,1/N774,"")</f>
        <v>2.2005388819049685</v>
      </c>
    </row>
    <row r="775" spans="1:15">
      <c r="A775">
        <v>4</v>
      </c>
      <c r="B775" s="4">
        <f>Thiet_ke!$B$23</f>
        <v>1.6265765616977859</v>
      </c>
      <c r="C775" s="4">
        <f>Dau_vao!$B$21+(Dau_vao!$B$19-Dau_vao!$B$21)*170/200</f>
        <v>2330.0</v>
      </c>
      <c r="D775" s="4">
        <f>2*PI()*C775*Thiet_ke!$B$7/(60*Thiet_ke!$B$15*B775)</f>
        <v>16.15424473596419</v>
      </c>
      <c r="E775" s="4">
        <f>D775*3.6</f>
        <v>58.15528104947109</v>
      </c>
      <c r="F775" s="4">
        <f>Thiet_ke!$B$12*(Dau_vao!$B$22*(C775/Dau_vao!$B$19)+Dau_vao!$B$23*(C775/Dau_vao!$B$19)^2-Dau_vao!$B$24*(C775/Dau_vao!$B$19)^3)</f>
        <v>109.17454405618234</v>
      </c>
      <c r="G775" s="4">
        <f>60000*F775/(2*PI()*C775)</f>
        <v>447.4421033393645</v>
      </c>
      <c r="H775" s="4">
        <f>G775*Thiet_ke!$B$15*B775*Dau_vao!$B$10/Thiet_ke!$B$7</f>
        <v>6014.849087539394</v>
      </c>
      <c r="I775" s="4">
        <f>IF(D775&lt;=Dau_vao!$B$14,Dau_vao!$B$13,Dau_vao!$B$13*(1+D775^2/1500))</f>
        <v>0.015</v>
      </c>
      <c r="J775" s="4">
        <f>Thiet_ke!$B$8*D775^2</f>
        <v>763.3068972440735</v>
      </c>
      <c r="K775" s="4">
        <f>Thiet_ke!$B$3*I775+J775</f>
        <v>1894.8903972440737</v>
      </c>
      <c r="L775" s="4">
        <f>(H775-J775)/Thiet_ke!$B$3</f>
        <v>0.06961318617179359</v>
      </c>
      <c r="M775" s="4">
        <f>1.05+0.05*B775^2</f>
        <v>1.1822875655532297</v>
      </c>
      <c r="N775" s="4">
        <f>(MIN(H775,Thiet_ke!$B$16)-K775)/(Thiet_ke!$B$2*M775)</f>
        <v>0.4531514768106339</v>
      </c>
      <c r="O775" s="4">
        <f>IF(N775&gt;0,1/N775,"")</f>
        <v>2.2067676068015705</v>
      </c>
    </row>
    <row r="776" spans="1:15">
      <c r="A776">
        <v>4</v>
      </c>
      <c r="B776" s="4">
        <f>Thiet_ke!$B$23</f>
        <v>1.6265765616977859</v>
      </c>
      <c r="C776" s="4">
        <f>Dau_vao!$B$21+(Dau_vao!$B$19-Dau_vao!$B$21)*171/200</f>
        <v>2339.0</v>
      </c>
      <c r="D776" s="4">
        <f>2*PI()*C776*Thiet_ke!$B$7/(60*Thiet_ke!$B$15*B776)</f>
        <v>16.216643106188947</v>
      </c>
      <c r="E776" s="4">
        <f>D776*3.6</f>
        <v>58.37991518228021</v>
      </c>
      <c r="F776" s="4">
        <f>Thiet_ke!$B$12*(Dau_vao!$B$22*(C776/Dau_vao!$B$19)+Dau_vao!$B$23*(C776/Dau_vao!$B$19)^2-Dau_vao!$B$24*(C776/Dau_vao!$B$19)^3)</f>
        <v>109.48847551912104</v>
      </c>
      <c r="G776" s="4">
        <f>60000*F776/(2*PI()*C776)</f>
        <v>447.002105783602</v>
      </c>
      <c r="H776" s="4">
        <f>G776*Thiet_ke!$B$15*B776*Dau_vao!$B$10/Thiet_ke!$B$7</f>
        <v>6008.934313589769</v>
      </c>
      <c r="I776" s="4">
        <f>IF(D776&lt;=Dau_vao!$B$14,Dau_vao!$B$13,Dau_vao!$B$13*(1+D776^2/1500))</f>
        <v>0.015</v>
      </c>
      <c r="J776" s="4">
        <f>Thiet_ke!$B$8*D776^2</f>
        <v>769.2150773780037</v>
      </c>
      <c r="K776" s="4">
        <f>Thiet_ke!$B$3*I776+J776</f>
        <v>1900.7985773780038</v>
      </c>
      <c r="L776" s="4">
        <f>(H776-J776)/Thiet_ke!$B$3</f>
        <v>0.06945646392261505</v>
      </c>
      <c r="M776" s="4">
        <f>1.05+0.05*B776^2</f>
        <v>1.1822875655532297</v>
      </c>
      <c r="N776" s="4">
        <f>(MIN(H776,Thiet_ke!$B$16)-K776)/(Thiet_ke!$B$2*M776)</f>
        <v>0.45185107806735353</v>
      </c>
      <c r="O776" s="4">
        <f>IF(N776&gt;0,1/N776,"")</f>
        <v>2.213118544006082</v>
      </c>
    </row>
    <row r="777" spans="1:15">
      <c r="A777">
        <v>4</v>
      </c>
      <c r="B777" s="4">
        <f>Thiet_ke!$B$23</f>
        <v>1.6265765616977859</v>
      </c>
      <c r="C777" s="4">
        <f>Dau_vao!$B$21+(Dau_vao!$B$19-Dau_vao!$B$21)*172/200</f>
        <v>2348.0</v>
      </c>
      <c r="D777" s="4">
        <f>2*PI()*C777*Thiet_ke!$B$7/(60*Thiet_ke!$B$15*B777)</f>
        <v>16.279041476413703</v>
      </c>
      <c r="E777" s="4">
        <f>D777*3.6</f>
        <v>58.60454931508933</v>
      </c>
      <c r="F777" s="4">
        <f>Thiet_ke!$B$12*(Dau_vao!$B$22*(C777/Dau_vao!$B$19)+Dau_vao!$B$23*(C777/Dau_vao!$B$19)^2-Dau_vao!$B$24*(C777/Dau_vao!$B$19)^3)</f>
        <v>109.799045259648</v>
      </c>
      <c r="G777" s="4">
        <f>60000*F777/(2*PI()*C777)</f>
        <v>446.551809195325</v>
      </c>
      <c r="H777" s="4">
        <f>G777*Thiet_ke!$B$15*B777*Dau_vao!$B$10/Thiet_ke!$B$7</f>
        <v>6002.881092395548</v>
      </c>
      <c r="I777" s="4">
        <f>IF(D777&lt;=Dau_vao!$B$14,Dau_vao!$B$13,Dau_vao!$B$13*(1+D777^2/1500))</f>
        <v>0.015</v>
      </c>
      <c r="J777" s="4">
        <f>Thiet_ke!$B$8*D777^2</f>
        <v>775.1460348180831</v>
      </c>
      <c r="K777" s="4">
        <f>Thiet_ke!$B$3*I777+J777</f>
        <v>1906.7295348180833</v>
      </c>
      <c r="L777" s="4">
        <f>(H777-J777)/Thiet_ke!$B$3</f>
        <v>0.06929760451938542</v>
      </c>
      <c r="M777" s="4">
        <f>1.05+0.05*B777^2</f>
        <v>1.1822875655532297</v>
      </c>
      <c r="N777" s="4">
        <f>(MIN(H777,Thiet_ke!$B$16)-K777)/(Thiet_ke!$B$2*M777)</f>
        <v>0.45053294634450697</v>
      </c>
      <c r="O777" s="4">
        <f>IF(N777&gt;0,1/N777,"")</f>
        <v>2.2195935016821933</v>
      </c>
    </row>
    <row r="778" spans="1:15">
      <c r="A778">
        <v>4</v>
      </c>
      <c r="B778" s="4">
        <f>Thiet_ke!$B$23</f>
        <v>1.6265765616977859</v>
      </c>
      <c r="C778" s="4">
        <f>Dau_vao!$B$21+(Dau_vao!$B$19-Dau_vao!$B$21)*173/200</f>
        <v>2357.0</v>
      </c>
      <c r="D778" s="4">
        <f>2*PI()*C778*Thiet_ke!$B$7/(60*Thiet_ke!$B$15*B778)</f>
        <v>16.341439846638455</v>
      </c>
      <c r="E778" s="4">
        <f>D778*3.6</f>
        <v>58.82918344789844</v>
      </c>
      <c r="F778" s="4">
        <f>Thiet_ke!$B$12*(Dau_vao!$B$22*(C778/Dau_vao!$B$19)+Dau_vao!$B$23*(C778/Dau_vao!$B$19)^2-Dau_vao!$B$24*(C778/Dau_vao!$B$19)^3)</f>
        <v>110.1062241579348</v>
      </c>
      <c r="G778" s="4">
        <f>60000*F778/(2*PI()*C778)</f>
        <v>446.0912135745334</v>
      </c>
      <c r="H778" s="4">
        <f>G778*Thiet_ke!$B$15*B778*Dau_vao!$B$10/Thiet_ke!$B$7</f>
        <v>5996.689423956734</v>
      </c>
      <c r="I778" s="4">
        <f>IF(D778&lt;=Dau_vao!$B$14,Dau_vao!$B$13,Dau_vao!$B$13*(1+D778^2/1500))</f>
        <v>0.015</v>
      </c>
      <c r="J778" s="4">
        <f>Thiet_ke!$B$8*D778^2</f>
        <v>781.0997695643114</v>
      </c>
      <c r="K778" s="4">
        <f>Thiet_ke!$B$3*I778+J778</f>
        <v>1912.6832695643116</v>
      </c>
      <c r="L778" s="4">
        <f>(H778-J778)/Thiet_ke!$B$3</f>
        <v>0.06913660796210473</v>
      </c>
      <c r="M778" s="4">
        <f>1.05+0.05*B778^2</f>
        <v>1.1822875655532297</v>
      </c>
      <c r="N778" s="4">
        <f>(MIN(H778,Thiet_ke!$B$16)-K778)/(Thiet_ke!$B$2*M778)</f>
        <v>0.4491970816420946</v>
      </c>
      <c r="O778" s="4">
        <f>IF(N778&gt;0,1/N778,"")</f>
        <v>2.226194338450237</v>
      </c>
    </row>
    <row r="779" spans="1:15">
      <c r="A779">
        <v>4</v>
      </c>
      <c r="B779" s="4">
        <f>Thiet_ke!$B$23</f>
        <v>1.6265765616977859</v>
      </c>
      <c r="C779" s="4">
        <f>Dau_vao!$B$21+(Dau_vao!$B$19-Dau_vao!$B$21)*174/200</f>
        <v>2366.0</v>
      </c>
      <c r="D779" s="4">
        <f>2*PI()*C779*Thiet_ke!$B$7/(60*Thiet_ke!$B$15*B779)</f>
        <v>16.40383821686321</v>
      </c>
      <c r="E779" s="4">
        <f>D779*3.6</f>
        <v>59.05381758070756</v>
      </c>
      <c r="F779" s="4">
        <f>Thiet_ke!$B$12*(Dau_vao!$B$22*(C779/Dau_vao!$B$19)+Dau_vao!$B$23*(C779/Dau_vao!$B$19)^2-Dau_vao!$B$24*(C779/Dau_vao!$B$19)^3)</f>
        <v>110.40998309415305</v>
      </c>
      <c r="G779" s="4">
        <f>60000*F779/(2*PI()*C779)</f>
        <v>445.62031892122707</v>
      </c>
      <c r="H779" s="4">
        <f>G779*Thiet_ke!$B$15*B779*Dau_vao!$B$10/Thiet_ke!$B$7</f>
        <v>5990.359308273323</v>
      </c>
      <c r="I779" s="4">
        <f>IF(D779&lt;=Dau_vao!$B$14,Dau_vao!$B$13,Dau_vao!$B$13*(1+D779^2/1500))</f>
        <v>0.015</v>
      </c>
      <c r="J779" s="4">
        <f>Thiet_ke!$B$8*D779^2</f>
        <v>787.0762816166894</v>
      </c>
      <c r="K779" s="4">
        <f>Thiet_ke!$B$3*I779+J779</f>
        <v>1918.6597816166895</v>
      </c>
      <c r="L779" s="4">
        <f>(H779-J779)/Thiet_ke!$B$3</f>
        <v>0.06897347425077292</v>
      </c>
      <c r="M779" s="4">
        <f>1.05+0.05*B779^2</f>
        <v>1.1822875655532297</v>
      </c>
      <c r="N779" s="4">
        <f>(MIN(H779,Thiet_ke!$B$16)-K779)/(Thiet_ke!$B$2*M779)</f>
        <v>0.44784348396011603</v>
      </c>
      <c r="O779" s="4">
        <f>IF(N779&gt;0,1/N779,"")</f>
        <v>2.2329229648656845</v>
      </c>
    </row>
    <row r="780" spans="1:15">
      <c r="A780">
        <v>4</v>
      </c>
      <c r="B780" s="4">
        <f>Thiet_ke!$B$23</f>
        <v>1.6265765616977859</v>
      </c>
      <c r="C780" s="4">
        <f>Dau_vao!$B$21+(Dau_vao!$B$19-Dau_vao!$B$21)*175/200</f>
        <v>2375.0</v>
      </c>
      <c r="D780" s="4">
        <f>2*PI()*C780*Thiet_ke!$B$7/(60*Thiet_ke!$B$15*B780)</f>
        <v>16.466236587087963</v>
      </c>
      <c r="E780" s="4">
        <f>D780*3.6</f>
        <v>59.27845171351667</v>
      </c>
      <c r="F780" s="4">
        <f>Thiet_ke!$B$12*(Dau_vao!$B$22*(C780/Dau_vao!$B$19)+Dau_vao!$B$23*(C780/Dau_vao!$B$19)^2-Dau_vao!$B$24*(C780/Dau_vao!$B$19)^3)</f>
        <v>110.71029294847435</v>
      </c>
      <c r="G780" s="4">
        <f>60000*F780/(2*PI()*C780)</f>
        <v>445.1391252354063</v>
      </c>
      <c r="H780" s="4">
        <f>G780*Thiet_ke!$B$15*B780*Dau_vao!$B$10/Thiet_ke!$B$7</f>
        <v>5983.890745345321</v>
      </c>
      <c r="I780" s="4">
        <f>IF(D780&lt;=Dau_vao!$B$14,Dau_vao!$B$13,Dau_vao!$B$13*(1+D780^2/1500))</f>
        <v>0.015</v>
      </c>
      <c r="J780" s="4">
        <f>Thiet_ke!$B$8*D780^2</f>
        <v>793.0755709752162</v>
      </c>
      <c r="K780" s="4">
        <f>Thiet_ke!$B$3*I780+J780</f>
        <v>1924.6590709752163</v>
      </c>
      <c r="L780" s="4">
        <f>(H780-J780)/Thiet_ke!$B$3</f>
        <v>0.06880820338539008</v>
      </c>
      <c r="M780" s="4">
        <f>1.05+0.05*B780^2</f>
        <v>1.1822875655532297</v>
      </c>
      <c r="N780" s="4">
        <f>(MIN(H780,Thiet_ke!$B$16)-K780)/(Thiet_ke!$B$2*M780)</f>
        <v>0.44647215329857187</v>
      </c>
      <c r="O780" s="4">
        <f>IF(N780&gt;0,1/N780,"")</f>
        <v>2.2397813449549324</v>
      </c>
    </row>
    <row r="781" spans="1:15">
      <c r="A781">
        <v>4</v>
      </c>
      <c r="B781" s="4">
        <f>Thiet_ke!$B$23</f>
        <v>1.6265765616977859</v>
      </c>
      <c r="C781" s="4">
        <f>Dau_vao!$B$21+(Dau_vao!$B$19-Dau_vao!$B$21)*176/200</f>
        <v>2384.0</v>
      </c>
      <c r="D781" s="4">
        <f>2*PI()*C781*Thiet_ke!$B$7/(60*Thiet_ke!$B$15*B781)</f>
        <v>16.52863495731272</v>
      </c>
      <c r="E781" s="4">
        <f>D781*3.6</f>
        <v>59.50308584632579</v>
      </c>
      <c r="F781" s="4">
        <f>Thiet_ke!$B$12*(Dau_vao!$B$22*(C781/Dau_vao!$B$19)+Dau_vao!$B$23*(C781/Dau_vao!$B$19)^2-Dau_vao!$B$24*(C781/Dau_vao!$B$19)^3)</f>
        <v>111.0071246010703</v>
      </c>
      <c r="G781" s="4">
        <f>60000*F781/(2*PI()*C781)</f>
        <v>444.64763251707075</v>
      </c>
      <c r="H781" s="4">
        <f>G781*Thiet_ke!$B$15*B781*Dau_vao!$B$10/Thiet_ke!$B$7</f>
        <v>5977.283735172719</v>
      </c>
      <c r="I781" s="4">
        <f>IF(D781&lt;=Dau_vao!$B$14,Dau_vao!$B$13,Dau_vao!$B$13*(1+D781^2/1500))</f>
        <v>0.015</v>
      </c>
      <c r="J781" s="4">
        <f>Thiet_ke!$B$8*D781^2</f>
        <v>799.0976376398925</v>
      </c>
      <c r="K781" s="4">
        <f>Thiet_ke!$B$3*I781+J781</f>
        <v>1930.6811376398928</v>
      </c>
      <c r="L781" s="4">
        <f>(H781-J781)/Thiet_ke!$B$3</f>
        <v>0.06864079536595612</v>
      </c>
      <c r="M781" s="4">
        <f>1.05+0.05*B781^2</f>
        <v>1.1822875655532297</v>
      </c>
      <c r="N781" s="4">
        <f>(MIN(H781,Thiet_ke!$B$16)-K781)/(Thiet_ke!$B$2*M781)</f>
        <v>0.4450830896574611</v>
      </c>
      <c r="O781" s="4">
        <f>IF(N781&gt;0,1/N781,"")</f>
        <v>2.246771497810907</v>
      </c>
    </row>
    <row r="782" spans="1:15">
      <c r="A782">
        <v>4</v>
      </c>
      <c r="B782" s="4">
        <f>Thiet_ke!$B$23</f>
        <v>1.6265765616977859</v>
      </c>
      <c r="C782" s="4">
        <f>Dau_vao!$B$21+(Dau_vao!$B$19-Dau_vao!$B$21)*177/200</f>
        <v>2393.0</v>
      </c>
      <c r="D782" s="4">
        <f>2*PI()*C782*Thiet_ke!$B$7/(60*Thiet_ke!$B$15*B782)</f>
        <v>16.591033327537474</v>
      </c>
      <c r="E782" s="4">
        <f>D782*3.6</f>
        <v>59.72771997913491</v>
      </c>
      <c r="F782" s="4">
        <f>Thiet_ke!$B$12*(Dau_vao!$B$22*(C782/Dau_vao!$B$19)+Dau_vao!$B$23*(C782/Dau_vao!$B$19)^2-Dau_vao!$B$24*(C782/Dau_vao!$B$19)^3)</f>
        <v>111.30044893211249</v>
      </c>
      <c r="G782" s="4">
        <f>60000*F782/(2*PI()*C782)</f>
        <v>444.14584076622066</v>
      </c>
      <c r="H782" s="4">
        <f>G782*Thiet_ke!$B$15*B782*Dau_vao!$B$10/Thiet_ke!$B$7</f>
        <v>5970.538277755526</v>
      </c>
      <c r="I782" s="4">
        <f>IF(D782&lt;=Dau_vao!$B$14,Dau_vao!$B$13,Dau_vao!$B$13*(1+D782^2/1500))</f>
        <v>0.015</v>
      </c>
      <c r="J782" s="4">
        <f>Thiet_ke!$B$8*D782^2</f>
        <v>805.1424816107182</v>
      </c>
      <c r="K782" s="4">
        <f>Thiet_ke!$B$3*I782+J782</f>
        <v>1936.7259816107185</v>
      </c>
      <c r="L782" s="4">
        <f>(H782-J782)/Thiet_ke!$B$3</f>
        <v>0.06847125019247109</v>
      </c>
      <c r="M782" s="4">
        <f>1.05+0.05*B782^2</f>
        <v>1.1822875655532297</v>
      </c>
      <c r="N782" s="4">
        <f>(MIN(H782,Thiet_ke!$B$16)-K782)/(Thiet_ke!$B$2*M782)</f>
        <v>0.44367629303678463</v>
      </c>
      <c r="O782" s="4">
        <f>IF(N782&gt;0,1/N782,"")</f>
        <v>2.2538954992510525</v>
      </c>
    </row>
    <row r="783" spans="1:15">
      <c r="A783">
        <v>4</v>
      </c>
      <c r="B783" s="4">
        <f>Thiet_ke!$B$23</f>
        <v>1.6265765616977859</v>
      </c>
      <c r="C783" s="4">
        <f>Dau_vao!$B$21+(Dau_vao!$B$19-Dau_vao!$B$21)*178/200</f>
        <v>2402.0</v>
      </c>
      <c r="D783" s="4">
        <f>2*PI()*C783*Thiet_ke!$B$7/(60*Thiet_ke!$B$15*B783)</f>
        <v>16.653431697762226</v>
      </c>
      <c r="E783" s="4">
        <f>D783*3.6</f>
        <v>59.95235411194402</v>
      </c>
      <c r="F783" s="4">
        <f>Thiet_ke!$B$12*(Dau_vao!$B$22*(C783/Dau_vao!$B$19)+Dau_vao!$B$23*(C783/Dau_vao!$B$19)^2-Dau_vao!$B$24*(C783/Dau_vao!$B$19)^3)</f>
        <v>111.59023682177258</v>
      </c>
      <c r="G783" s="4">
        <f>60000*F783/(2*PI()*C783)</f>
        <v>443.63374998285605</v>
      </c>
      <c r="H783" s="4">
        <f>G783*Thiet_ke!$B$15*B783*Dau_vao!$B$10/Thiet_ke!$B$7</f>
        <v>5963.65437309374</v>
      </c>
      <c r="I783" s="4">
        <f>IF(D783&lt;=Dau_vao!$B$14,Dau_vao!$B$13,Dau_vao!$B$13*(1+D783^2/1500))</f>
        <v>0.015</v>
      </c>
      <c r="J783" s="4">
        <f>Thiet_ke!$B$8*D783^2</f>
        <v>811.2101028876928</v>
      </c>
      <c r="K783" s="4">
        <f>Thiet_ke!$B$3*I783+J783</f>
        <v>1942.793602887693</v>
      </c>
      <c r="L783" s="4">
        <f>(H783-J783)/Thiet_ke!$B$3</f>
        <v>0.06829956786493503</v>
      </c>
      <c r="M783" s="4">
        <f>1.05+0.05*B783^2</f>
        <v>1.1822875655532297</v>
      </c>
      <c r="N783" s="4">
        <f>(MIN(H783,Thiet_ke!$B$16)-K783)/(Thiet_ke!$B$2*M783)</f>
        <v>0.4422517634365425</v>
      </c>
      <c r="O783" s="4">
        <f>IF(N783&gt;0,1/N783,"")</f>
        <v>2.2611554835405134</v>
      </c>
    </row>
    <row r="784" spans="1:15">
      <c r="A784">
        <v>4</v>
      </c>
      <c r="B784" s="4">
        <f>Thiet_ke!$B$23</f>
        <v>1.6265765616977859</v>
      </c>
      <c r="C784" s="4">
        <f>Dau_vao!$B$21+(Dau_vao!$B$19-Dau_vao!$B$21)*179/200</f>
        <v>2411.0</v>
      </c>
      <c r="D784" s="4">
        <f>2*PI()*C784*Thiet_ke!$B$7/(60*Thiet_ke!$B$15*B784)</f>
        <v>16.715830067986982</v>
      </c>
      <c r="E784" s="4">
        <f>D784*3.6</f>
        <v>60.17698824475313</v>
      </c>
      <c r="F784" s="4">
        <f>Thiet_ke!$B$12*(Dau_vao!$B$22*(C784/Dau_vao!$B$19)+Dau_vao!$B$23*(C784/Dau_vao!$B$19)^2-Dau_vao!$B$24*(C784/Dau_vao!$B$19)^3)</f>
        <v>111.87645915022212</v>
      </c>
      <c r="G784" s="4">
        <f>60000*F784/(2*PI()*C784)</f>
        <v>443.11136016697697</v>
      </c>
      <c r="H784" s="4">
        <f>G784*Thiet_ke!$B$15*B784*Dau_vao!$B$10/Thiet_ke!$B$7</f>
        <v>5956.632021187358</v>
      </c>
      <c r="I784" s="4">
        <f>IF(D784&lt;=Dau_vao!$B$14,Dau_vao!$B$13,Dau_vao!$B$13*(1+D784^2/1500))</f>
        <v>0.015</v>
      </c>
      <c r="J784" s="4">
        <f>Thiet_ke!$B$8*D784^2</f>
        <v>817.3005014708168</v>
      </c>
      <c r="K784" s="4">
        <f>Thiet_ke!$B$3*I784+J784</f>
        <v>1948.884001470817</v>
      </c>
      <c r="L784" s="4">
        <f>(H784-J784)/Thiet_ke!$B$3</f>
        <v>0.06812574838334785</v>
      </c>
      <c r="M784" s="4">
        <f>1.05+0.05*B784^2</f>
        <v>1.1822875655532297</v>
      </c>
      <c r="N784" s="4">
        <f>(MIN(H784,Thiet_ke!$B$16)-K784)/(Thiet_ke!$B$2*M784)</f>
        <v>0.44080950085673415</v>
      </c>
      <c r="O784" s="4">
        <f>IF(N784&gt;0,1/N784,"")</f>
        <v>2.2685536451833563</v>
      </c>
    </row>
    <row r="785" spans="1:15">
      <c r="A785">
        <v>4</v>
      </c>
      <c r="B785" s="4">
        <f>Thiet_ke!$B$23</f>
        <v>1.6265765616977859</v>
      </c>
      <c r="C785" s="4">
        <f>Dau_vao!$B$21+(Dau_vao!$B$19-Dau_vao!$B$21)*180/200</f>
        <v>2420.0</v>
      </c>
      <c r="D785" s="4">
        <f>2*PI()*C785*Thiet_ke!$B$7/(60*Thiet_ke!$B$15*B785)</f>
        <v>16.778228438211734</v>
      </c>
      <c r="E785" s="4">
        <f>D785*3.6</f>
        <v>60.40162237756224</v>
      </c>
      <c r="F785" s="4">
        <f>Thiet_ke!$B$12*(Dau_vao!$B$22*(C785/Dau_vao!$B$19)+Dau_vao!$B$23*(C785/Dau_vao!$B$19)^2-Dau_vao!$B$24*(C785/Dau_vao!$B$19)^3)</f>
        <v>112.1590867976327</v>
      </c>
      <c r="G785" s="4">
        <f>60000*F785/(2*PI()*C785)</f>
        <v>442.5786713185831</v>
      </c>
      <c r="H785" s="4">
        <f>G785*Thiet_ke!$B$15*B785*Dau_vao!$B$10/Thiet_ke!$B$7</f>
        <v>5949.471222036379</v>
      </c>
      <c r="I785" s="4">
        <f>IF(D785&lt;=Dau_vao!$B$14,Dau_vao!$B$13,Dau_vao!$B$13*(1+D785^2/1500))</f>
        <v>0.015</v>
      </c>
      <c r="J785" s="4">
        <f>Thiet_ke!$B$8*D785^2</f>
        <v>823.4136773600897</v>
      </c>
      <c r="K785" s="4">
        <f>Thiet_ke!$B$3*I785+J785</f>
        <v>1954.9971773600898</v>
      </c>
      <c r="L785" s="4">
        <f>(H785-J785)/Thiet_ke!$B$3</f>
        <v>0.06794979174770958</v>
      </c>
      <c r="M785" s="4">
        <f>1.05+0.05*B785^2</f>
        <v>1.1822875655532297</v>
      </c>
      <c r="N785" s="4">
        <f>(MIN(H785,Thiet_ke!$B$16)-K785)/(Thiet_ke!$B$2*M785)</f>
        <v>0.4393495052973596</v>
      </c>
      <c r="O785" s="4">
        <f>IF(N785&gt;0,1/N785,"")</f>
        <v>2.2760922407848896</v>
      </c>
    </row>
    <row r="786" spans="1:15">
      <c r="A786">
        <v>4</v>
      </c>
      <c r="B786" s="4">
        <f>Thiet_ke!$B$23</f>
        <v>1.6265765616977859</v>
      </c>
      <c r="C786" s="4">
        <f>Dau_vao!$B$21+(Dau_vao!$B$19-Dau_vao!$B$21)*181/200</f>
        <v>2429.0</v>
      </c>
      <c r="D786" s="4">
        <f>2*PI()*C786*Thiet_ke!$B$7/(60*Thiet_ke!$B$15*B786)</f>
        <v>16.84062680843649</v>
      </c>
      <c r="E786" s="4">
        <f>D786*3.6</f>
        <v>60.62625651037136</v>
      </c>
      <c r="F786" s="4">
        <f>Thiet_ke!$B$12*(Dau_vao!$B$22*(C786/Dau_vao!$B$19)+Dau_vao!$B$23*(C786/Dau_vao!$B$19)^2-Dau_vao!$B$24*(C786/Dau_vao!$B$19)^3)</f>
        <v>112.43809064417597</v>
      </c>
      <c r="G786" s="4">
        <f>60000*F786/(2*PI()*C786)</f>
        <v>442.0356834376747</v>
      </c>
      <c r="H786" s="4">
        <f>G786*Thiet_ke!$B$15*B786*Dau_vao!$B$10/Thiet_ke!$B$7</f>
        <v>5942.171975640809</v>
      </c>
      <c r="I786" s="4">
        <f>IF(D786&lt;=Dau_vao!$B$14,Dau_vao!$B$13,Dau_vao!$B$13*(1+D786^2/1500))</f>
        <v>0.015</v>
      </c>
      <c r="J786" s="4">
        <f>Thiet_ke!$B$8*D786^2</f>
        <v>829.5496305555123</v>
      </c>
      <c r="K786" s="4">
        <f>Thiet_ke!$B$3*I786+J786</f>
        <v>1961.1331305555125</v>
      </c>
      <c r="L786" s="4">
        <f>(H786-J786)/Thiet_ke!$B$3</f>
        <v>0.06777169795802028</v>
      </c>
      <c r="M786" s="4">
        <f>1.05+0.05*B786^2</f>
        <v>1.1822875655532297</v>
      </c>
      <c r="N786" s="4">
        <f>(MIN(H786,Thiet_ke!$B$16)-K786)/(Thiet_ke!$B$2*M786)</f>
        <v>0.43787177675841954</v>
      </c>
      <c r="O786" s="4">
        <f>IF(N786&gt;0,1/N786,"")</f>
        <v>2.283773590988293</v>
      </c>
    </row>
    <row r="787" spans="1:15">
      <c r="A787">
        <v>4</v>
      </c>
      <c r="B787" s="4">
        <f>Thiet_ke!$B$23</f>
        <v>1.6265765616977859</v>
      </c>
      <c r="C787" s="4">
        <f>Dau_vao!$B$21+(Dau_vao!$B$19-Dau_vao!$B$21)*182/200</f>
        <v>2438.0</v>
      </c>
      <c r="D787" s="4">
        <f>2*PI()*C787*Thiet_ke!$B$7/(60*Thiet_ke!$B$15*B787)</f>
        <v>16.903025178661245</v>
      </c>
      <c r="E787" s="4">
        <f>D787*3.6</f>
        <v>60.850890643180485</v>
      </c>
      <c r="F787" s="4">
        <f>Thiet_ke!$B$12*(Dau_vao!$B$22*(C787/Dau_vao!$B$19)+Dau_vao!$B$23*(C787/Dau_vao!$B$19)^2-Dau_vao!$B$24*(C787/Dau_vao!$B$19)^3)</f>
        <v>112.71344157002348</v>
      </c>
      <c r="G787" s="4">
        <f>60000*F787/(2*PI()*C787)</f>
        <v>441.4823965242516</v>
      </c>
      <c r="H787" s="4">
        <f>G787*Thiet_ke!$B$15*B787*Dau_vao!$B$10/Thiet_ke!$B$7</f>
        <v>5934.734282000641</v>
      </c>
      <c r="I787" s="4">
        <f>IF(D787&lt;=Dau_vao!$B$14,Dau_vao!$B$13,Dau_vao!$B$13*(1+D787^2/1500))</f>
        <v>0.015</v>
      </c>
      <c r="J787" s="4">
        <f>Thiet_ke!$B$8*D787^2</f>
        <v>835.7083610570841</v>
      </c>
      <c r="K787" s="4">
        <f>Thiet_ke!$B$3*I787+J787</f>
        <v>1967.2918610570841</v>
      </c>
      <c r="L787" s="4">
        <f>(H787-J787)/Thiet_ke!$B$3</f>
        <v>0.06759146701427984</v>
      </c>
      <c r="M787" s="4">
        <f>1.05+0.05*B787^2</f>
        <v>1.1822875655532297</v>
      </c>
      <c r="N787" s="4">
        <f>(MIN(H787,Thiet_ke!$B$16)-K787)/(Thiet_ke!$B$2*M787)</f>
        <v>0.43637631523991294</v>
      </c>
      <c r="O787" s="4">
        <f>IF(N787&gt;0,1/N787,"")</f>
        <v>2.2916000824889307</v>
      </c>
    </row>
    <row r="788" spans="1:15">
      <c r="A788">
        <v>4</v>
      </c>
      <c r="B788" s="4">
        <f>Thiet_ke!$B$23</f>
        <v>1.6265765616977859</v>
      </c>
      <c r="C788" s="4">
        <f>Dau_vao!$B$21+(Dau_vao!$B$19-Dau_vao!$B$21)*183/200</f>
        <v>2447.0</v>
      </c>
      <c r="D788" s="4">
        <f>2*PI()*C788*Thiet_ke!$B$7/(60*Thiet_ke!$B$15*B788)</f>
        <v>16.965423548885997</v>
      </c>
      <c r="E788" s="4">
        <f>D788*3.6</f>
        <v>61.07552477598959</v>
      </c>
      <c r="F788" s="4">
        <f>Thiet_ke!$B$12*(Dau_vao!$B$22*(C788/Dau_vao!$B$19)+Dau_vao!$B$23*(C788/Dau_vao!$B$19)^2-Dau_vao!$B$24*(C788/Dau_vao!$B$19)^3)</f>
        <v>112.98511045534687</v>
      </c>
      <c r="G788" s="4">
        <f>60000*F788/(2*PI()*C788)</f>
        <v>440.91881057831404</v>
      </c>
      <c r="H788" s="4">
        <f>G788*Thiet_ke!$B$15*B788*Dau_vao!$B$10/Thiet_ke!$B$7</f>
        <v>5927.15814111588</v>
      </c>
      <c r="I788" s="4">
        <f>IF(D788&lt;=Dau_vao!$B$14,Dau_vao!$B$13,Dau_vao!$B$13*(1+D788^2/1500))</f>
        <v>0.015</v>
      </c>
      <c r="J788" s="4">
        <f>Thiet_ke!$B$8*D788^2</f>
        <v>841.8898688648046</v>
      </c>
      <c r="K788" s="4">
        <f>Thiet_ke!$B$3*I788+J788</f>
        <v>1973.4733688648048</v>
      </c>
      <c r="L788" s="4">
        <f>(H788-J788)/Thiet_ke!$B$3</f>
        <v>0.06740909891648839</v>
      </c>
      <c r="M788" s="4">
        <f>1.05+0.05*B788^2</f>
        <v>1.1822875655532297</v>
      </c>
      <c r="N788" s="4">
        <f>(MIN(H788,Thiet_ke!$B$16)-K788)/(Thiet_ke!$B$2*M788)</f>
        <v>0.43486312074184075</v>
      </c>
      <c r="O788" s="4">
        <f>IF(N788&gt;0,1/N788,"")</f>
        <v>2.299574170129861</v>
      </c>
    </row>
    <row r="789" spans="1:15">
      <c r="A789">
        <v>4</v>
      </c>
      <c r="B789" s="4">
        <f>Thiet_ke!$B$23</f>
        <v>1.6265765616977859</v>
      </c>
      <c r="C789" s="4">
        <f>Dau_vao!$B$21+(Dau_vao!$B$19-Dau_vao!$B$21)*184/200</f>
        <v>2456.0</v>
      </c>
      <c r="D789" s="4">
        <f>2*PI()*C789*Thiet_ke!$B$7/(60*Thiet_ke!$B$15*B789)</f>
        <v>17.027821919110753</v>
      </c>
      <c r="E789" s="4">
        <f>D789*3.6</f>
        <v>61.300158908798714</v>
      </c>
      <c r="F789" s="4">
        <f>Thiet_ke!$B$12*(Dau_vao!$B$22*(C789/Dau_vao!$B$19)+Dau_vao!$B$23*(C789/Dau_vao!$B$19)^2-Dau_vao!$B$24*(C789/Dau_vao!$B$19)^3)</f>
        <v>113.25306818031773</v>
      </c>
      <c r="G789" s="4">
        <f>60000*F789/(2*PI()*C789)</f>
        <v>440.3449255998618</v>
      </c>
      <c r="H789" s="4">
        <f>G789*Thiet_ke!$B$15*B789*Dau_vao!$B$10/Thiet_ke!$B$7</f>
        <v>5919.443552986524</v>
      </c>
      <c r="I789" s="4">
        <f>IF(D789&lt;=Dau_vao!$B$14,Dau_vao!$B$13,Dau_vao!$B$13*(1+D789^2/1500))</f>
        <v>0.015</v>
      </c>
      <c r="J789" s="4">
        <f>Thiet_ke!$B$8*D789^2</f>
        <v>848.0941539786747</v>
      </c>
      <c r="K789" s="4">
        <f>Thiet_ke!$B$3*I789+J789</f>
        <v>1979.677653978675</v>
      </c>
      <c r="L789" s="4">
        <f>(H789-J789)/Thiet_ke!$B$3</f>
        <v>0.06722459366464581</v>
      </c>
      <c r="M789" s="4">
        <f>1.05+0.05*B789^2</f>
        <v>1.1822875655532297</v>
      </c>
      <c r="N789" s="4">
        <f>(MIN(H789,Thiet_ke!$B$16)-K789)/(Thiet_ke!$B$2*M789)</f>
        <v>0.43333219326420236</v>
      </c>
      <c r="O789" s="4">
        <f>IF(N789&gt;0,1/N789,"")</f>
        <v>2.3076983790823515</v>
      </c>
    </row>
    <row r="790" spans="1:15">
      <c r="A790">
        <v>4</v>
      </c>
      <c r="B790" s="4">
        <f>Thiet_ke!$B$23</f>
        <v>1.6265765616977859</v>
      </c>
      <c r="C790" s="4">
        <f>Dau_vao!$B$21+(Dau_vao!$B$19-Dau_vao!$B$21)*185/200</f>
        <v>2465.0</v>
      </c>
      <c r="D790" s="4">
        <f>2*PI()*C790*Thiet_ke!$B$7/(60*Thiet_ke!$B$15*B790)</f>
        <v>17.09022028933551</v>
      </c>
      <c r="E790" s="4">
        <f>D790*3.6</f>
        <v>61.524793041607836</v>
      </c>
      <c r="F790" s="4">
        <f>Thiet_ke!$B$12*(Dau_vao!$B$22*(C790/Dau_vao!$B$19)+Dau_vao!$B$23*(C790/Dau_vao!$B$19)^2-Dau_vao!$B$24*(C790/Dau_vao!$B$19)^3)</f>
        <v>113.51728562510766</v>
      </c>
      <c r="G790" s="4">
        <f>60000*F790/(2*PI()*C790)</f>
        <v>439.7607415888951</v>
      </c>
      <c r="H790" s="4">
        <f>G790*Thiet_ke!$B$15*B790*Dau_vao!$B$10/Thiet_ke!$B$7</f>
        <v>5911.590517612575</v>
      </c>
      <c r="I790" s="4">
        <f>IF(D790&lt;=Dau_vao!$B$14,Dau_vao!$B$13,Dau_vao!$B$13*(1+D790^2/1500))</f>
        <v>0.015</v>
      </c>
      <c r="J790" s="4">
        <f>Thiet_ke!$B$8*D790^2</f>
        <v>854.3212163986942</v>
      </c>
      <c r="K790" s="4">
        <f>Thiet_ke!$B$3*I790+J790</f>
        <v>1985.9047163986943</v>
      </c>
      <c r="L790" s="4">
        <f>(H790-J790)/Thiet_ke!$B$3</f>
        <v>0.06703795125875218</v>
      </c>
      <c r="M790" s="4">
        <f>1.05+0.05*B790^2</f>
        <v>1.1822875655532297</v>
      </c>
      <c r="N790" s="4">
        <f>(MIN(H790,Thiet_ke!$B$16)-K790)/(Thiet_ke!$B$2*M790)</f>
        <v>0.43178353280699827</v>
      </c>
      <c r="O790" s="4">
        <f>IF(N790&gt;0,1/N790,"")</f>
        <v>2.3159753071152607</v>
      </c>
    </row>
    <row r="791" spans="1:15">
      <c r="A791">
        <v>4</v>
      </c>
      <c r="B791" s="4">
        <f>Thiet_ke!$B$23</f>
        <v>1.6265765616977859</v>
      </c>
      <c r="C791" s="4">
        <f>Dau_vao!$B$21+(Dau_vao!$B$19-Dau_vao!$B$21)*186/200</f>
        <v>2474.0</v>
      </c>
      <c r="D791" s="4">
        <f>2*PI()*C791*Thiet_ke!$B$7/(60*Thiet_ke!$B$15*B791)</f>
        <v>17.15261865956026</v>
      </c>
      <c r="E791" s="4">
        <f>D791*3.6</f>
        <v>61.749427174416944</v>
      </c>
      <c r="F791" s="4">
        <f>Thiet_ke!$B$12*(Dau_vao!$B$22*(C791/Dau_vao!$B$19)+Dau_vao!$B$23*(C791/Dau_vao!$B$19)^2-Dau_vao!$B$24*(C791/Dau_vao!$B$19)^3)</f>
        <v>113.77773366988825</v>
      </c>
      <c r="G791" s="4">
        <f>60000*F791/(2*PI()*C791)</f>
        <v>439.1662585454136</v>
      </c>
      <c r="H791" s="4">
        <f>G791*Thiet_ke!$B$15*B791*Dau_vao!$B$10/Thiet_ke!$B$7</f>
        <v>5903.59903499403</v>
      </c>
      <c r="I791" s="4">
        <f>IF(D791&lt;=Dau_vao!$B$14,Dau_vao!$B$13,Dau_vao!$B$13*(1+D791^2/1500))</f>
        <v>0.015</v>
      </c>
      <c r="J791" s="4">
        <f>Thiet_ke!$B$8*D791^2</f>
        <v>860.5710561248625</v>
      </c>
      <c r="K791" s="4">
        <f>Thiet_ke!$B$3*I791+J791</f>
        <v>1992.1545561248627</v>
      </c>
      <c r="L791" s="4">
        <f>(H791-J791)/Thiet_ke!$B$3</f>
        <v>0.06684917169880747</v>
      </c>
      <c r="M791" s="4">
        <f>1.05+0.05*B791^2</f>
        <v>1.1822875655532297</v>
      </c>
      <c r="N791" s="4">
        <f>(MIN(H791,Thiet_ke!$B$16)-K791)/(Thiet_ke!$B$2*M791)</f>
        <v>0.43021713937022804</v>
      </c>
      <c r="O791" s="4">
        <f>IF(N791&gt;0,1/N791,"")</f>
        <v>2.32440762695751</v>
      </c>
    </row>
    <row r="792" spans="1:15">
      <c r="A792">
        <v>4</v>
      </c>
      <c r="B792" s="4">
        <f>Thiet_ke!$B$23</f>
        <v>1.6265765616977859</v>
      </c>
      <c r="C792" s="4">
        <f>Dau_vao!$B$21+(Dau_vao!$B$19-Dau_vao!$B$21)*187/200</f>
        <v>2483.0</v>
      </c>
      <c r="D792" s="4">
        <f>2*PI()*C792*Thiet_ke!$B$7/(60*Thiet_ke!$B$15*B792)</f>
        <v>17.215017029785017</v>
      </c>
      <c r="E792" s="4">
        <f>D792*3.6</f>
        <v>61.97406130722606</v>
      </c>
      <c r="F792" s="4">
        <f>Thiet_ke!$B$12*(Dau_vao!$B$22*(C792/Dau_vao!$B$19)+Dau_vao!$B$23*(C792/Dau_vao!$B$19)^2-Dau_vao!$B$24*(C792/Dau_vao!$B$19)^3)</f>
        <v>114.03438319483111</v>
      </c>
      <c r="G792" s="4">
        <f>60000*F792/(2*PI()*C792)</f>
        <v>438.56147646941764</v>
      </c>
      <c r="H792" s="4">
        <f>G792*Thiet_ke!$B$15*B792*Dau_vao!$B$10/Thiet_ke!$B$7</f>
        <v>5895.46910513089</v>
      </c>
      <c r="I792" s="4">
        <f>IF(D792&lt;=Dau_vao!$B$14,Dau_vao!$B$13,Dau_vao!$B$13*(1+D792^2/1500))</f>
        <v>0.015</v>
      </c>
      <c r="J792" s="4">
        <f>Thiet_ke!$B$8*D792^2</f>
        <v>866.8436731571804</v>
      </c>
      <c r="K792" s="4">
        <f>Thiet_ke!$B$3*I792+J792</f>
        <v>1998.4271731571807</v>
      </c>
      <c r="L792" s="4">
        <f>(H792-J792)/Thiet_ke!$B$3</f>
        <v>0.06665825498481168</v>
      </c>
      <c r="M792" s="4">
        <f>1.05+0.05*B792^2</f>
        <v>1.1822875655532297</v>
      </c>
      <c r="N792" s="4">
        <f>(MIN(H792,Thiet_ke!$B$16)-K792)/(Thiet_ke!$B$2*M792)</f>
        <v>0.42863301295389167</v>
      </c>
      <c r="O792" s="4">
        <f>IF(N792&gt;0,1/N792,"")</f>
        <v>2.332998088757971</v>
      </c>
    </row>
    <row r="793" spans="1:15">
      <c r="A793">
        <v>4</v>
      </c>
      <c r="B793" s="4">
        <f>Thiet_ke!$B$23</f>
        <v>1.6265765616977859</v>
      </c>
      <c r="C793" s="4">
        <f>Dau_vao!$B$21+(Dau_vao!$B$19-Dau_vao!$B$21)*188/200</f>
        <v>2492.0</v>
      </c>
      <c r="D793" s="4">
        <f>2*PI()*C793*Thiet_ke!$B$7/(60*Thiet_ke!$B$15*B793)</f>
        <v>17.27741540000977</v>
      </c>
      <c r="E793" s="4">
        <f>D793*3.6</f>
        <v>62.198695440035166</v>
      </c>
      <c r="F793" s="4">
        <f>Thiet_ke!$B$12*(Dau_vao!$B$22*(C793/Dau_vao!$B$19)+Dau_vao!$B$23*(C793/Dau_vao!$B$19)^2-Dau_vao!$B$24*(C793/Dau_vao!$B$19)^3)</f>
        <v>114.28720508010785</v>
      </c>
      <c r="G793" s="4">
        <f>60000*F793/(2*PI()*C793)</f>
        <v>437.94639536090705</v>
      </c>
      <c r="H793" s="4">
        <f>G793*Thiet_ke!$B$15*B793*Dau_vao!$B$10/Thiet_ke!$B$7</f>
        <v>5887.2007280231555</v>
      </c>
      <c r="I793" s="4">
        <f>IF(D793&lt;=Dau_vao!$B$14,Dau_vao!$B$13,Dau_vao!$B$13*(1+D793^2/1500))</f>
        <v>0.015</v>
      </c>
      <c r="J793" s="4">
        <f>Thiet_ke!$B$8*D793^2</f>
        <v>873.1390674956472</v>
      </c>
      <c r="K793" s="4">
        <f>Thiet_ke!$B$3*I793+J793</f>
        <v>2004.7225674956474</v>
      </c>
      <c r="L793" s="4">
        <f>(H793-J793)/Thiet_ke!$B$3</f>
        <v>0.0664652011167648</v>
      </c>
      <c r="M793" s="4">
        <f>1.05+0.05*B793^2</f>
        <v>1.1822875655532297</v>
      </c>
      <c r="N793" s="4">
        <f>(MIN(H793,Thiet_ke!$B$16)-K793)/(Thiet_ke!$B$2*M793)</f>
        <v>0.4270311535579895</v>
      </c>
      <c r="O793" s="4">
        <f>IF(N793&gt;0,1/N793,"")</f>
        <v>2.3417495226474223</v>
      </c>
    </row>
    <row r="794" spans="1:15">
      <c r="A794">
        <v>4</v>
      </c>
      <c r="B794" s="4">
        <f>Thiet_ke!$B$23</f>
        <v>1.6265765616977859</v>
      </c>
      <c r="C794" s="4">
        <f>Dau_vao!$B$21+(Dau_vao!$B$19-Dau_vao!$B$21)*189/200</f>
        <v>2501.0</v>
      </c>
      <c r="D794" s="4">
        <f>2*PI()*C794*Thiet_ke!$B$7/(60*Thiet_ke!$B$15*B794)</f>
        <v>17.339813770234525</v>
      </c>
      <c r="E794" s="4">
        <f>D794*3.6</f>
        <v>62.42332957284429</v>
      </c>
      <c r="F794" s="4">
        <f>Thiet_ke!$B$12*(Dau_vao!$B$22*(C794/Dau_vao!$B$19)+Dau_vao!$B$23*(C794/Dau_vao!$B$19)^2-Dau_vao!$B$24*(C794/Dau_vao!$B$19)^3)</f>
        <v>114.5361702058901</v>
      </c>
      <c r="G794" s="4">
        <f>60000*F794/(2*PI()*C794)</f>
        <v>437.32101521988193</v>
      </c>
      <c r="H794" s="4">
        <f>G794*Thiet_ke!$B$15*B794*Dau_vao!$B$10/Thiet_ke!$B$7</f>
        <v>5878.793903670828</v>
      </c>
      <c r="I794" s="4">
        <f>IF(D794&lt;=Dau_vao!$B$14,Dau_vao!$B$13,Dau_vao!$B$13*(1+D794^2/1500))</f>
        <v>0.015</v>
      </c>
      <c r="J794" s="4">
        <f>Thiet_ke!$B$8*D794^2</f>
        <v>879.4572391402634</v>
      </c>
      <c r="K794" s="4">
        <f>Thiet_ke!$B$3*I794+J794</f>
        <v>2011.0407391402637</v>
      </c>
      <c r="L794" s="4">
        <f>(H794-J794)/Thiet_ke!$B$3</f>
        <v>0.06627001009466686</v>
      </c>
      <c r="M794" s="4">
        <f>1.05+0.05*B794^2</f>
        <v>1.1822875655532297</v>
      </c>
      <c r="N794" s="4">
        <f>(MIN(H794,Thiet_ke!$B$16)-K794)/(Thiet_ke!$B$2*M794)</f>
        <v>0.4254115611825213</v>
      </c>
      <c r="O794" s="4">
        <f>IF(N794&gt;0,1/N794,"")</f>
        <v>2.350664841407433</v>
      </c>
    </row>
    <row r="795" spans="1:15">
      <c r="A795">
        <v>4</v>
      </c>
      <c r="B795" s="4">
        <f>Thiet_ke!$B$23</f>
        <v>1.6265765616977859</v>
      </c>
      <c r="C795" s="4">
        <f>Dau_vao!$B$21+(Dau_vao!$B$19-Dau_vao!$B$21)*190/200</f>
        <v>2510.0</v>
      </c>
      <c r="D795" s="4">
        <f>2*PI()*C795*Thiet_ke!$B$7/(60*Thiet_ke!$B$15*B795)</f>
        <v>17.402212140459277</v>
      </c>
      <c r="E795" s="4">
        <f>D795*3.6</f>
        <v>62.647963705653396</v>
      </c>
      <c r="F795" s="4">
        <f>Thiet_ke!$B$12*(Dau_vao!$B$22*(C795/Dau_vao!$B$19)+Dau_vao!$B$23*(C795/Dau_vao!$B$19)^2-Dau_vao!$B$24*(C795/Dau_vao!$B$19)^3)</f>
        <v>114.78124945234941</v>
      </c>
      <c r="G795" s="4">
        <f>60000*F795/(2*PI()*C795)</f>
        <v>436.6853360463422</v>
      </c>
      <c r="H795" s="4">
        <f>G795*Thiet_ke!$B$15*B795*Dau_vao!$B$10/Thiet_ke!$B$7</f>
        <v>5870.248632073904</v>
      </c>
      <c r="I795" s="4">
        <f>IF(D795&lt;=Dau_vao!$B$14,Dau_vao!$B$13,Dau_vao!$B$13*(1+D795^2/1500))</f>
        <v>0.015</v>
      </c>
      <c r="J795" s="4">
        <f>Thiet_ke!$B$8*D795^2</f>
        <v>885.7981880910287</v>
      </c>
      <c r="K795" s="4">
        <f>Thiet_ke!$B$3*I795+J795</f>
        <v>2017.381688091029</v>
      </c>
      <c r="L795" s="4">
        <f>(H795-J795)/Thiet_ke!$B$3</f>
        <v>0.06607268191851784</v>
      </c>
      <c r="M795" s="4">
        <f>1.05+0.05*B795^2</f>
        <v>1.1822875655532297</v>
      </c>
      <c r="N795" s="4">
        <f>(MIN(H795,Thiet_ke!$B$16)-K795)/(Thiet_ke!$B$2*M795)</f>
        <v>0.42377423582748713</v>
      </c>
      <c r="O795" s="4">
        <f>IF(N795&gt;0,1/N795,"")</f>
        <v>2.359747043251319</v>
      </c>
    </row>
    <row r="796" spans="1:15">
      <c r="A796">
        <v>4</v>
      </c>
      <c r="B796" s="4">
        <f>Thiet_ke!$B$23</f>
        <v>1.6265765616977859</v>
      </c>
      <c r="C796" s="4">
        <f>Dau_vao!$B$21+(Dau_vao!$B$19-Dau_vao!$B$21)*191/200</f>
        <v>2519.0</v>
      </c>
      <c r="D796" s="4">
        <f>2*PI()*C796*Thiet_ke!$B$7/(60*Thiet_ke!$B$15*B796)</f>
        <v>17.464610510684032</v>
      </c>
      <c r="E796" s="4">
        <f>D796*3.6</f>
        <v>62.87259783846252</v>
      </c>
      <c r="F796" s="4">
        <f>Thiet_ke!$B$12*(Dau_vao!$B$22*(C796/Dau_vao!$B$19)+Dau_vao!$B$23*(C796/Dau_vao!$B$19)^2-Dau_vao!$B$24*(C796/Dau_vao!$B$19)^3)</f>
        <v>115.02241369965739</v>
      </c>
      <c r="G796" s="4">
        <f>60000*F796/(2*PI()*C796)</f>
        <v>436.03935784028783</v>
      </c>
      <c r="H796" s="4">
        <f>G796*Thiet_ke!$B$15*B796*Dau_vao!$B$10/Thiet_ke!$B$7</f>
        <v>5861.564913232388</v>
      </c>
      <c r="I796" s="4">
        <f>IF(D796&lt;=Dau_vao!$B$14,Dau_vao!$B$13,Dau_vao!$B$13*(1+D796^2/1500))</f>
        <v>0.015</v>
      </c>
      <c r="J796" s="4">
        <f>Thiet_ke!$B$8*D796^2</f>
        <v>892.1619143479434</v>
      </c>
      <c r="K796" s="4">
        <f>Thiet_ke!$B$3*I796+J796</f>
        <v>2023.7454143479436</v>
      </c>
      <c r="L796" s="4">
        <f>(H796-J796)/Thiet_ke!$B$3</f>
        <v>0.06587321658831775</v>
      </c>
      <c r="M796" s="4">
        <f>1.05+0.05*B796^2</f>
        <v>1.1822875655532297</v>
      </c>
      <c r="N796" s="4">
        <f>(MIN(H796,Thiet_ke!$B$16)-K796)/(Thiet_ke!$B$2*M796)</f>
        <v>0.42211917749288713</v>
      </c>
      <c r="O796" s="4">
        <f>IF(N796&gt;0,1/N796,"")</f>
        <v>2.3689992147226016</v>
      </c>
    </row>
    <row r="797" spans="1:15">
      <c r="A797">
        <v>4</v>
      </c>
      <c r="B797" s="4">
        <f>Thiet_ke!$B$23</f>
        <v>1.6265765616977859</v>
      </c>
      <c r="C797" s="4">
        <f>Dau_vao!$B$21+(Dau_vao!$B$19-Dau_vao!$B$21)*192/200</f>
        <v>2528.0</v>
      </c>
      <c r="D797" s="4">
        <f>2*PI()*C797*Thiet_ke!$B$7/(60*Thiet_ke!$B$15*B797)</f>
        <v>17.527008880908788</v>
      </c>
      <c r="E797" s="4">
        <f>D797*3.6</f>
        <v>63.09723197127164</v>
      </c>
      <c r="F797" s="4">
        <f>Thiet_ke!$B$12*(Dau_vao!$B$22*(C797/Dau_vao!$B$19)+Dau_vao!$B$23*(C797/Dau_vao!$B$19)^2-Dau_vao!$B$24*(C797/Dau_vao!$B$19)^3)</f>
        <v>115.25963382798565</v>
      </c>
      <c r="G797" s="4">
        <f>60000*F797/(2*PI()*C797)</f>
        <v>435.3830806017188</v>
      </c>
      <c r="H797" s="4">
        <f>G797*Thiet_ke!$B$15*B797*Dau_vao!$B$10/Thiet_ke!$B$7</f>
        <v>5852.742747146274</v>
      </c>
      <c r="I797" s="4">
        <f>IF(D797&lt;=Dau_vao!$B$14,Dau_vao!$B$13,Dau_vao!$B$13*(1+D797^2/1500))</f>
        <v>0.015</v>
      </c>
      <c r="J797" s="4">
        <f>Thiet_ke!$B$8*D797^2</f>
        <v>898.5484179110075</v>
      </c>
      <c r="K797" s="4">
        <f>Thiet_ke!$B$3*I797+J797</f>
        <v>2030.1319179110078</v>
      </c>
      <c r="L797" s="4">
        <f>(H797-J797)/Thiet_ke!$B$3</f>
        <v>0.06567161410406655</v>
      </c>
      <c r="M797" s="4">
        <f>1.05+0.05*B797^2</f>
        <v>1.1822875655532297</v>
      </c>
      <c r="N797" s="4">
        <f>(MIN(H797,Thiet_ke!$B$16)-K797)/(Thiet_ke!$B$2*M797)</f>
        <v>0.4204463861787208</v>
      </c>
      <c r="O797" s="4">
        <f>IF(N797&gt;0,1/N797,"")</f>
        <v>2.3784245337167103</v>
      </c>
    </row>
    <row r="798" spans="1:15">
      <c r="A798">
        <v>4</v>
      </c>
      <c r="B798" s="4">
        <f>Thiet_ke!$B$23</f>
        <v>1.6265765616977859</v>
      </c>
      <c r="C798" s="4">
        <f>Dau_vao!$B$21+(Dau_vao!$B$19-Dau_vao!$B$21)*193/200</f>
        <v>2537.0</v>
      </c>
      <c r="D798" s="4">
        <f>2*PI()*C798*Thiet_ke!$B$7/(60*Thiet_ke!$B$15*B798)</f>
        <v>17.58940725113354</v>
      </c>
      <c r="E798" s="4">
        <f>D798*3.6</f>
        <v>63.32186610408075</v>
      </c>
      <c r="F798" s="4">
        <f>Thiet_ke!$B$12*(Dau_vao!$B$22*(C798/Dau_vao!$B$19)+Dau_vao!$B$23*(C798/Dau_vao!$B$19)^2-Dau_vao!$B$24*(C798/Dau_vao!$B$19)^3)</f>
        <v>115.49288071750577</v>
      </c>
      <c r="G798" s="4">
        <f>60000*F798/(2*PI()*C798)</f>
        <v>434.71650433063513</v>
      </c>
      <c r="H798" s="4">
        <f>G798*Thiet_ke!$B$15*B798*Dau_vao!$B$10/Thiet_ke!$B$7</f>
        <v>5843.782133815567</v>
      </c>
      <c r="I798" s="4">
        <f>IF(D798&lt;=Dau_vao!$B$14,Dau_vao!$B$13,Dau_vao!$B$13*(1+D798^2/1500))</f>
        <v>0.015</v>
      </c>
      <c r="J798" s="4">
        <f>Thiet_ke!$B$8*D798^2</f>
        <v>904.9576987802203</v>
      </c>
      <c r="K798" s="4">
        <f>Thiet_ke!$B$3*I798+J798</f>
        <v>2036.5411987802204</v>
      </c>
      <c r="L798" s="4">
        <f>(H798-J798)/Thiet_ke!$B$3</f>
        <v>0.0654678744657643</v>
      </c>
      <c r="M798" s="4">
        <f>1.05+0.05*B798^2</f>
        <v>1.1822875655532297</v>
      </c>
      <c r="N798" s="4">
        <f>(MIN(H798,Thiet_ke!$B$16)-K798)/(Thiet_ke!$B$2*M798)</f>
        <v>0.41875586188498876</v>
      </c>
      <c r="O798" s="4">
        <f>IF(N798&gt;0,1/N798,"")</f>
        <v>2.388026272631975</v>
      </c>
    </row>
    <row r="799" spans="1:15">
      <c r="A799">
        <v>4</v>
      </c>
      <c r="B799" s="4">
        <f>Thiet_ke!$B$23</f>
        <v>1.6265765616977859</v>
      </c>
      <c r="C799" s="4">
        <f>Dau_vao!$B$21+(Dau_vao!$B$19-Dau_vao!$B$21)*194/200</f>
        <v>2546.0</v>
      </c>
      <c r="D799" s="4">
        <f>2*PI()*C799*Thiet_ke!$B$7/(60*Thiet_ke!$B$15*B799)</f>
        <v>17.651805621358296</v>
      </c>
      <c r="E799" s="4">
        <f>D799*3.6</f>
        <v>63.54650023688987</v>
      </c>
      <c r="F799" s="4">
        <f>Thiet_ke!$B$12*(Dau_vao!$B$22*(C799/Dau_vao!$B$19)+Dau_vao!$B$23*(C799/Dau_vao!$B$19)^2-Dau_vao!$B$24*(C799/Dau_vao!$B$19)^3)</f>
        <v>115.72212524838945</v>
      </c>
      <c r="G799" s="4">
        <f>60000*F799/(2*PI()*C799)</f>
        <v>434.0396290270371</v>
      </c>
      <c r="H799" s="4">
        <f>G799*Thiet_ke!$B$15*B799*Dau_vao!$B$10/Thiet_ke!$B$7</f>
        <v>5834.683073240265</v>
      </c>
      <c r="I799" s="4">
        <f>IF(D799&lt;=Dau_vao!$B$14,Dau_vao!$B$13,Dau_vao!$B$13*(1+D799^2/1500))</f>
        <v>0.015</v>
      </c>
      <c r="J799" s="4">
        <f>Thiet_ke!$B$8*D799^2</f>
        <v>911.3897569555828</v>
      </c>
      <c r="K799" s="4">
        <f>Thiet_ke!$B$3*I799+J799</f>
        <v>2042.973256955583</v>
      </c>
      <c r="L799" s="4">
        <f>(H799-J799)/Thiet_ke!$B$3</f>
        <v>0.06526199767341095</v>
      </c>
      <c r="M799" s="4">
        <f>1.05+0.05*B799^2</f>
        <v>1.1822875655532297</v>
      </c>
      <c r="N799" s="4">
        <f>(MIN(H799,Thiet_ke!$B$16)-K799)/(Thiet_ke!$B$2*M799)</f>
        <v>0.41704760461169055</v>
      </c>
      <c r="O799" s="4">
        <f>IF(N799&gt;0,1/N799,"")</f>
        <v>2.3978078016563393</v>
      </c>
    </row>
    <row r="800" spans="1:15">
      <c r="A800">
        <v>4</v>
      </c>
      <c r="B800" s="4">
        <f>Thiet_ke!$B$23</f>
        <v>1.6265765616977859</v>
      </c>
      <c r="C800" s="4">
        <f>Dau_vao!$B$21+(Dau_vao!$B$19-Dau_vao!$B$21)*195/200</f>
        <v>2555.0</v>
      </c>
      <c r="D800" s="4">
        <f>2*PI()*C800*Thiet_ke!$B$7/(60*Thiet_ke!$B$15*B800)</f>
        <v>17.71420399158305</v>
      </c>
      <c r="E800" s="4">
        <f>D800*3.6</f>
        <v>63.771134369698984</v>
      </c>
      <c r="F800" s="4">
        <f>Thiet_ke!$B$12*(Dau_vao!$B$22*(C800/Dau_vao!$B$19)+Dau_vao!$B$23*(C800/Dau_vao!$B$19)^2-Dau_vao!$B$24*(C800/Dau_vao!$B$19)^3)</f>
        <v>115.94733830080816</v>
      </c>
      <c r="G800" s="4">
        <f>60000*F800/(2*PI()*C800)</f>
        <v>433.3524546909243</v>
      </c>
      <c r="H800" s="4">
        <f>G800*Thiet_ke!$B$15*B800*Dau_vao!$B$10/Thiet_ke!$B$7</f>
        <v>5825.445565420368</v>
      </c>
      <c r="I800" s="4">
        <f>IF(D800&lt;=Dau_vao!$B$14,Dau_vao!$B$13,Dau_vao!$B$13*(1+D800^2/1500))</f>
        <v>0.015</v>
      </c>
      <c r="J800" s="4">
        <f>Thiet_ke!$B$8*D800^2</f>
        <v>917.8445924370947</v>
      </c>
      <c r="K800" s="4">
        <f>Thiet_ke!$B$3*I800+J800</f>
        <v>2049.428092437095</v>
      </c>
      <c r="L800" s="4">
        <f>(H800-J800)/Thiet_ke!$B$3</f>
        <v>0.06505398372700653</v>
      </c>
      <c r="M800" s="4">
        <f>1.05+0.05*B800^2</f>
        <v>1.1822875655532297</v>
      </c>
      <c r="N800" s="4">
        <f>(MIN(H800,Thiet_ke!$B$16)-K800)/(Thiet_ke!$B$2*M800)</f>
        <v>0.4153216143588264</v>
      </c>
      <c r="O800" s="4">
        <f>IF(N800&gt;0,1/N800,"")</f>
        <v>2.4077725921965323</v>
      </c>
    </row>
    <row r="801" spans="1:15">
      <c r="A801">
        <v>4</v>
      </c>
      <c r="B801" s="4">
        <f>Thiet_ke!$B$23</f>
        <v>1.6265765616977859</v>
      </c>
      <c r="C801" s="4">
        <f>Dau_vao!$B$21+(Dau_vao!$B$19-Dau_vao!$B$21)*196/200</f>
        <v>2564.0</v>
      </c>
      <c r="D801" s="4">
        <f>2*PI()*C801*Thiet_ke!$B$7/(60*Thiet_ke!$B$15*B801)</f>
        <v>17.776602361807807</v>
      </c>
      <c r="E801" s="4">
        <f>D801*3.6</f>
        <v>63.995768502508106</v>
      </c>
      <c r="F801" s="4">
        <f>Thiet_ke!$B$12*(Dau_vao!$B$22*(C801/Dau_vao!$B$19)+Dau_vao!$B$23*(C801/Dau_vao!$B$19)^2-Dau_vao!$B$24*(C801/Dau_vao!$B$19)^3)</f>
        <v>116.16849075493356</v>
      </c>
      <c r="G801" s="4">
        <f>60000*F801/(2*PI()*C801)</f>
        <v>432.654981322297</v>
      </c>
      <c r="H801" s="4">
        <f>G801*Thiet_ke!$B$15*B801*Dau_vao!$B$10/Thiet_ke!$B$7</f>
        <v>5816.069610355876</v>
      </c>
      <c r="I801" s="4">
        <f>IF(D801&lt;=Dau_vao!$B$14,Dau_vao!$B$13,Dau_vao!$B$13*(1+D801^2/1500))</f>
        <v>0.015</v>
      </c>
      <c r="J801" s="4">
        <f>Thiet_ke!$B$8*D801^2</f>
        <v>924.3222052247555</v>
      </c>
      <c r="K801" s="4">
        <f>Thiet_ke!$B$3*I801+J801</f>
        <v>2055.905705224756</v>
      </c>
      <c r="L801" s="4">
        <f>(H801-J801)/Thiet_ke!$B$3</f>
        <v>0.06484383262655102</v>
      </c>
      <c r="M801" s="4">
        <f>1.05+0.05*B801^2</f>
        <v>1.1822875655532297</v>
      </c>
      <c r="N801" s="4">
        <f>(MIN(H801,Thiet_ke!$B$16)-K801)/(Thiet_ke!$B$2*M801)</f>
        <v>0.41357789112639615</v>
      </c>
      <c r="O801" s="4">
        <f>IF(N801&gt;0,1/N801,"")</f>
        <v>2.4179242204569</v>
      </c>
    </row>
    <row r="802" spans="1:15">
      <c r="A802">
        <v>4</v>
      </c>
      <c r="B802" s="4">
        <f>Thiet_ke!$B$23</f>
        <v>1.6265765616977859</v>
      </c>
      <c r="C802" s="4">
        <f>Dau_vao!$B$21+(Dau_vao!$B$19-Dau_vao!$B$21)*197/200</f>
        <v>2573.0</v>
      </c>
      <c r="D802" s="4">
        <f>2*PI()*C802*Thiet_ke!$B$7/(60*Thiet_ke!$B$15*B802)</f>
        <v>17.83900073203256</v>
      </c>
      <c r="E802" s="4">
        <f>D802*3.6</f>
        <v>64.22040263531721</v>
      </c>
      <c r="F802" s="4">
        <f>Thiet_ke!$B$12*(Dau_vao!$B$22*(C802/Dau_vao!$B$19)+Dau_vao!$B$23*(C802/Dau_vao!$B$19)^2-Dau_vao!$B$24*(C802/Dau_vao!$B$19)^3)</f>
        <v>116.38555349093728</v>
      </c>
      <c r="G802" s="4">
        <f>60000*F802/(2*PI()*C802)</f>
        <v>431.94720892115504</v>
      </c>
      <c r="H802" s="4">
        <f>G802*Thiet_ke!$B$15*B802*Dau_vao!$B$10/Thiet_ke!$B$7</f>
        <v>5806.5552080467905</v>
      </c>
      <c r="I802" s="4">
        <f>IF(D802&lt;=Dau_vao!$B$14,Dau_vao!$B$13,Dau_vao!$B$13*(1+D802^2/1500))</f>
        <v>0.015</v>
      </c>
      <c r="J802" s="4">
        <f>Thiet_ke!$B$8*D802^2</f>
        <v>930.8225953185654</v>
      </c>
      <c r="K802" s="4">
        <f>Thiet_ke!$B$3*I802+J802</f>
        <v>2062.4060953185653</v>
      </c>
      <c r="L802" s="4">
        <f>(H802-J802)/Thiet_ke!$B$3</f>
        <v>0.06463154437204445</v>
      </c>
      <c r="M802" s="4">
        <f>1.05+0.05*B802^2</f>
        <v>1.1822875655532297</v>
      </c>
      <c r="N802" s="4">
        <f>(MIN(H802,Thiet_ke!$B$16)-K802)/(Thiet_ke!$B$2*M802)</f>
        <v>0.4118164349144002</v>
      </c>
      <c r="O802" s="4">
        <f>IF(N802&gt;0,1/N802,"")</f>
        <v>2.4282663711754466</v>
      </c>
    </row>
    <row r="803" spans="1:15">
      <c r="A803">
        <v>4</v>
      </c>
      <c r="B803" s="4">
        <f>Thiet_ke!$B$23</f>
        <v>1.6265765616977859</v>
      </c>
      <c r="C803" s="4">
        <f>Dau_vao!$B$21+(Dau_vao!$B$19-Dau_vao!$B$21)*198/200</f>
        <v>2582.0</v>
      </c>
      <c r="D803" s="4">
        <f>2*PI()*C803*Thiet_ke!$B$7/(60*Thiet_ke!$B$15*B803)</f>
        <v>17.901399102257315</v>
      </c>
      <c r="E803" s="4">
        <f>D803*3.6</f>
        <v>64.44503676812634</v>
      </c>
      <c r="F803" s="4">
        <f>Thiet_ke!$B$12*(Dau_vao!$B$22*(C803/Dau_vao!$B$19)+Dau_vao!$B$23*(C803/Dau_vao!$B$19)^2-Dau_vao!$B$24*(C803/Dau_vao!$B$19)^3)</f>
        <v>116.59849738899089</v>
      </c>
      <c r="G803" s="4">
        <f>60000*F803/(2*PI()*C803)</f>
        <v>431.2291374874985</v>
      </c>
      <c r="H803" s="4">
        <f>G803*Thiet_ke!$B$15*B803*Dau_vao!$B$10/Thiet_ke!$B$7</f>
        <v>5796.902358493111</v>
      </c>
      <c r="I803" s="4">
        <f>IF(D803&lt;=Dau_vao!$B$14,Dau_vao!$B$13,Dau_vao!$B$13*(1+D803^2/1500))</f>
        <v>0.015</v>
      </c>
      <c r="J803" s="4">
        <f>Thiet_ke!$B$8*D803^2</f>
        <v>937.3457627185247</v>
      </c>
      <c r="K803" s="4">
        <f>Thiet_ke!$B$3*I803+J803</f>
        <v>2068.929262718525</v>
      </c>
      <c r="L803" s="4">
        <f>(H803-J803)/Thiet_ke!$B$3</f>
        <v>0.06441711896348683</v>
      </c>
      <c r="M803" s="4">
        <f>1.05+0.05*B803^2</f>
        <v>1.1822875655532297</v>
      </c>
      <c r="N803" s="4">
        <f>(MIN(H803,Thiet_ke!$B$16)-K803)/(Thiet_ke!$B$2*M803)</f>
        <v>0.4100372457228382</v>
      </c>
      <c r="O803" s="4">
        <f>IF(N803&gt;0,1/N803,"")</f>
        <v>2.4388028415251406</v>
      </c>
    </row>
    <row r="804" spans="1:15">
      <c r="A804">
        <v>4</v>
      </c>
      <c r="B804" s="4">
        <f>Thiet_ke!$B$23</f>
        <v>1.6265765616977859</v>
      </c>
      <c r="C804" s="4">
        <f>Dau_vao!$B$21+(Dau_vao!$B$19-Dau_vao!$B$21)*199/200</f>
        <v>2591.0</v>
      </c>
      <c r="D804" s="4">
        <f>2*PI()*C804*Thiet_ke!$B$7/(60*Thiet_ke!$B$15*B804)</f>
        <v>17.963797472482067</v>
      </c>
      <c r="E804" s="4">
        <f>D804*3.6</f>
        <v>64.66967090093544</v>
      </c>
      <c r="F804" s="4">
        <f>Thiet_ke!$B$12*(Dau_vao!$B$22*(C804/Dau_vao!$B$19)+Dau_vao!$B$23*(C804/Dau_vao!$B$19)^2-Dau_vao!$B$24*(C804/Dau_vao!$B$19)^3)</f>
        <v>116.80729332926596</v>
      </c>
      <c r="G804" s="4">
        <f>60000*F804/(2*PI()*C804)</f>
        <v>430.5007670213273</v>
      </c>
      <c r="H804" s="4">
        <f>G804*Thiet_ke!$B$15*B804*Dau_vao!$B$10/Thiet_ke!$B$7</f>
        <v>5787.111061694835</v>
      </c>
      <c r="I804" s="4">
        <f>IF(D804&lt;=Dau_vao!$B$14,Dau_vao!$B$13,Dau_vao!$B$13*(1+D804^2/1500))</f>
        <v>0.015</v>
      </c>
      <c r="J804" s="4">
        <f>Thiet_ke!$B$8*D804^2</f>
        <v>943.891707424633</v>
      </c>
      <c r="K804" s="4">
        <f>Thiet_ke!$B$3*I804+J804</f>
        <v>2075.475207424633</v>
      </c>
      <c r="L804" s="4">
        <f>(H804-J804)/Thiet_ke!$B$3</f>
        <v>0.06420055640087809</v>
      </c>
      <c r="M804" s="4">
        <f>1.05+0.05*B804^2</f>
        <v>1.1822875655532297</v>
      </c>
      <c r="N804" s="4">
        <f>(MIN(H804,Thiet_ke!$B$16)-K804)/(Thiet_ke!$B$2*M804)</f>
        <v>0.4082403235517101</v>
      </c>
      <c r="O804" s="4">
        <f>IF(N804&gt;0,1/N804,"")</f>
        <v>2.4495375451889534</v>
      </c>
    </row>
    <row r="805" spans="1:15">
      <c r="A805">
        <v>4</v>
      </c>
      <c r="B805" s="4">
        <f>Thiet_ke!$B$23</f>
        <v>1.6265765616977859</v>
      </c>
      <c r="C805" s="4">
        <f>Dau_vao!$B$21+(Dau_vao!$B$19-Dau_vao!$B$21)*200/200</f>
        <v>2600.0</v>
      </c>
      <c r="D805" s="4">
        <f>2*PI()*C805*Thiet_ke!$B$7/(60*Thiet_ke!$B$15*B805)</f>
        <v>18.02619584270682</v>
      </c>
      <c r="E805" s="4">
        <f>D805*3.6</f>
        <v>64.89430503374456</v>
      </c>
      <c r="F805" s="4">
        <f>Thiet_ke!$B$12*(Dau_vao!$B$22*(C805/Dau_vao!$B$19)+Dau_vao!$B$23*(C805/Dau_vao!$B$19)^2-Dau_vao!$B$24*(C805/Dau_vao!$B$19)^3)</f>
        <v>117.01191219193416</v>
      </c>
      <c r="G805" s="4">
        <f>60000*F805/(2*PI()*C805)</f>
        <v>429.7620975226416</v>
      </c>
      <c r="H805" s="4">
        <f>G805*Thiet_ke!$B$15*B805*Dau_vao!$B$10/Thiet_ke!$B$7</f>
        <v>5777.181317651967</v>
      </c>
      <c r="I805" s="4">
        <f>IF(D805&lt;=Dau_vao!$B$14,Dau_vao!$B$13,Dau_vao!$B$13*(1+D805^2/1500))</f>
        <v>0.015</v>
      </c>
      <c r="J805" s="4">
        <f>Thiet_ke!$B$8*D805^2</f>
        <v>950.4604294368904</v>
      </c>
      <c r="K805" s="4">
        <f>Thiet_ke!$B$3*I805+J805</f>
        <v>2082.0439294368907</v>
      </c>
      <c r="L805" s="4">
        <f>(H805-J805)/Thiet_ke!$B$3</f>
        <v>0.06398185668421831</v>
      </c>
      <c r="M805" s="4">
        <f>1.05+0.05*B805^2</f>
        <v>1.1822875655532297</v>
      </c>
      <c r="N805" s="4">
        <f>(MIN(H805,Thiet_ke!$B$16)-K805)/(Thiet_ke!$B$2*M805)</f>
        <v>0.4064256684010162</v>
      </c>
      <c r="O805" s="4">
        <f>IF(N805&gt;0,1/N805,"")</f>
        <v>2.4604745166176607</v>
      </c>
    </row>
    <row r="806" spans="1:15">
      <c r="A806">
        <v>5</v>
      </c>
      <c r="B806" s="4">
        <f>Thiet_ke!$B$24</f>
        <v>1.0</v>
      </c>
      <c r="C806" s="4">
        <f>Dau_vao!$B$21+(Dau_vao!$B$19-Dau_vao!$B$21)*0/200</f>
        <v>800.0</v>
      </c>
      <c r="D806" s="4">
        <f>2*PI()*C806*Thiet_ke!$B$7/(60*Thiet_ke!$B$15*B806)</f>
        <v>9.02184235517569</v>
      </c>
      <c r="E806" s="4">
        <f>D806*3.6</f>
        <v>32.478632478632484</v>
      </c>
      <c r="F806" s="4">
        <f>Thiet_ke!$B$12*(Dau_vao!$B$22*(C806/Dau_vao!$B$19)+Dau_vao!$B$23*(C806/Dau_vao!$B$19)^2-Dau_vao!$B$24*(C806/Dau_vao!$B$19)^3)</f>
        <v>31.210277899168606</v>
      </c>
      <c r="G806" s="4">
        <f>60000*F806/(2*PI()*C806)</f>
        <v>372.54525021933136</v>
      </c>
      <c r="H806" s="4">
        <f>G806*Thiet_ke!$B$15*B806*Dau_vao!$B$10/Thiet_ke!$B$7</f>
        <v>3078.8774882909306</v>
      </c>
      <c r="I806" s="4">
        <f>IF(D806&lt;=Dau_vao!$B$14,Dau_vao!$B$13,Dau_vao!$B$13*(1+D806^2/1500))</f>
        <v>0.015</v>
      </c>
      <c r="J806" s="4">
        <f>Thiet_ke!$B$8*D806^2</f>
        <v>238.07639548380294</v>
      </c>
      <c r="K806" s="4">
        <f>Thiet_ke!$B$3*I806+J806</f>
        <v>1369.6598954838032</v>
      </c>
      <c r="L806" s="4">
        <f>(H806-J806)/Thiet_ke!$B$3</f>
        <v>0.03765697926145698</v>
      </c>
      <c r="M806" s="4">
        <f>1.05+0.05*B806^2</f>
        <v>1.1</v>
      </c>
      <c r="N806" s="4">
        <f>(MIN(H806,Thiet_ke!$B$16)-K806)/(Thiet_ke!$B$2*M806)</f>
        <v>0.20205906050444822</v>
      </c>
      <c r="O806" s="4">
        <f>IF(N806&gt;0,1/N806,"")</f>
        <v>4.9490480530962655</v>
      </c>
    </row>
    <row r="807" spans="1:15">
      <c r="A807">
        <v>5</v>
      </c>
      <c r="B807" s="4">
        <f>Thiet_ke!$B$24</f>
        <v>1.0</v>
      </c>
      <c r="C807" s="4">
        <f>Dau_vao!$B$21+(Dau_vao!$B$19-Dau_vao!$B$21)*1/200</f>
        <v>809.0</v>
      </c>
      <c r="D807" s="4">
        <f>2*PI()*C807*Thiet_ke!$B$7/(60*Thiet_ke!$B$15*B807)</f>
        <v>9.123338081671415</v>
      </c>
      <c r="E807" s="4">
        <f>D807*3.6</f>
        <v>32.8440170940171</v>
      </c>
      <c r="F807" s="4">
        <f>Thiet_ke!$B$12*(Dau_vao!$B$22*(C807/Dau_vao!$B$19)+Dau_vao!$B$23*(C807/Dau_vao!$B$19)^2-Dau_vao!$B$24*(C807/Dau_vao!$B$19)^3)</f>
        <v>31.67244546633681</v>
      </c>
      <c r="G807" s="4">
        <f>60000*F807/(2*PI()*C807)</f>
        <v>373.8560881910502</v>
      </c>
      <c r="H807" s="4">
        <f>G807*Thiet_ke!$B$15*B807*Dau_vao!$B$10/Thiet_ke!$B$7</f>
        <v>3089.7108287228543</v>
      </c>
      <c r="I807" s="4">
        <f>IF(D807&lt;=Dau_vao!$B$14,Dau_vao!$B$13,Dau_vao!$B$13*(1+D807^2/1500))</f>
        <v>0.015</v>
      </c>
      <c r="J807" s="4">
        <f>Thiet_ke!$B$8*D807^2</f>
        <v>243.4632459259919</v>
      </c>
      <c r="K807" s="4">
        <f>Thiet_ke!$B$3*I807+J807</f>
        <v>1375.0467459259921</v>
      </c>
      <c r="L807" s="4">
        <f>(H807-J807)/Thiet_ke!$B$3</f>
        <v>0.037729176628991966</v>
      </c>
      <c r="M807" s="4">
        <f>1.05+0.05*B807^2</f>
        <v>1.1</v>
      </c>
      <c r="N807" s="4">
        <f>(MIN(H807,Thiet_ke!$B$16)-K807)/(Thiet_ke!$B$2*M807)</f>
        <v>0.20270292975491927</v>
      </c>
      <c r="O807" s="4">
        <f>IF(N807&gt;0,1/N807,"")</f>
        <v>4.933327807393132</v>
      </c>
    </row>
    <row r="808" spans="1:15">
      <c r="A808">
        <v>5</v>
      </c>
      <c r="B808" s="4">
        <f>Thiet_ke!$B$24</f>
        <v>1.0</v>
      </c>
      <c r="C808" s="4">
        <f>Dau_vao!$B$21+(Dau_vao!$B$19-Dau_vao!$B$21)*2/200</f>
        <v>818.0</v>
      </c>
      <c r="D808" s="4">
        <f>2*PI()*C808*Thiet_ke!$B$7/(60*Thiet_ke!$B$15*B808)</f>
        <v>9.22483380816714</v>
      </c>
      <c r="E808" s="4">
        <f>D808*3.6</f>
        <v>33.20940170940171</v>
      </c>
      <c r="F808" s="4">
        <f>Thiet_ke!$B$12*(Dau_vao!$B$22*(C808/Dau_vao!$B$19)+Dau_vao!$B$23*(C808/Dau_vao!$B$19)^2-Dau_vao!$B$24*(C808/Dau_vao!$B$19)^3)</f>
        <v>32.13620168192096</v>
      </c>
      <c r="G808" s="4">
        <f>60000*F808/(2*PI()*C808)</f>
        <v>375.15662713025444</v>
      </c>
      <c r="H808" s="4">
        <f>G808*Thiet_ke!$B$15*B808*Dau_vao!$B$10/Thiet_ke!$B$7</f>
        <v>3100.4590534289923</v>
      </c>
      <c r="I808" s="4">
        <f>IF(D808&lt;=Dau_vao!$B$14,Dau_vao!$B$13,Dau_vao!$B$13*(1+D808^2/1500))</f>
        <v>0.015</v>
      </c>
      <c r="J808" s="4">
        <f>Thiet_ke!$B$8*D808^2</f>
        <v>248.91035945578767</v>
      </c>
      <c r="K808" s="4">
        <f>Thiet_ke!$B$3*I808+J808</f>
        <v>1380.493859455788</v>
      </c>
      <c r="L808" s="4">
        <f>(H808-J808)/Thiet_ke!$B$3</f>
        <v>0.03779944688977708</v>
      </c>
      <c r="M808" s="4">
        <f>1.05+0.05*B808^2</f>
        <v>1.1</v>
      </c>
      <c r="N808" s="4">
        <f>(MIN(H808,Thiet_ke!$B$16)-K808)/(Thiet_ke!$B$2*M808)</f>
        <v>0.20332961271701197</v>
      </c>
      <c r="O808" s="4">
        <f>IF(N808&gt;0,1/N808,"")</f>
        <v>4.918122779251884</v>
      </c>
    </row>
    <row r="809" spans="1:15">
      <c r="A809">
        <v>5</v>
      </c>
      <c r="B809" s="4">
        <f>Thiet_ke!$B$24</f>
        <v>1.0</v>
      </c>
      <c r="C809" s="4">
        <f>Dau_vao!$B$21+(Dau_vao!$B$19-Dau_vao!$B$21)*3/200</f>
        <v>827.0</v>
      </c>
      <c r="D809" s="4">
        <f>2*PI()*C809*Thiet_ke!$B$7/(60*Thiet_ke!$B$15*B809)</f>
        <v>9.326329534662868</v>
      </c>
      <c r="E809" s="4">
        <f>D809*3.6</f>
        <v>33.574786324786324</v>
      </c>
      <c r="F809" s="4">
        <f>Thiet_ke!$B$12*(Dau_vao!$B$22*(C809/Dau_vao!$B$19)+Dau_vao!$B$23*(C809/Dau_vao!$B$19)^2-Dau_vao!$B$24*(C809/Dau_vao!$B$19)^3)</f>
        <v>32.60151742609266</v>
      </c>
      <c r="G809" s="4">
        <f>60000*F809/(2*PI()*C809)</f>
        <v>376.44686703694407</v>
      </c>
      <c r="H809" s="4">
        <f>G809*Thiet_ke!$B$15*B809*Dau_vao!$B$10/Thiet_ke!$B$7</f>
        <v>3111.122162409344</v>
      </c>
      <c r="I809" s="4">
        <f>IF(D809&lt;=Dau_vao!$B$14,Dau_vao!$B$13,Dau_vao!$B$13*(1+D809^2/1500))</f>
        <v>0.015</v>
      </c>
      <c r="J809" s="4">
        <f>Thiet_ke!$B$8*D809^2</f>
        <v>254.41773607319038</v>
      </c>
      <c r="K809" s="4">
        <f>Thiet_ke!$B$3*I809+J809</f>
        <v>1386.0012360731905</v>
      </c>
      <c r="L809" s="4">
        <f>(H809-J809)/Thiet_ke!$B$3</f>
        <v>0.03786779004381232</v>
      </c>
      <c r="M809" s="4">
        <f>1.05+0.05*B809^2</f>
        <v>1.1</v>
      </c>
      <c r="N809" s="4">
        <f>(MIN(H809,Thiet_ke!$B$16)-K809)/(Thiet_ke!$B$2*M809)</f>
        <v>0.2039391093907263</v>
      </c>
      <c r="O809" s="4">
        <f>IF(N809&gt;0,1/N809,"")</f>
        <v>4.903424374988827</v>
      </c>
    </row>
    <row r="810" spans="1:15">
      <c r="A810">
        <v>5</v>
      </c>
      <c r="B810" s="4">
        <f>Thiet_ke!$B$24</f>
        <v>1.0</v>
      </c>
      <c r="C810" s="4">
        <f>Dau_vao!$B$21+(Dau_vao!$B$19-Dau_vao!$B$21)*4/200</f>
        <v>836.0</v>
      </c>
      <c r="D810" s="4">
        <f>2*PI()*C810*Thiet_ke!$B$7/(60*Thiet_ke!$B$15*B810)</f>
        <v>9.427825261158596</v>
      </c>
      <c r="E810" s="4">
        <f>D810*3.6</f>
        <v>33.940170940170944</v>
      </c>
      <c r="F810" s="4">
        <f>Thiet_ke!$B$12*(Dau_vao!$B$22*(C810/Dau_vao!$B$19)+Dau_vao!$B$23*(C810/Dau_vao!$B$19)^2-Dau_vao!$B$24*(C810/Dau_vao!$B$19)^3)</f>
        <v>33.068363579023526</v>
      </c>
      <c r="G810" s="4">
        <f>60000*F810/(2*PI()*C810)</f>
        <v>377.7268079111192</v>
      </c>
      <c r="H810" s="4">
        <f>G810*Thiet_ke!$B$15*B810*Dau_vao!$B$10/Thiet_ke!$B$7</f>
        <v>3121.700155663912</v>
      </c>
      <c r="I810" s="4">
        <f>IF(D810&lt;=Dau_vao!$B$14,Dau_vao!$B$13,Dau_vao!$B$13*(1+D810^2/1500))</f>
        <v>0.015</v>
      </c>
      <c r="J810" s="4">
        <f>Thiet_ke!$B$8*D810^2</f>
        <v>259.9853757781999</v>
      </c>
      <c r="K810" s="4">
        <f>Thiet_ke!$B$3*I810+J810</f>
        <v>1391.5688757782</v>
      </c>
      <c r="L810" s="4">
        <f>(H810-J810)/Thiet_ke!$B$3</f>
        <v>0.037934206091097725</v>
      </c>
      <c r="M810" s="4">
        <f>1.05+0.05*B810^2</f>
        <v>1.1</v>
      </c>
      <c r="N810" s="4">
        <f>(MIN(H810,Thiet_ke!$B$16)-K810)/(Thiet_ke!$B$2*M810)</f>
        <v>0.20453141977606243</v>
      </c>
      <c r="O810" s="4">
        <f>IF(N810&gt;0,1/N810,"")</f>
        <v>4.88922436022241</v>
      </c>
    </row>
    <row r="811" spans="1:15">
      <c r="A811">
        <v>5</v>
      </c>
      <c r="B811" s="4">
        <f>Thiet_ke!$B$24</f>
        <v>1.0</v>
      </c>
      <c r="C811" s="4">
        <f>Dau_vao!$B$21+(Dau_vao!$B$19-Dau_vao!$B$21)*5/200</f>
        <v>845.0</v>
      </c>
      <c r="D811" s="4">
        <f>2*PI()*C811*Thiet_ke!$B$7/(60*Thiet_ke!$B$15*B811)</f>
        <v>9.529320987654321</v>
      </c>
      <c r="E811" s="4">
        <f>D811*3.6</f>
        <v>34.30555555555556</v>
      </c>
      <c r="F811" s="4">
        <f>Thiet_ke!$B$12*(Dau_vao!$B$22*(C811/Dau_vao!$B$19)+Dau_vao!$B$23*(C811/Dau_vao!$B$19)^2-Dau_vao!$B$24*(C811/Dau_vao!$B$19)^3)</f>
        <v>33.53671102088513</v>
      </c>
      <c r="G811" s="4">
        <f>60000*F811/(2*PI()*C811)</f>
        <v>378.9964497527796</v>
      </c>
      <c r="H811" s="4">
        <f>G811*Thiet_ke!$B$15*B811*Dau_vao!$B$10/Thiet_ke!$B$7</f>
        <v>3132.1930331926924</v>
      </c>
      <c r="I811" s="4">
        <f>IF(D811&lt;=Dau_vao!$B$14,Dau_vao!$B$13,Dau_vao!$B$13*(1+D811^2/1500))</f>
        <v>0.015</v>
      </c>
      <c r="J811" s="4">
        <f>Thiet_ke!$B$8*D811^2</f>
        <v>265.6132785708162</v>
      </c>
      <c r="K811" s="4">
        <f>Thiet_ke!$B$3*I811+J811</f>
        <v>1397.1967785708164</v>
      </c>
      <c r="L811" s="4">
        <f>(H811-J811)/Thiet_ke!$B$3</f>
        <v>0.03799869503163323</v>
      </c>
      <c r="M811" s="4">
        <f>1.05+0.05*B811^2</f>
        <v>1.1</v>
      </c>
      <c r="N811" s="4">
        <f>(MIN(H811,Thiet_ke!$B$16)-K811)/(Thiet_ke!$B$2*M811)</f>
        <v>0.20510654387302</v>
      </c>
      <c r="O811" s="4">
        <f>IF(N811&gt;0,1/N811,"")</f>
        <v>4.875514847634959</v>
      </c>
    </row>
    <row r="812" spans="1:15">
      <c r="A812">
        <v>5</v>
      </c>
      <c r="B812" s="4">
        <f>Thiet_ke!$B$24</f>
        <v>1.0</v>
      </c>
      <c r="C812" s="4">
        <f>Dau_vao!$B$21+(Dau_vao!$B$19-Dau_vao!$B$21)*6/200</f>
        <v>854.0</v>
      </c>
      <c r="D812" s="4">
        <f>2*PI()*C812*Thiet_ke!$B$7/(60*Thiet_ke!$B$15*B812)</f>
        <v>9.630816714150047</v>
      </c>
      <c r="E812" s="4">
        <f>D812*3.6</f>
        <v>34.67094017094017</v>
      </c>
      <c r="F812" s="4">
        <f>Thiet_ke!$B$12*(Dau_vao!$B$22*(C812/Dau_vao!$B$19)+Dau_vao!$B$23*(C812/Dau_vao!$B$19)^2-Dau_vao!$B$24*(C812/Dau_vao!$B$19)^3)</f>
        <v>34.006530631849095</v>
      </c>
      <c r="G812" s="4">
        <f>60000*F812/(2*PI()*C812)</f>
        <v>380.25579256192543</v>
      </c>
      <c r="H812" s="4">
        <f>G812*Thiet_ke!$B$15*B812*Dau_vao!$B$10/Thiet_ke!$B$7</f>
        <v>3142.6007949956884</v>
      </c>
      <c r="I812" s="4">
        <f>IF(D812&lt;=Dau_vao!$B$14,Dau_vao!$B$13,Dau_vao!$B$13*(1+D812^2/1500))</f>
        <v>0.015</v>
      </c>
      <c r="J812" s="4">
        <f>Thiet_ke!$B$8*D812^2</f>
        <v>271.30144445103934</v>
      </c>
      <c r="K812" s="4">
        <f>Thiet_ke!$B$3*I812+J812</f>
        <v>1402.8849444510395</v>
      </c>
      <c r="L812" s="4">
        <f>(H812-J812)/Thiet_ke!$B$3</f>
        <v>0.038061256865418884</v>
      </c>
      <c r="M812" s="4">
        <f>1.05+0.05*B812^2</f>
        <v>1.1</v>
      </c>
      <c r="N812" s="4">
        <f>(MIN(H812,Thiet_ke!$B$16)-K812)/(Thiet_ke!$B$2*M812)</f>
        <v>0.20566448168159934</v>
      </c>
      <c r="O812" s="4">
        <f>IF(N812&gt;0,1/N812,"")</f>
        <v>4.862288285383938</v>
      </c>
    </row>
    <row r="813" spans="1:15">
      <c r="A813">
        <v>5</v>
      </c>
      <c r="B813" s="4">
        <f>Thiet_ke!$B$24</f>
        <v>1.0</v>
      </c>
      <c r="C813" s="4">
        <f>Dau_vao!$B$21+(Dau_vao!$B$19-Dau_vao!$B$21)*7/200</f>
        <v>863.0</v>
      </c>
      <c r="D813" s="4">
        <f>2*PI()*C813*Thiet_ke!$B$7/(60*Thiet_ke!$B$15*B813)</f>
        <v>9.732312440645773</v>
      </c>
      <c r="E813" s="4">
        <f>D813*3.6</f>
        <v>35.03632478632478</v>
      </c>
      <c r="F813" s="4">
        <f>Thiet_ke!$B$12*(Dau_vao!$B$22*(C813/Dau_vao!$B$19)+Dau_vao!$B$23*(C813/Dau_vao!$B$19)^2-Dau_vao!$B$24*(C813/Dau_vao!$B$19)^3)</f>
        <v>34.47779329208702</v>
      </c>
      <c r="G813" s="4">
        <f>60000*F813/(2*PI()*C813)</f>
        <v>381.50483633855674</v>
      </c>
      <c r="H813" s="4">
        <f>G813*Thiet_ke!$B$15*B813*Dau_vao!$B$10/Thiet_ke!$B$7</f>
        <v>3152.923441072897</v>
      </c>
      <c r="I813" s="4">
        <f>IF(D813&lt;=Dau_vao!$B$14,Dau_vao!$B$13,Dau_vao!$B$13*(1+D813^2/1500))</f>
        <v>0.015</v>
      </c>
      <c r="J813" s="4">
        <f>Thiet_ke!$B$8*D813^2</f>
        <v>277.0498734188693</v>
      </c>
      <c r="K813" s="4">
        <f>Thiet_ke!$B$3*I813+J813</f>
        <v>1408.6333734188695</v>
      </c>
      <c r="L813" s="4">
        <f>(H813-J813)/Thiet_ke!$B$3</f>
        <v>0.038121891592454646</v>
      </c>
      <c r="M813" s="4">
        <f>1.05+0.05*B813^2</f>
        <v>1.1</v>
      </c>
      <c r="N813" s="4">
        <f>(MIN(H813,Thiet_ke!$B$16)-K813)/(Thiet_ke!$B$2*M813)</f>
        <v>0.20620523320180012</v>
      </c>
      <c r="O813" s="4">
        <f>IF(N813&gt;0,1/N813,"")</f>
        <v>4.849537446129521</v>
      </c>
    </row>
    <row r="814" spans="1:15">
      <c r="A814">
        <v>5</v>
      </c>
      <c r="B814" s="4">
        <f>Thiet_ke!$B$24</f>
        <v>1.0</v>
      </c>
      <c r="C814" s="4">
        <f>Dau_vao!$B$21+(Dau_vao!$B$19-Dau_vao!$B$21)*8/200</f>
        <v>872.0</v>
      </c>
      <c r="D814" s="4">
        <f>2*PI()*C814*Thiet_ke!$B$7/(60*Thiet_ke!$B$15*B814)</f>
        <v>9.833808167141498</v>
      </c>
      <c r="E814" s="4">
        <f>D814*3.6</f>
        <v>35.4017094017094</v>
      </c>
      <c r="F814" s="4">
        <f>Thiet_ke!$B$12*(Dau_vao!$B$22*(C814/Dau_vao!$B$19)+Dau_vao!$B$23*(C814/Dau_vao!$B$19)^2-Dau_vao!$B$24*(C814/Dau_vao!$B$19)^3)</f>
        <v>34.9504698817705</v>
      </c>
      <c r="G814" s="4">
        <f>60000*F814/(2*PI()*C814)</f>
        <v>382.7435810826734</v>
      </c>
      <c r="H814" s="4">
        <f>G814*Thiet_ke!$B$15*B814*Dau_vao!$B$10/Thiet_ke!$B$7</f>
        <v>3163.1609714243223</v>
      </c>
      <c r="I814" s="4">
        <f>IF(D814&lt;=Dau_vao!$B$14,Dau_vao!$B$13,Dau_vao!$B$13*(1+D814^2/1500))</f>
        <v>0.015</v>
      </c>
      <c r="J814" s="4">
        <f>Thiet_ke!$B$8*D814^2</f>
        <v>282.8585654743061</v>
      </c>
      <c r="K814" s="4">
        <f>Thiet_ke!$B$3*I814+J814</f>
        <v>1414.4420654743062</v>
      </c>
      <c r="L814" s="4">
        <f>(H814-J814)/Thiet_ke!$B$3</f>
        <v>0.038180599212740585</v>
      </c>
      <c r="M814" s="4">
        <f>1.05+0.05*B814^2</f>
        <v>1.1</v>
      </c>
      <c r="N814" s="4">
        <f>(MIN(H814,Thiet_ke!$B$16)-K814)/(Thiet_ke!$B$2*M814)</f>
        <v>0.2067287984336229</v>
      </c>
      <c r="O814" s="4">
        <f>IF(N814&gt;0,1/N814,"")</f>
        <v>4.837255416647154</v>
      </c>
    </row>
    <row r="815" spans="1:15">
      <c r="A815">
        <v>5</v>
      </c>
      <c r="B815" s="4">
        <f>Thiet_ke!$B$24</f>
        <v>1.0</v>
      </c>
      <c r="C815" s="4">
        <f>Dau_vao!$B$21+(Dau_vao!$B$19-Dau_vao!$B$21)*9/200</f>
        <v>881.0</v>
      </c>
      <c r="D815" s="4">
        <f>2*PI()*C815*Thiet_ke!$B$7/(60*Thiet_ke!$B$15*B815)</f>
        <v>9.935303893637228</v>
      </c>
      <c r="E815" s="4">
        <f>D815*3.6</f>
        <v>35.76709401709402</v>
      </c>
      <c r="F815" s="4">
        <f>Thiet_ke!$B$12*(Dau_vao!$B$22*(C815/Dau_vao!$B$19)+Dau_vao!$B$23*(C815/Dau_vao!$B$19)^2-Dau_vao!$B$24*(C815/Dau_vao!$B$19)^3)</f>
        <v>35.42453128107114</v>
      </c>
      <c r="G815" s="4">
        <f>60000*F815/(2*PI()*C815)</f>
        <v>383.9720267942754</v>
      </c>
      <c r="H815" s="4">
        <f>G815*Thiet_ke!$B$15*B815*Dau_vao!$B$10/Thiet_ke!$B$7</f>
        <v>3173.3133860499615</v>
      </c>
      <c r="I815" s="4">
        <f>IF(D815&lt;=Dau_vao!$B$14,Dau_vao!$B$13,Dau_vao!$B$13*(1+D815^2/1500))</f>
        <v>0.015</v>
      </c>
      <c r="J815" s="4">
        <f>Thiet_ke!$B$8*D815^2</f>
        <v>288.72752061734997</v>
      </c>
      <c r="K815" s="4">
        <f>Thiet_ke!$B$3*I815+J815</f>
        <v>1420.31102061735</v>
      </c>
      <c r="L815" s="4">
        <f>(H815-J815)/Thiet_ke!$B$3</f>
        <v>0.038237379726276645</v>
      </c>
      <c r="M815" s="4">
        <f>1.05+0.05*B815^2</f>
        <v>1.1</v>
      </c>
      <c r="N815" s="4">
        <f>(MIN(H815,Thiet_ke!$B$16)-K815)/(Thiet_ke!$B$2*M815)</f>
        <v>0.2072351773770672</v>
      </c>
      <c r="O815" s="4">
        <f>IF(N815&gt;0,1/N815,"")</f>
        <v>4.825435587996176</v>
      </c>
    </row>
    <row r="816" spans="1:15">
      <c r="A816">
        <v>5</v>
      </c>
      <c r="B816" s="4">
        <f>Thiet_ke!$B$24</f>
        <v>1.0</v>
      </c>
      <c r="C816" s="4">
        <f>Dau_vao!$B$21+(Dau_vao!$B$19-Dau_vao!$B$21)*10/200</f>
        <v>890.0</v>
      </c>
      <c r="D816" s="4">
        <f>2*PI()*C816*Thiet_ke!$B$7/(60*Thiet_ke!$B$15*B816)</f>
        <v>10.036799620132953</v>
      </c>
      <c r="E816" s="4">
        <f>D816*3.6</f>
        <v>36.13247863247863</v>
      </c>
      <c r="F816" s="4">
        <f>Thiet_ke!$B$12*(Dau_vao!$B$22*(C816/Dau_vao!$B$19)+Dau_vao!$B$23*(C816/Dau_vao!$B$19)^2-Dau_vao!$B$24*(C816/Dau_vao!$B$19)^3)</f>
        <v>35.89994837016054</v>
      </c>
      <c r="G816" s="4">
        <f>60000*F816/(2*PI()*C816)</f>
        <v>385.1901734733628</v>
      </c>
      <c r="H816" s="4">
        <f>G816*Thiet_ke!$B$15*B816*Dau_vao!$B$10/Thiet_ke!$B$7</f>
        <v>3183.380684949816</v>
      </c>
      <c r="I816" s="4">
        <f>IF(D816&lt;=Dau_vao!$B$14,Dau_vao!$B$13,Dau_vao!$B$13*(1+D816^2/1500))</f>
        <v>0.015</v>
      </c>
      <c r="J816" s="4">
        <f>Thiet_ke!$B$8*D816^2</f>
        <v>294.65673884800043</v>
      </c>
      <c r="K816" s="4">
        <f>Thiet_ke!$B$3*I816+J816</f>
        <v>1426.2402388480007</v>
      </c>
      <c r="L816" s="4">
        <f>(H816-J816)/Thiet_ke!$B$3</f>
        <v>0.038292233133062854</v>
      </c>
      <c r="M816" s="4">
        <f>1.05+0.05*B816^2</f>
        <v>1.1</v>
      </c>
      <c r="N816" s="4">
        <f>(MIN(H816,Thiet_ke!$B$16)-K816)/(Thiet_ke!$B$2*M816)</f>
        <v>0.20772437003213326</v>
      </c>
      <c r="O816" s="4">
        <f>IF(N816&gt;0,1/N816,"")</f>
        <v>4.814071646217092</v>
      </c>
    </row>
    <row r="817" spans="1:15">
      <c r="A817">
        <v>5</v>
      </c>
      <c r="B817" s="4">
        <f>Thiet_ke!$B$24</f>
        <v>1.0</v>
      </c>
      <c r="C817" s="4">
        <f>Dau_vao!$B$21+(Dau_vao!$B$19-Dau_vao!$B$21)*11/200</f>
        <v>899.0</v>
      </c>
      <c r="D817" s="4">
        <f>2*PI()*C817*Thiet_ke!$B$7/(60*Thiet_ke!$B$15*B817)</f>
        <v>10.13829534662868</v>
      </c>
      <c r="E817" s="4">
        <f>D817*3.6</f>
        <v>36.49786324786325</v>
      </c>
      <c r="F817" s="4">
        <f>Thiet_ke!$B$12*(Dau_vao!$B$22*(C817/Dau_vao!$B$19)+Dau_vao!$B$23*(C817/Dau_vao!$B$19)^2-Dau_vao!$B$24*(C817/Dau_vao!$B$19)^3)</f>
        <v>36.37669202921032</v>
      </c>
      <c r="G817" s="4">
        <f>60000*F817/(2*PI()*C817)</f>
        <v>386.3980211199358</v>
      </c>
      <c r="H817" s="4">
        <f>G817*Thiet_ke!$B$15*B817*Dau_vao!$B$10/Thiet_ke!$B$7</f>
        <v>3193.3628681238843</v>
      </c>
      <c r="I817" s="4">
        <f>IF(D817&lt;=Dau_vao!$B$14,Dau_vao!$B$13,Dau_vao!$B$13*(1+D817^2/1500))</f>
        <v>0.015</v>
      </c>
      <c r="J817" s="4">
        <f>Thiet_ke!$B$8*D817^2</f>
        <v>300.6462201662579</v>
      </c>
      <c r="K817" s="4">
        <f>Thiet_ke!$B$3*I817+J817</f>
        <v>1432.2297201662582</v>
      </c>
      <c r="L817" s="4">
        <f>(H817-J817)/Thiet_ke!$B$3</f>
        <v>0.038345159433099185</v>
      </c>
      <c r="M817" s="4">
        <f>1.05+0.05*B817^2</f>
        <v>1.1</v>
      </c>
      <c r="N817" s="4">
        <f>(MIN(H817,Thiet_ke!$B$16)-K817)/(Thiet_ke!$B$2*M817)</f>
        <v>0.2081963763988209</v>
      </c>
      <c r="O817" s="4">
        <f>IF(N817&gt;0,1/N817,"")</f>
        <v>4.803157563532231</v>
      </c>
    </row>
    <row r="818" spans="1:15">
      <c r="A818">
        <v>5</v>
      </c>
      <c r="B818" s="4">
        <f>Thiet_ke!$B$24</f>
        <v>1.0</v>
      </c>
      <c r="C818" s="4">
        <f>Dau_vao!$B$21+(Dau_vao!$B$19-Dau_vao!$B$21)*12/200</f>
        <v>908.0</v>
      </c>
      <c r="D818" s="4">
        <f>2*PI()*C818*Thiet_ke!$B$7/(60*Thiet_ke!$B$15*B818)</f>
        <v>10.239791073124406</v>
      </c>
      <c r="E818" s="4">
        <f>D818*3.6</f>
        <v>36.863247863247864</v>
      </c>
      <c r="F818" s="4">
        <f>Thiet_ke!$B$12*(Dau_vao!$B$22*(C818/Dau_vao!$B$19)+Dau_vao!$B$23*(C818/Dau_vao!$B$19)^2-Dau_vao!$B$24*(C818/Dau_vao!$B$19)^3)</f>
        <v>36.854733138392056</v>
      </c>
      <c r="G818" s="4">
        <f>60000*F818/(2*PI()*C818)</f>
        <v>387.59556973399407</v>
      </c>
      <c r="H818" s="4">
        <f>G818*Thiet_ke!$B$15*B818*Dau_vao!$B$10/Thiet_ke!$B$7</f>
        <v>3203.2599355721663</v>
      </c>
      <c r="I818" s="4">
        <f>IF(D818&lt;=Dau_vao!$B$14,Dau_vao!$B$13,Dau_vao!$B$13*(1+D818^2/1500))</f>
        <v>0.015</v>
      </c>
      <c r="J818" s="4">
        <f>Thiet_ke!$B$8*D818^2</f>
        <v>306.695964572122</v>
      </c>
      <c r="K818" s="4">
        <f>Thiet_ke!$B$3*I818+J818</f>
        <v>1438.2794645721222</v>
      </c>
      <c r="L818" s="4">
        <f>(H818-J818)/Thiet_ke!$B$3</f>
        <v>0.038396158626385644</v>
      </c>
      <c r="M818" s="4">
        <f>1.05+0.05*B818^2</f>
        <v>1.1</v>
      </c>
      <c r="N818" s="4">
        <f>(MIN(H818,Thiet_ke!$B$16)-K818)/(Thiet_ke!$B$2*M818)</f>
        <v>0.20865119647713018</v>
      </c>
      <c r="O818" s="4">
        <f>IF(N818&gt;0,1/N818,"")</f>
        <v>4.792687590025912</v>
      </c>
    </row>
    <row r="819" spans="1:15">
      <c r="A819">
        <v>5</v>
      </c>
      <c r="B819" s="4">
        <f>Thiet_ke!$B$24</f>
        <v>1.0</v>
      </c>
      <c r="C819" s="4">
        <f>Dau_vao!$B$21+(Dau_vao!$B$19-Dau_vao!$B$21)*13/200</f>
        <v>917.0</v>
      </c>
      <c r="D819" s="4">
        <f>2*PI()*C819*Thiet_ke!$B$7/(60*Thiet_ke!$B$15*B819)</f>
        <v>10.341286799620132</v>
      </c>
      <c r="E819" s="4">
        <f>D819*3.6</f>
        <v>37.22863247863248</v>
      </c>
      <c r="F819" s="4">
        <f>Thiet_ke!$B$12*(Dau_vao!$B$22*(C819/Dau_vao!$B$19)+Dau_vao!$B$23*(C819/Dau_vao!$B$19)^2-Dau_vao!$B$24*(C819/Dau_vao!$B$19)^3)</f>
        <v>37.33404257787736</v>
      </c>
      <c r="G819" s="4">
        <f>60000*F819/(2*PI()*C819)</f>
        <v>388.7828193155378</v>
      </c>
      <c r="H819" s="4">
        <f>G819*Thiet_ke!$B$15*B819*Dau_vao!$B$10/Thiet_ke!$B$7</f>
        <v>3213.0718872946636</v>
      </c>
      <c r="I819" s="4">
        <f>IF(D819&lt;=Dau_vao!$B$14,Dau_vao!$B$13,Dau_vao!$B$13*(1+D819^2/1500))</f>
        <v>0.015</v>
      </c>
      <c r="J819" s="4">
        <f>Thiet_ke!$B$8*D819^2</f>
        <v>312.805972065593</v>
      </c>
      <c r="K819" s="4">
        <f>Thiet_ke!$B$3*I819+J819</f>
        <v>1444.389472065593</v>
      </c>
      <c r="L819" s="4">
        <f>(H819-J819)/Thiet_ke!$B$3</f>
        <v>0.03844523071292225</v>
      </c>
      <c r="M819" s="4">
        <f>1.05+0.05*B819^2</f>
        <v>1.1</v>
      </c>
      <c r="N819" s="4">
        <f>(MIN(H819,Thiet_ke!$B$16)-K819)/(Thiet_ke!$B$2*M819)</f>
        <v>0.20908883026706118</v>
      </c>
      <c r="O819" s="4">
        <f>IF(N819&gt;0,1/N819,"")</f>
        <v>4.78265624578194</v>
      </c>
    </row>
    <row r="820" spans="1:15">
      <c r="A820">
        <v>5</v>
      </c>
      <c r="B820" s="4">
        <f>Thiet_ke!$B$24</f>
        <v>1.0</v>
      </c>
      <c r="C820" s="4">
        <f>Dau_vao!$B$21+(Dau_vao!$B$19-Dau_vao!$B$21)*14/200</f>
        <v>926.0</v>
      </c>
      <c r="D820" s="4">
        <f>2*PI()*C820*Thiet_ke!$B$7/(60*Thiet_ke!$B$15*B820)</f>
        <v>10.442782526115858</v>
      </c>
      <c r="E820" s="4">
        <f>D820*3.6</f>
        <v>37.59401709401709</v>
      </c>
      <c r="F820" s="4">
        <f>Thiet_ke!$B$12*(Dau_vao!$B$22*(C820/Dau_vao!$B$19)+Dau_vao!$B$23*(C820/Dau_vao!$B$19)^2-Dau_vao!$B$24*(C820/Dau_vao!$B$19)^3)</f>
        <v>37.81459122783783</v>
      </c>
      <c r="G820" s="4">
        <f>60000*F820/(2*PI()*C820)</f>
        <v>389.9597698645668</v>
      </c>
      <c r="H820" s="4">
        <f>G820*Thiet_ke!$B$15*B820*Dau_vao!$B$10/Thiet_ke!$B$7</f>
        <v>3222.798723291375</v>
      </c>
      <c r="I820" s="4">
        <f>IF(D820&lt;=Dau_vao!$B$14,Dau_vao!$B$13,Dau_vao!$B$13*(1+D820^2/1500))</f>
        <v>0.015</v>
      </c>
      <c r="J820" s="4">
        <f>Thiet_ke!$B$8*D820^2</f>
        <v>318.9762426466708</v>
      </c>
      <c r="K820" s="4">
        <f>Thiet_ke!$B$3*I820+J820</f>
        <v>1450.559742646671</v>
      </c>
      <c r="L820" s="4">
        <f>(H820-J820)/Thiet_ke!$B$3</f>
        <v>0.03849237569270898</v>
      </c>
      <c r="M820" s="4">
        <f>1.05+0.05*B820^2</f>
        <v>1.1</v>
      </c>
      <c r="N820" s="4">
        <f>(MIN(H820,Thiet_ke!$B$16)-K820)/(Thiet_ke!$B$2*M820)</f>
        <v>0.20950927776861378</v>
      </c>
      <c r="O820" s="4">
        <f>IF(N820&gt;0,1/N820,"")</f>
        <v>4.773058313457698</v>
      </c>
    </row>
    <row r="821" spans="1:15">
      <c r="A821">
        <v>5</v>
      </c>
      <c r="B821" s="4">
        <f>Thiet_ke!$B$24</f>
        <v>1.0</v>
      </c>
      <c r="C821" s="4">
        <f>Dau_vao!$B$21+(Dau_vao!$B$19-Dau_vao!$B$21)*15/200</f>
        <v>935.0</v>
      </c>
      <c r="D821" s="4">
        <f>2*PI()*C821*Thiet_ke!$B$7/(60*Thiet_ke!$B$15*B821)</f>
        <v>10.544278252611585</v>
      </c>
      <c r="E821" s="4">
        <f>D821*3.6</f>
        <v>37.95940170940171</v>
      </c>
      <c r="F821" s="4">
        <f>Thiet_ke!$B$12*(Dau_vao!$B$22*(C821/Dau_vao!$B$19)+Dau_vao!$B$23*(C821/Dau_vao!$B$19)^2-Dau_vao!$B$24*(C821/Dau_vao!$B$19)^3)</f>
        <v>38.29634996844507</v>
      </c>
      <c r="G821" s="4">
        <f>60000*F821/(2*PI()*C821)</f>
        <v>391.1264213810813</v>
      </c>
      <c r="H821" s="4">
        <f>G821*Thiet_ke!$B$15*B821*Dau_vao!$B$10/Thiet_ke!$B$7</f>
        <v>3232.440443562301</v>
      </c>
      <c r="I821" s="4">
        <f>IF(D821&lt;=Dau_vao!$B$14,Dau_vao!$B$13,Dau_vao!$B$13*(1+D821^2/1500))</f>
        <v>0.015</v>
      </c>
      <c r="J821" s="4">
        <f>Thiet_ke!$B$8*D821^2</f>
        <v>325.20677631535557</v>
      </c>
      <c r="K821" s="4">
        <f>Thiet_ke!$B$3*I821+J821</f>
        <v>1456.7902763153556</v>
      </c>
      <c r="L821" s="4">
        <f>(H821-J821)/Thiet_ke!$B$3</f>
        <v>0.038537593565745855</v>
      </c>
      <c r="M821" s="4">
        <f>1.05+0.05*B821^2</f>
        <v>1.1</v>
      </c>
      <c r="N821" s="4">
        <f>(MIN(H821,Thiet_ke!$B$16)-K821)/(Thiet_ke!$B$2*M821)</f>
        <v>0.20991253898178808</v>
      </c>
      <c r="O821" s="4">
        <f>IF(N821&gt;0,1/N821,"")</f>
        <v>4.7638888312753895</v>
      </c>
    </row>
    <row r="822" spans="1:15">
      <c r="A822">
        <v>5</v>
      </c>
      <c r="B822" s="4">
        <f>Thiet_ke!$B$24</f>
        <v>1.0</v>
      </c>
      <c r="C822" s="4">
        <f>Dau_vao!$B$21+(Dau_vao!$B$19-Dau_vao!$B$21)*16/200</f>
        <v>944.0</v>
      </c>
      <c r="D822" s="4">
        <f>2*PI()*C822*Thiet_ke!$B$7/(60*Thiet_ke!$B$15*B822)</f>
        <v>10.645773979107313</v>
      </c>
      <c r="E822" s="4">
        <f>D822*3.6</f>
        <v>38.324786324786324</v>
      </c>
      <c r="F822" s="4">
        <f>Thiet_ke!$B$12*(Dau_vao!$B$22*(C822/Dau_vao!$B$19)+Dau_vao!$B$23*(C822/Dau_vao!$B$19)^2-Dau_vao!$B$24*(C822/Dau_vao!$B$19)^3)</f>
        <v>38.7792896798707</v>
      </c>
      <c r="G822" s="4">
        <f>60000*F822/(2*PI()*C822)</f>
        <v>392.2827738650813</v>
      </c>
      <c r="H822" s="4">
        <f>G822*Thiet_ke!$B$15*B822*Dau_vao!$B$10/Thiet_ke!$B$7</f>
        <v>3241.997048107442</v>
      </c>
      <c r="I822" s="4">
        <f>IF(D822&lt;=Dau_vao!$B$14,Dau_vao!$B$13,Dau_vao!$B$13*(1+D822^2/1500))</f>
        <v>0.015</v>
      </c>
      <c r="J822" s="4">
        <f>Thiet_ke!$B$8*D822^2</f>
        <v>331.4975730716472</v>
      </c>
      <c r="K822" s="4">
        <f>Thiet_ke!$B$3*I822+J822</f>
        <v>1463.0810730716473</v>
      </c>
      <c r="L822" s="4">
        <f>(H822-J822)/Thiet_ke!$B$3</f>
        <v>0.03858088433203287</v>
      </c>
      <c r="M822" s="4">
        <f>1.05+0.05*B822^2</f>
        <v>1.1</v>
      </c>
      <c r="N822" s="4">
        <f>(MIN(H822,Thiet_ke!$B$16)-K822)/(Thiet_ke!$B$2*M822)</f>
        <v>0.21029861390658408</v>
      </c>
      <c r="O822" s="4">
        <f>IF(N822&gt;0,1/N822,"")</f>
        <v>4.755143086412382</v>
      </c>
    </row>
    <row r="823" spans="1:15">
      <c r="A823">
        <v>5</v>
      </c>
      <c r="B823" s="4">
        <f>Thiet_ke!$B$24</f>
        <v>1.0</v>
      </c>
      <c r="C823" s="4">
        <f>Dau_vao!$B$21+(Dau_vao!$B$19-Dau_vao!$B$21)*17/200</f>
        <v>953.0</v>
      </c>
      <c r="D823" s="4">
        <f>2*PI()*C823*Thiet_ke!$B$7/(60*Thiet_ke!$B$15*B823)</f>
        <v>10.74726970560304</v>
      </c>
      <c r="E823" s="4">
        <f>D823*3.6</f>
        <v>38.690170940170944</v>
      </c>
      <c r="F823" s="4">
        <f>Thiet_ke!$B$12*(Dau_vao!$B$22*(C823/Dau_vao!$B$19)+Dau_vao!$B$23*(C823/Dau_vao!$B$19)^2-Dau_vao!$B$24*(C823/Dau_vao!$B$19)^3)</f>
        <v>39.26338124228629</v>
      </c>
      <c r="G823" s="4">
        <f>60000*F823/(2*PI()*C823)</f>
        <v>393.4288273165666</v>
      </c>
      <c r="H823" s="4">
        <f>G823*Thiet_ke!$B$15*B823*Dau_vao!$B$10/Thiet_ke!$B$7</f>
        <v>3251.4685369267963</v>
      </c>
      <c r="I823" s="4">
        <f>IF(D823&lt;=Dau_vao!$B$14,Dau_vao!$B$13,Dau_vao!$B$13*(1+D823^2/1500))</f>
        <v>0.015</v>
      </c>
      <c r="J823" s="4">
        <f>Thiet_ke!$B$8*D823^2</f>
        <v>337.84863291554564</v>
      </c>
      <c r="K823" s="4">
        <f>Thiet_ke!$B$3*I823+J823</f>
        <v>1469.432132915546</v>
      </c>
      <c r="L823" s="4">
        <f>(H823-J823)/Thiet_ke!$B$3</f>
        <v>0.038622247991570005</v>
      </c>
      <c r="M823" s="4">
        <f>1.05+0.05*B823^2</f>
        <v>1.1</v>
      </c>
      <c r="N823" s="4">
        <f>(MIN(H823,Thiet_ke!$B$16)-K823)/(Thiet_ke!$B$2*M823)</f>
        <v>0.2106675025430016</v>
      </c>
      <c r="O823" s="4">
        <f>IF(N823&gt;0,1/N823,"")</f>
        <v>4.74681660877372</v>
      </c>
    </row>
    <row r="824" spans="1:15">
      <c r="A824">
        <v>5</v>
      </c>
      <c r="B824" s="4">
        <f>Thiet_ke!$B$24</f>
        <v>1.0</v>
      </c>
      <c r="C824" s="4">
        <f>Dau_vao!$B$21+(Dau_vao!$B$19-Dau_vao!$B$21)*18/200</f>
        <v>962.0</v>
      </c>
      <c r="D824" s="4">
        <f>2*PI()*C824*Thiet_ke!$B$7/(60*Thiet_ke!$B$15*B824)</f>
        <v>10.848765432098766</v>
      </c>
      <c r="E824" s="4">
        <f>D824*3.6</f>
        <v>39.05555555555556</v>
      </c>
      <c r="F824" s="4">
        <f>Thiet_ke!$B$12*(Dau_vao!$B$22*(C824/Dau_vao!$B$19)+Dau_vao!$B$23*(C824/Dau_vao!$B$19)^2-Dau_vao!$B$24*(C824/Dau_vao!$B$19)^3)</f>
        <v>39.74859553586345</v>
      </c>
      <c r="G824" s="4">
        <f>60000*F824/(2*PI()*C824)</f>
        <v>394.5645817355372</v>
      </c>
      <c r="H824" s="4">
        <f>G824*Thiet_ke!$B$15*B824*Dau_vao!$B$10/Thiet_ke!$B$7</f>
        <v>3260.854910020366</v>
      </c>
      <c r="I824" s="4">
        <f>IF(D824&lt;=Dau_vao!$B$14,Dau_vao!$B$13,Dau_vao!$B$13*(1+D824^2/1500))</f>
        <v>0.015</v>
      </c>
      <c r="J824" s="4">
        <f>Thiet_ke!$B$8*D824^2</f>
        <v>344.25995584705083</v>
      </c>
      <c r="K824" s="4">
        <f>Thiet_ke!$B$3*I824+J824</f>
        <v>1475.843455847051</v>
      </c>
      <c r="L824" s="4">
        <f>(H824-J824)/Thiet_ke!$B$3</f>
        <v>0.03866168454435729</v>
      </c>
      <c r="M824" s="4">
        <f>1.05+0.05*B824^2</f>
        <v>1.1</v>
      </c>
      <c r="N824" s="4">
        <f>(MIN(H824,Thiet_ke!$B$16)-K824)/(Thiet_ke!$B$2*M824)</f>
        <v>0.2110192048910409</v>
      </c>
      <c r="O824" s="4">
        <f>IF(N824&gt;0,1/N824,"")</f>
        <v>4.738905165131045</v>
      </c>
    </row>
    <row r="825" spans="1:15">
      <c r="A825">
        <v>5</v>
      </c>
      <c r="B825" s="4">
        <f>Thiet_ke!$B$24</f>
        <v>1.0</v>
      </c>
      <c r="C825" s="4">
        <f>Dau_vao!$B$21+(Dau_vao!$B$19-Dau_vao!$B$21)*19/200</f>
        <v>971.0</v>
      </c>
      <c r="D825" s="4">
        <f>2*PI()*C825*Thiet_ke!$B$7/(60*Thiet_ke!$B$15*B825)</f>
        <v>10.950261158594492</v>
      </c>
      <c r="E825" s="4">
        <f>D825*3.6</f>
        <v>39.42094017094017</v>
      </c>
      <c r="F825" s="4">
        <f>Thiet_ke!$B$12*(Dau_vao!$B$22*(C825/Dau_vao!$B$19)+Dau_vao!$B$23*(C825/Dau_vao!$B$19)^2-Dau_vao!$B$24*(C825/Dau_vao!$B$19)^3)</f>
        <v>40.234903440773806</v>
      </c>
      <c r="G825" s="4">
        <f>60000*F825/(2*PI()*C825)</f>
        <v>395.6900371219933</v>
      </c>
      <c r="H825" s="4">
        <f>G825*Thiet_ke!$B$15*B825*Dau_vao!$B$10/Thiet_ke!$B$7</f>
        <v>3270.1561673881497</v>
      </c>
      <c r="I825" s="4">
        <f>IF(D825&lt;=Dau_vao!$B$14,Dau_vao!$B$13,Dau_vao!$B$13*(1+D825^2/1500))</f>
        <v>0.015</v>
      </c>
      <c r="J825" s="4">
        <f>Thiet_ke!$B$8*D825^2</f>
        <v>350.7315418661628</v>
      </c>
      <c r="K825" s="4">
        <f>Thiet_ke!$B$3*I825+J825</f>
        <v>1482.315041866163</v>
      </c>
      <c r="L825" s="4">
        <f>(H825-J825)/Thiet_ke!$B$3</f>
        <v>0.0386991939903947</v>
      </c>
      <c r="M825" s="4">
        <f>1.05+0.05*B825^2</f>
        <v>1.1</v>
      </c>
      <c r="N825" s="4">
        <f>(MIN(H825,Thiet_ke!$B$16)-K825)/(Thiet_ke!$B$2*M825)</f>
        <v>0.21135372095070182</v>
      </c>
      <c r="O825" s="4">
        <f>IF(N825&gt;0,1/N825,"")</f>
        <v>4.731404753613255</v>
      </c>
    </row>
    <row r="826" spans="1:15">
      <c r="A826">
        <v>5</v>
      </c>
      <c r="B826" s="4">
        <f>Thiet_ke!$B$24</f>
        <v>1.0</v>
      </c>
      <c r="C826" s="4">
        <f>Dau_vao!$B$21+(Dau_vao!$B$19-Dau_vao!$B$21)*20/200</f>
        <v>980.0</v>
      </c>
      <c r="D826" s="4">
        <f>2*PI()*C826*Thiet_ke!$B$7/(60*Thiet_ke!$B$15*B826)</f>
        <v>11.051756885090217</v>
      </c>
      <c r="E826" s="4">
        <f>D826*3.6</f>
        <v>39.78632478632478</v>
      </c>
      <c r="F826" s="4">
        <f>Thiet_ke!$B$12*(Dau_vao!$B$22*(C826/Dau_vao!$B$19)+Dau_vao!$B$23*(C826/Dau_vao!$B$19)^2-Dau_vao!$B$24*(C826/Dau_vao!$B$19)^3)</f>
        <v>40.72227583718894</v>
      </c>
      <c r="G826" s="4">
        <f>60000*F826/(2*PI()*C826)</f>
        <v>396.8051934759349</v>
      </c>
      <c r="H826" s="4">
        <f>G826*Thiet_ke!$B$15*B826*Dau_vao!$B$10/Thiet_ke!$B$7</f>
        <v>3279.372309030149</v>
      </c>
      <c r="I826" s="4">
        <f>IF(D826&lt;=Dau_vao!$B$14,Dau_vao!$B$13,Dau_vao!$B$13*(1+D826^2/1500))</f>
        <v>0.015</v>
      </c>
      <c r="J826" s="4">
        <f>Thiet_ke!$B$8*D826^2</f>
        <v>357.26339097288167</v>
      </c>
      <c r="K826" s="4">
        <f>Thiet_ke!$B$3*I826+J826</f>
        <v>1488.8468909728817</v>
      </c>
      <c r="L826" s="4">
        <f>(H826-J826)/Thiet_ke!$B$3</f>
        <v>0.038734776329682266</v>
      </c>
      <c r="M826" s="4">
        <f>1.05+0.05*B826^2</f>
        <v>1.1</v>
      </c>
      <c r="N826" s="4">
        <f>(MIN(H826,Thiet_ke!$B$16)-K826)/(Thiet_ke!$B$2*M826)</f>
        <v>0.21167105072198455</v>
      </c>
      <c r="O826" s="4">
        <f>IF(N826&gt;0,1/N826,"")</f>
        <v>4.72431159853518</v>
      </c>
    </row>
    <row r="827" spans="1:15">
      <c r="A827">
        <v>5</v>
      </c>
      <c r="B827" s="4">
        <f>Thiet_ke!$B$24</f>
        <v>1.0</v>
      </c>
      <c r="C827" s="4">
        <f>Dau_vao!$B$21+(Dau_vao!$B$19-Dau_vao!$B$21)*21/200</f>
        <v>989.0</v>
      </c>
      <c r="D827" s="4">
        <f>2*PI()*C827*Thiet_ke!$B$7/(60*Thiet_ke!$B$15*B827)</f>
        <v>11.153252611585943</v>
      </c>
      <c r="E827" s="4">
        <f>D827*3.6</f>
        <v>40.1517094017094</v>
      </c>
      <c r="F827" s="4">
        <f>Thiet_ke!$B$12*(Dau_vao!$B$22*(C827/Dau_vao!$B$19)+Dau_vao!$B$23*(C827/Dau_vao!$B$19)^2-Dau_vao!$B$24*(C827/Dau_vao!$B$19)^3)</f>
        <v>41.210683605280444</v>
      </c>
      <c r="G827" s="4">
        <f>60000*F827/(2*PI()*C827)</f>
        <v>397.91005079736175</v>
      </c>
      <c r="H827" s="4">
        <f>G827*Thiet_ke!$B$15*B827*Dau_vao!$B$10/Thiet_ke!$B$7</f>
        <v>3288.503334946361</v>
      </c>
      <c r="I827" s="4">
        <f>IF(D827&lt;=Dau_vao!$B$14,Dau_vao!$B$13,Dau_vao!$B$13*(1+D827^2/1500))</f>
        <v>0.015</v>
      </c>
      <c r="J827" s="4">
        <f>Thiet_ke!$B$8*D827^2</f>
        <v>363.85550316720736</v>
      </c>
      <c r="K827" s="4">
        <f>Thiet_ke!$B$3*I827+J827</f>
        <v>1495.4390031672076</v>
      </c>
      <c r="L827" s="4">
        <f>(H827-J827)/Thiet_ke!$B$3</f>
        <v>0.038768431562219936</v>
      </c>
      <c r="M827" s="4">
        <f>1.05+0.05*B827^2</f>
        <v>1.1</v>
      </c>
      <c r="N827" s="4">
        <f>(MIN(H827,Thiet_ke!$B$16)-K827)/(Thiet_ke!$B$2*M827)</f>
        <v>0.2119711942048887</v>
      </c>
      <c r="O827" s="4">
        <f>IF(N827&gt;0,1/N827,"")</f>
        <v>4.717622145551591</v>
      </c>
    </row>
    <row r="828" spans="1:15">
      <c r="A828">
        <v>5</v>
      </c>
      <c r="B828" s="4">
        <f>Thiet_ke!$B$24</f>
        <v>1.0</v>
      </c>
      <c r="C828" s="4">
        <f>Dau_vao!$B$21+(Dau_vao!$B$19-Dau_vao!$B$21)*22/200</f>
        <v>998.0</v>
      </c>
      <c r="D828" s="4">
        <f>2*PI()*C828*Thiet_ke!$B$7/(60*Thiet_ke!$B$15*B828)</f>
        <v>11.254748338081672</v>
      </c>
      <c r="E828" s="4">
        <f>D828*3.6</f>
        <v>40.517094017094024</v>
      </c>
      <c r="F828" s="4">
        <f>Thiet_ke!$B$12*(Dau_vao!$B$22*(C828/Dau_vao!$B$19)+Dau_vao!$B$23*(C828/Dau_vao!$B$19)^2-Dau_vao!$B$24*(C828/Dau_vao!$B$19)^3)</f>
        <v>41.70009762521995</v>
      </c>
      <c r="G828" s="4">
        <f>60000*F828/(2*PI()*C828)</f>
        <v>399.0046090862742</v>
      </c>
      <c r="H828" s="4">
        <f>G828*Thiet_ke!$B$15*B828*Dau_vao!$B$10/Thiet_ke!$B$7</f>
        <v>3297.5492451367895</v>
      </c>
      <c r="I828" s="4">
        <f>IF(D828&lt;=Dau_vao!$B$14,Dau_vao!$B$13,Dau_vao!$B$13*(1+D828^2/1500))</f>
        <v>0.015</v>
      </c>
      <c r="J828" s="4">
        <f>Thiet_ke!$B$8*D828^2</f>
        <v>370.5078784491401</v>
      </c>
      <c r="K828" s="4">
        <f>Thiet_ke!$B$3*I828+J828</f>
        <v>1502.0913784491404</v>
      </c>
      <c r="L828" s="4">
        <f>(H828-J828)/Thiet_ke!$B$3</f>
        <v>0.03880015968800776</v>
      </c>
      <c r="M828" s="4">
        <f>1.05+0.05*B828^2</f>
        <v>1.1</v>
      </c>
      <c r="N828" s="4">
        <f>(MIN(H828,Thiet_ke!$B$16)-K828)/(Thiet_ke!$B$2*M828)</f>
        <v>0.21225415139941473</v>
      </c>
      <c r="O828" s="4">
        <f>IF(N828&gt;0,1/N828,"")</f>
        <v>4.711333057124636</v>
      </c>
    </row>
    <row r="829" spans="1:15">
      <c r="A829">
        <v>5</v>
      </c>
      <c r="B829" s="4">
        <f>Thiet_ke!$B$24</f>
        <v>1.0</v>
      </c>
      <c r="C829" s="4">
        <f>Dau_vao!$B$21+(Dau_vao!$B$19-Dau_vao!$B$21)*23/200</f>
        <v>1007.0</v>
      </c>
      <c r="D829" s="4">
        <f>2*PI()*C829*Thiet_ke!$B$7/(60*Thiet_ke!$B$15*B829)</f>
        <v>11.356244064577398</v>
      </c>
      <c r="E829" s="4">
        <f>D829*3.6</f>
        <v>40.88247863247863</v>
      </c>
      <c r="F829" s="4">
        <f>Thiet_ke!$B$12*(Dau_vao!$B$22*(C829/Dau_vao!$B$19)+Dau_vao!$B$23*(C829/Dau_vao!$B$19)^2-Dau_vao!$B$24*(C829/Dau_vao!$B$19)^3)</f>
        <v>42.19048877717902</v>
      </c>
      <c r="G829" s="4">
        <f>60000*F829/(2*PI()*C829)</f>
        <v>400.0888683426719</v>
      </c>
      <c r="H829" s="4">
        <f>G829*Thiet_ke!$B$15*B829*Dau_vao!$B$10/Thiet_ke!$B$7</f>
        <v>3306.5100396014313</v>
      </c>
      <c r="I829" s="4">
        <f>IF(D829&lt;=Dau_vao!$B$14,Dau_vao!$B$13,Dau_vao!$B$13*(1+D829^2/1500))</f>
        <v>0.015</v>
      </c>
      <c r="J829" s="4">
        <f>Thiet_ke!$B$8*D829^2</f>
        <v>377.2205168186795</v>
      </c>
      <c r="K829" s="4">
        <f>Thiet_ke!$B$3*I829+J829</f>
        <v>1508.8040168186797</v>
      </c>
      <c r="L829" s="4">
        <f>(H829-J829)/Thiet_ke!$B$3</f>
        <v>0.03882996070704572</v>
      </c>
      <c r="M829" s="4">
        <f>1.05+0.05*B829^2</f>
        <v>1.1</v>
      </c>
      <c r="N829" s="4">
        <f>(MIN(H829,Thiet_ke!$B$16)-K829)/(Thiet_ke!$B$2*M829)</f>
        <v>0.21251992230556233</v>
      </c>
      <c r="O829" s="4">
        <f>IF(N829&gt;0,1/N829,"")</f>
        <v>4.705441208293848</v>
      </c>
    </row>
    <row r="830" spans="1:15">
      <c r="A830">
        <v>5</v>
      </c>
      <c r="B830" s="4">
        <f>Thiet_ke!$B$24</f>
        <v>1.0</v>
      </c>
      <c r="C830" s="4">
        <f>Dau_vao!$B$21+(Dau_vao!$B$19-Dau_vao!$B$21)*24/200</f>
        <v>1016.0</v>
      </c>
      <c r="D830" s="4">
        <f>2*PI()*C830*Thiet_ke!$B$7/(60*Thiet_ke!$B$15*B830)</f>
        <v>11.457739791073124</v>
      </c>
      <c r="E830" s="4">
        <f>D830*3.6</f>
        <v>41.24786324786324</v>
      </c>
      <c r="F830" s="4">
        <f>Thiet_ke!$B$12*(Dau_vao!$B$22*(C830/Dau_vao!$B$19)+Dau_vao!$B$23*(C830/Dau_vao!$B$19)^2-Dau_vao!$B$24*(C830/Dau_vao!$B$19)^3)</f>
        <v>42.681827941329296</v>
      </c>
      <c r="G830" s="4">
        <f>60000*F830/(2*PI()*C830)</f>
        <v>401.1628285665551</v>
      </c>
      <c r="H830" s="4">
        <f>G830*Thiet_ke!$B$15*B830*Dau_vao!$B$10/Thiet_ke!$B$7</f>
        <v>3315.3857183402874</v>
      </c>
      <c r="I830" s="4">
        <f>IF(D830&lt;=Dau_vao!$B$14,Dau_vao!$B$13,Dau_vao!$B$13*(1+D830^2/1500))</f>
        <v>0.015</v>
      </c>
      <c r="J830" s="4">
        <f>Thiet_ke!$B$8*D830^2</f>
        <v>383.9934182758256</v>
      </c>
      <c r="K830" s="4">
        <f>Thiet_ke!$B$3*I830+J830</f>
        <v>1515.5769182758258</v>
      </c>
      <c r="L830" s="4">
        <f>(H830-J830)/Thiet_ke!$B$3</f>
        <v>0.038857834619333814</v>
      </c>
      <c r="M830" s="4">
        <f>1.05+0.05*B830^2</f>
        <v>1.1</v>
      </c>
      <c r="N830" s="4">
        <f>(MIN(H830,Thiet_ke!$B$16)-K830)/(Thiet_ke!$B$2*M830)</f>
        <v>0.21276850692333155</v>
      </c>
      <c r="O830" s="4">
        <f>IF(N830&gt;0,1/N830,"")</f>
        <v>4.6999436827384296</v>
      </c>
    </row>
    <row r="831" spans="1:15">
      <c r="A831">
        <v>5</v>
      </c>
      <c r="B831" s="4">
        <f>Thiet_ke!$B$24</f>
        <v>1.0</v>
      </c>
      <c r="C831" s="4">
        <f>Dau_vao!$B$21+(Dau_vao!$B$19-Dau_vao!$B$21)*25/200</f>
        <v>1025.0</v>
      </c>
      <c r="D831" s="4">
        <f>2*PI()*C831*Thiet_ke!$B$7/(60*Thiet_ke!$B$15*B831)</f>
        <v>11.55923551756885</v>
      </c>
      <c r="E831" s="4">
        <f>D831*3.6</f>
        <v>41.61324786324786</v>
      </c>
      <c r="F831" s="4">
        <f>Thiet_ke!$B$12*(Dau_vao!$B$22*(C831/Dau_vao!$B$19)+Dau_vao!$B$23*(C831/Dau_vao!$B$19)^2-Dau_vao!$B$24*(C831/Dau_vao!$B$19)^3)</f>
        <v>43.17408599784235</v>
      </c>
      <c r="G831" s="4">
        <f>60000*F831/(2*PI()*C831)</f>
        <v>402.22648975792356</v>
      </c>
      <c r="H831" s="4">
        <f>G831*Thiet_ke!$B$15*B831*Dau_vao!$B$10/Thiet_ke!$B$7</f>
        <v>3324.176281353359</v>
      </c>
      <c r="I831" s="4">
        <f>IF(D831&lt;=Dau_vao!$B$14,Dau_vao!$B$13,Dau_vao!$B$13*(1+D831^2/1500))</f>
        <v>0.015</v>
      </c>
      <c r="J831" s="4">
        <f>Thiet_ke!$B$8*D831^2</f>
        <v>390.8265828205787</v>
      </c>
      <c r="K831" s="4">
        <f>Thiet_ke!$B$3*I831+J831</f>
        <v>1522.410082820579</v>
      </c>
      <c r="L831" s="4">
        <f>(H831-J831)/Thiet_ke!$B$3</f>
        <v>0.03888378142487205</v>
      </c>
      <c r="M831" s="4">
        <f>1.05+0.05*B831^2</f>
        <v>1.1</v>
      </c>
      <c r="N831" s="4">
        <f>(MIN(H831,Thiet_ke!$B$16)-K831)/(Thiet_ke!$B$2*M831)</f>
        <v>0.21299990525272258</v>
      </c>
      <c r="O831" s="4">
        <f>IF(N831&gt;0,1/N831,"")</f>
        <v>4.694837769122519</v>
      </c>
    </row>
    <row r="832" spans="1:15">
      <c r="A832">
        <v>5</v>
      </c>
      <c r="B832" s="4">
        <f>Thiet_ke!$B$24</f>
        <v>1.0</v>
      </c>
      <c r="C832" s="4">
        <f>Dau_vao!$B$21+(Dau_vao!$B$19-Dau_vao!$B$21)*26/200</f>
        <v>1034.0</v>
      </c>
      <c r="D832" s="4">
        <f>2*PI()*C832*Thiet_ke!$B$7/(60*Thiet_ke!$B$15*B832)</f>
        <v>11.660731244064577</v>
      </c>
      <c r="E832" s="4">
        <f>D832*3.6</f>
        <v>41.97863247863248</v>
      </c>
      <c r="F832" s="4">
        <f>Thiet_ke!$B$12*(Dau_vao!$B$22*(C832/Dau_vao!$B$19)+Dau_vao!$B$23*(C832/Dau_vao!$B$19)^2-Dau_vao!$B$24*(C832/Dau_vao!$B$19)^3)</f>
        <v>43.667233826889785</v>
      </c>
      <c r="G832" s="4">
        <f>60000*F832/(2*PI()*C832)</f>
        <v>403.27985191677743</v>
      </c>
      <c r="H832" s="4">
        <f>G832*Thiet_ke!$B$15*B832*Dau_vao!$B$10/Thiet_ke!$B$7</f>
        <v>3332.8817286406434</v>
      </c>
      <c r="I832" s="4">
        <f>IF(D832&lt;=Dau_vao!$B$14,Dau_vao!$B$13,Dau_vao!$B$13*(1+D832^2/1500))</f>
        <v>0.015</v>
      </c>
      <c r="J832" s="4">
        <f>Thiet_ke!$B$8*D832^2</f>
        <v>397.72001045293865</v>
      </c>
      <c r="K832" s="4">
        <f>Thiet_ke!$B$3*I832+J832</f>
        <v>1529.3035104529388</v>
      </c>
      <c r="L832" s="4">
        <f>(H832-J832)/Thiet_ke!$B$3</f>
        <v>0.03890780112366039</v>
      </c>
      <c r="M832" s="4">
        <f>1.05+0.05*B832^2</f>
        <v>1.1</v>
      </c>
      <c r="N832" s="4">
        <f>(MIN(H832,Thiet_ke!$B$16)-K832)/(Thiet_ke!$B$2*M832)</f>
        <v>0.21321411729373502</v>
      </c>
      <c r="O832" s="4">
        <f>IF(N832&gt;0,1/N832,"")</f>
        <v>4.690120957714762</v>
      </c>
    </row>
    <row r="833" spans="1:15">
      <c r="A833">
        <v>5</v>
      </c>
      <c r="B833" s="4">
        <f>Thiet_ke!$B$24</f>
        <v>1.0</v>
      </c>
      <c r="C833" s="4">
        <f>Dau_vao!$B$21+(Dau_vao!$B$19-Dau_vao!$B$21)*27/200</f>
        <v>1043.0</v>
      </c>
      <c r="D833" s="4">
        <f>2*PI()*C833*Thiet_ke!$B$7/(60*Thiet_ke!$B$15*B833)</f>
        <v>11.762226970560302</v>
      </c>
      <c r="E833" s="4">
        <f>D833*3.6</f>
        <v>42.34401709401709</v>
      </c>
      <c r="F833" s="4">
        <f>Thiet_ke!$B$12*(Dau_vao!$B$22*(C833/Dau_vao!$B$19)+Dau_vao!$B$23*(C833/Dau_vao!$B$19)^2-Dau_vao!$B$24*(C833/Dau_vao!$B$19)^3)</f>
        <v>44.161242308643224</v>
      </c>
      <c r="G833" s="4">
        <f>60000*F833/(2*PI()*C833)</f>
        <v>404.3229150431168</v>
      </c>
      <c r="H833" s="4">
        <f>G833*Thiet_ke!$B$15*B833*Dau_vao!$B$10/Thiet_ke!$B$7</f>
        <v>3341.5020602021436</v>
      </c>
      <c r="I833" s="4">
        <f>IF(D833&lt;=Dau_vao!$B$14,Dau_vao!$B$13,Dau_vao!$B$13*(1+D833^2/1500))</f>
        <v>0.015</v>
      </c>
      <c r="J833" s="4">
        <f>Thiet_ke!$B$8*D833^2</f>
        <v>404.6737011729054</v>
      </c>
      <c r="K833" s="4">
        <f>Thiet_ke!$B$3*I833+J833</f>
        <v>1536.2572011729055</v>
      </c>
      <c r="L833" s="4">
        <f>(H833-J833)/Thiet_ke!$B$3</f>
        <v>0.0389298937156989</v>
      </c>
      <c r="M833" s="4">
        <f>1.05+0.05*B833^2</f>
        <v>1.1</v>
      </c>
      <c r="N833" s="4">
        <f>(MIN(H833,Thiet_ke!$B$16)-K833)/(Thiet_ke!$B$2*M833)</f>
        <v>0.21341114304636932</v>
      </c>
      <c r="O833" s="4">
        <f>IF(N833&gt;0,1/N833,"")</f>
        <v>4.6857909372741755</v>
      </c>
    </row>
    <row r="834" spans="1:15">
      <c r="A834">
        <v>5</v>
      </c>
      <c r="B834" s="4">
        <f>Thiet_ke!$B$24</f>
        <v>1.0</v>
      </c>
      <c r="C834" s="4">
        <f>Dau_vao!$B$21+(Dau_vao!$B$19-Dau_vao!$B$21)*28/200</f>
        <v>1052.0</v>
      </c>
      <c r="D834" s="4">
        <f>2*PI()*C834*Thiet_ke!$B$7/(60*Thiet_ke!$B$15*B834)</f>
        <v>11.863722697056032</v>
      </c>
      <c r="E834" s="4">
        <f>D834*3.6</f>
        <v>42.70940170940172</v>
      </c>
      <c r="F834" s="4">
        <f>Thiet_ke!$B$12*(Dau_vao!$B$22*(C834/Dau_vao!$B$19)+Dau_vao!$B$23*(C834/Dau_vao!$B$19)^2-Dau_vao!$B$24*(C834/Dau_vao!$B$19)^3)</f>
        <v>44.65608232327426</v>
      </c>
      <c r="G834" s="4">
        <f>60000*F834/(2*PI()*C834)</f>
        <v>405.35567913694155</v>
      </c>
      <c r="H834" s="4">
        <f>G834*Thiet_ke!$B$15*B834*Dau_vao!$B$10/Thiet_ke!$B$7</f>
        <v>3350.037276037858</v>
      </c>
      <c r="I834" s="4">
        <f>IF(D834&lt;=Dau_vao!$B$14,Dau_vao!$B$13,Dau_vao!$B$13*(1+D834^2/1500))</f>
        <v>0.015</v>
      </c>
      <c r="J834" s="4">
        <f>Thiet_ke!$B$8*D834^2</f>
        <v>411.6876549804792</v>
      </c>
      <c r="K834" s="4">
        <f>Thiet_ke!$B$3*I834+J834</f>
        <v>1543.2711549804794</v>
      </c>
      <c r="L834" s="4">
        <f>(H834-J834)/Thiet_ke!$B$3</f>
        <v>0.038950059200987534</v>
      </c>
      <c r="M834" s="4">
        <f>1.05+0.05*B834^2</f>
        <v>1.1</v>
      </c>
      <c r="N834" s="4">
        <f>(MIN(H834,Thiet_ke!$B$16)-K834)/(Thiet_ke!$B$2*M834)</f>
        <v>0.21359098251062522</v>
      </c>
      <c r="O834" s="4">
        <f>IF(N834&gt;0,1/N834,"")</f>
        <v>4.68184559219514</v>
      </c>
    </row>
    <row r="835" spans="1:15">
      <c r="A835">
        <v>5</v>
      </c>
      <c r="B835" s="4">
        <f>Thiet_ke!$B$24</f>
        <v>1.0</v>
      </c>
      <c r="C835" s="4">
        <f>Dau_vao!$B$21+(Dau_vao!$B$19-Dau_vao!$B$21)*29/200</f>
        <v>1061.0</v>
      </c>
      <c r="D835" s="4">
        <f>2*PI()*C835*Thiet_ke!$B$7/(60*Thiet_ke!$B$15*B835)</f>
        <v>11.965218423551757</v>
      </c>
      <c r="E835" s="4">
        <f>D835*3.6</f>
        <v>43.07478632478633</v>
      </c>
      <c r="F835" s="4">
        <f>Thiet_ke!$B$12*(Dau_vao!$B$22*(C835/Dau_vao!$B$19)+Dau_vao!$B$23*(C835/Dau_vao!$B$19)^2-Dau_vao!$B$24*(C835/Dau_vao!$B$19)^3)</f>
        <v>45.151724750954486</v>
      </c>
      <c r="G835" s="4">
        <f>60000*F835/(2*PI()*C835)</f>
        <v>406.3781441982517</v>
      </c>
      <c r="H835" s="4">
        <f>G835*Thiet_ke!$B$15*B835*Dau_vao!$B$10/Thiet_ke!$B$7</f>
        <v>3358.4873761477866</v>
      </c>
      <c r="I835" s="4">
        <f>IF(D835&lt;=Dau_vao!$B$14,Dau_vao!$B$13,Dau_vao!$B$13*(1+D835^2/1500))</f>
        <v>0.015</v>
      </c>
      <c r="J835" s="4">
        <f>Thiet_ke!$B$8*D835^2</f>
        <v>418.76187187565955</v>
      </c>
      <c r="K835" s="4">
        <f>Thiet_ke!$B$3*I835+J835</f>
        <v>1550.3453718756598</v>
      </c>
      <c r="L835" s="4">
        <f>(H835-J835)/Thiet_ke!$B$3</f>
        <v>0.0389682975795263</v>
      </c>
      <c r="M835" s="4">
        <f>1.05+0.05*B835^2</f>
        <v>1.1</v>
      </c>
      <c r="N835" s="4">
        <f>(MIN(H835,Thiet_ke!$B$16)-K835)/(Thiet_ke!$B$2*M835)</f>
        <v>0.21375363568650274</v>
      </c>
      <c r="O835" s="4">
        <f>IF(N835&gt;0,1/N835,"")</f>
        <v>4.678282999904754</v>
      </c>
    </row>
    <row r="836" spans="1:15">
      <c r="A836">
        <v>5</v>
      </c>
      <c r="B836" s="4">
        <f>Thiet_ke!$B$24</f>
        <v>1.0</v>
      </c>
      <c r="C836" s="4">
        <f>Dau_vao!$B$21+(Dau_vao!$B$19-Dau_vao!$B$21)*30/200</f>
        <v>1070.0</v>
      </c>
      <c r="D836" s="4">
        <f>2*PI()*C836*Thiet_ke!$B$7/(60*Thiet_ke!$B$15*B836)</f>
        <v>12.066714150047483</v>
      </c>
      <c r="E836" s="4">
        <f>D836*3.6</f>
        <v>43.44017094017094</v>
      </c>
      <c r="F836" s="4">
        <f>Thiet_ke!$B$12*(Dau_vao!$B$22*(C836/Dau_vao!$B$19)+Dau_vao!$B$23*(C836/Dau_vao!$B$19)^2-Dau_vao!$B$24*(C836/Dau_vao!$B$19)^3)</f>
        <v>45.64814047185552</v>
      </c>
      <c r="G836" s="4">
        <f>60000*F836/(2*PI()*C836)</f>
        <v>407.3903102270473</v>
      </c>
      <c r="H836" s="4">
        <f>G836*Thiet_ke!$B$15*B836*Dau_vao!$B$10/Thiet_ke!$B$7</f>
        <v>3366.85236053193</v>
      </c>
      <c r="I836" s="4">
        <f>IF(D836&lt;=Dau_vao!$B$14,Dau_vao!$B$13,Dau_vao!$B$13*(1+D836^2/1500))</f>
        <v>0.015</v>
      </c>
      <c r="J836" s="4">
        <f>Thiet_ke!$B$8*D836^2</f>
        <v>425.8963518584468</v>
      </c>
      <c r="K836" s="4">
        <f>Thiet_ke!$B$3*I836+J836</f>
        <v>1557.479851858447</v>
      </c>
      <c r="L836" s="4">
        <f>(H836-J836)/Thiet_ke!$B$3</f>
        <v>0.03898460885131521</v>
      </c>
      <c r="M836" s="4">
        <f>1.05+0.05*B836^2</f>
        <v>1.1</v>
      </c>
      <c r="N836" s="4">
        <f>(MIN(H836,Thiet_ke!$B$16)-K836)/(Thiet_ke!$B$2*M836)</f>
        <v>0.21389910257400202</v>
      </c>
      <c r="O836" s="4">
        <f>IF(N836&gt;0,1/N836,"")</f>
        <v>4.675101428506616</v>
      </c>
    </row>
    <row r="837" spans="1:15">
      <c r="A837">
        <v>5</v>
      </c>
      <c r="B837" s="4">
        <f>Thiet_ke!$B$24</f>
        <v>1.0</v>
      </c>
      <c r="C837" s="4">
        <f>Dau_vao!$B$21+(Dau_vao!$B$19-Dau_vao!$B$21)*31/200</f>
        <v>1079.0</v>
      </c>
      <c r="D837" s="4">
        <f>2*PI()*C837*Thiet_ke!$B$7/(60*Thiet_ke!$B$15*B837)</f>
        <v>12.168209876543209</v>
      </c>
      <c r="E837" s="4">
        <f>D837*3.6</f>
        <v>43.80555555555555</v>
      </c>
      <c r="F837" s="4">
        <f>Thiet_ke!$B$12*(Dau_vao!$B$22*(C837/Dau_vao!$B$19)+Dau_vao!$B$23*(C837/Dau_vao!$B$19)^2-Dau_vao!$B$24*(C837/Dau_vao!$B$19)^3)</f>
        <v>46.14530036614894</v>
      </c>
      <c r="G837" s="4">
        <f>60000*F837/(2*PI()*C837)</f>
        <v>408.3921772233282</v>
      </c>
      <c r="H837" s="4">
        <f>G837*Thiet_ke!$B$15*B837*Dau_vao!$B$10/Thiet_ke!$B$7</f>
        <v>3375.132229190288</v>
      </c>
      <c r="I837" s="4">
        <f>IF(D837&lt;=Dau_vao!$B$14,Dau_vao!$B$13,Dau_vao!$B$13*(1+D837^2/1500))</f>
        <v>0.015</v>
      </c>
      <c r="J837" s="4">
        <f>Thiet_ke!$B$8*D837^2</f>
        <v>433.09109492884085</v>
      </c>
      <c r="K837" s="4">
        <f>Thiet_ke!$B$3*I837+J837</f>
        <v>1564.674594928841</v>
      </c>
      <c r="L837" s="4">
        <f>(H837-J837)/Thiet_ke!$B$3</f>
        <v>0.038998993016354254</v>
      </c>
      <c r="M837" s="4">
        <f>1.05+0.05*B837^2</f>
        <v>1.1</v>
      </c>
      <c r="N837" s="4">
        <f>(MIN(H837,Thiet_ke!$B$16)-K837)/(Thiet_ke!$B$2*M837)</f>
        <v>0.21402738317312292</v>
      </c>
      <c r="O837" s="4">
        <f>IF(N837&gt;0,1/N837,"")</f>
        <v>4.672299334665592</v>
      </c>
    </row>
    <row r="838" spans="1:15">
      <c r="A838">
        <v>5</v>
      </c>
      <c r="B838" s="4">
        <f>Thiet_ke!$B$24</f>
        <v>1.0</v>
      </c>
      <c r="C838" s="4">
        <f>Dau_vao!$B$21+(Dau_vao!$B$19-Dau_vao!$B$21)*32/200</f>
        <v>1088.0</v>
      </c>
      <c r="D838" s="4">
        <f>2*PI()*C838*Thiet_ke!$B$7/(60*Thiet_ke!$B$15*B838)</f>
        <v>12.269705603038936</v>
      </c>
      <c r="E838" s="4">
        <f>D838*3.6</f>
        <v>44.17094017094017</v>
      </c>
      <c r="F838" s="4">
        <f>Thiet_ke!$B$12*(Dau_vao!$B$22*(C838/Dau_vao!$B$19)+Dau_vao!$B$23*(C838/Dau_vao!$B$19)^2-Dau_vao!$B$24*(C838/Dau_vao!$B$19)^3)</f>
        <v>46.64317531400637</v>
      </c>
      <c r="G838" s="4">
        <f>60000*F838/(2*PI()*C838)</f>
        <v>409.3837451870946</v>
      </c>
      <c r="H838" s="4">
        <f>G838*Thiet_ke!$B$15*B838*Dau_vao!$B$10/Thiet_ke!$B$7</f>
        <v>3383.3269821228605</v>
      </c>
      <c r="I838" s="4">
        <f>IF(D838&lt;=Dau_vao!$B$14,Dau_vao!$B$13,Dau_vao!$B$13*(1+D838^2/1500))</f>
        <v>0.015</v>
      </c>
      <c r="J838" s="4">
        <f>Thiet_ke!$B$8*D838^2</f>
        <v>440.3461010868419</v>
      </c>
      <c r="K838" s="4">
        <f>Thiet_ke!$B$3*I838+J838</f>
        <v>1571.929601086842</v>
      </c>
      <c r="L838" s="4">
        <f>(H838-J838)/Thiet_ke!$B$3</f>
        <v>0.03901145007464343</v>
      </c>
      <c r="M838" s="4">
        <f>1.05+0.05*B838^2</f>
        <v>1.1</v>
      </c>
      <c r="N838" s="4">
        <f>(MIN(H838,Thiet_ke!$B$16)-K838)/(Thiet_ke!$B$2*M838)</f>
        <v>0.21413847748386552</v>
      </c>
      <c r="O838" s="4">
        <f>IF(N838&gt;0,1/N838,"")</f>
        <v>4.669875361728702</v>
      </c>
    </row>
    <row r="839" spans="1:15">
      <c r="A839">
        <v>5</v>
      </c>
      <c r="B839" s="4">
        <f>Thiet_ke!$B$24</f>
        <v>1.0</v>
      </c>
      <c r="C839" s="4">
        <f>Dau_vao!$B$21+(Dau_vao!$B$19-Dau_vao!$B$21)*33/200</f>
        <v>1097.0</v>
      </c>
      <c r="D839" s="4">
        <f>2*PI()*C839*Thiet_ke!$B$7/(60*Thiet_ke!$B$15*B839)</f>
        <v>12.371201329534662</v>
      </c>
      <c r="E839" s="4">
        <f>D839*3.6</f>
        <v>44.53632478632478</v>
      </c>
      <c r="F839" s="4">
        <f>Thiet_ke!$B$12*(Dau_vao!$B$22*(C839/Dau_vao!$B$19)+Dau_vao!$B$23*(C839/Dau_vao!$B$19)^2-Dau_vao!$B$24*(C839/Dau_vao!$B$19)^3)</f>
        <v>47.1417361955994</v>
      </c>
      <c r="G839" s="4">
        <f>60000*F839/(2*PI()*C839)</f>
        <v>410.3650141183463</v>
      </c>
      <c r="H839" s="4">
        <f>G839*Thiet_ke!$B$15*B839*Dau_vao!$B$10/Thiet_ke!$B$7</f>
        <v>3391.436619329647</v>
      </c>
      <c r="I839" s="4">
        <f>IF(D839&lt;=Dau_vao!$B$14,Dau_vao!$B$13,Dau_vao!$B$13*(1+D839^2/1500))</f>
        <v>0.015</v>
      </c>
      <c r="J839" s="4">
        <f>Thiet_ke!$B$8*D839^2</f>
        <v>447.66137033244956</v>
      </c>
      <c r="K839" s="4">
        <f>Thiet_ke!$B$3*I839+J839</f>
        <v>1579.2448703324499</v>
      </c>
      <c r="L839" s="4">
        <f>(H839-J839)/Thiet_ke!$B$3</f>
        <v>0.039021980026182734</v>
      </c>
      <c r="M839" s="4">
        <f>1.05+0.05*B839^2</f>
        <v>1.1</v>
      </c>
      <c r="N839" s="4">
        <f>(MIN(H839,Thiet_ke!$B$16)-K839)/(Thiet_ke!$B$2*M839)</f>
        <v>0.2142323855062297</v>
      </c>
      <c r="O839" s="4">
        <f>IF(N839&gt;0,1/N839,"")</f>
        <v>4.667828338077862</v>
      </c>
    </row>
    <row r="840" spans="1:15">
      <c r="A840">
        <v>5</v>
      </c>
      <c r="B840" s="4">
        <f>Thiet_ke!$B$24</f>
        <v>1.0</v>
      </c>
      <c r="C840" s="4">
        <f>Dau_vao!$B$21+(Dau_vao!$B$19-Dau_vao!$B$21)*34/200</f>
        <v>1106.0</v>
      </c>
      <c r="D840" s="4">
        <f>2*PI()*C840*Thiet_ke!$B$7/(60*Thiet_ke!$B$15*B840)</f>
        <v>12.472697056030388</v>
      </c>
      <c r="E840" s="4">
        <f>D840*3.6</f>
        <v>44.9017094017094</v>
      </c>
      <c r="F840" s="4">
        <f>Thiet_ke!$B$12*(Dau_vao!$B$22*(C840/Dau_vao!$B$19)+Dau_vao!$B$23*(C840/Dau_vao!$B$19)^2-Dau_vao!$B$24*(C840/Dau_vao!$B$19)^3)</f>
        <v>47.64095389109963</v>
      </c>
      <c r="G840" s="4">
        <f>60000*F840/(2*PI()*C840)</f>
        <v>411.33598401708343</v>
      </c>
      <c r="H840" s="4">
        <f>G840*Thiet_ke!$B$15*B840*Dau_vao!$B$10/Thiet_ke!$B$7</f>
        <v>3399.461140810649</v>
      </c>
      <c r="I840" s="4">
        <f>IF(D840&lt;=Dau_vao!$B$14,Dau_vao!$B$13,Dau_vao!$B$13*(1+D840^2/1500))</f>
        <v>0.015</v>
      </c>
      <c r="J840" s="4">
        <f>Thiet_ke!$B$8*D840^2</f>
        <v>455.0369026656642</v>
      </c>
      <c r="K840" s="4">
        <f>Thiet_ke!$B$3*I840+J840</f>
        <v>1586.6204026656644</v>
      </c>
      <c r="L840" s="4">
        <f>(H840-J840)/Thiet_ke!$B$3</f>
        <v>0.0390305828709722</v>
      </c>
      <c r="M840" s="4">
        <f>1.05+0.05*B840^2</f>
        <v>1.1</v>
      </c>
      <c r="N840" s="4">
        <f>(MIN(H840,Thiet_ke!$B$16)-K840)/(Thiet_ke!$B$2*M840)</f>
        <v>0.21430910724021568</v>
      </c>
      <c r="O840" s="4">
        <f>IF(N840&gt;0,1/N840,"")</f>
        <v>4.666157275710714</v>
      </c>
    </row>
    <row r="841" spans="1:15">
      <c r="A841">
        <v>5</v>
      </c>
      <c r="B841" s="4">
        <f>Thiet_ke!$B$24</f>
        <v>1.0</v>
      </c>
      <c r="C841" s="4">
        <f>Dau_vao!$B$21+(Dau_vao!$B$19-Dau_vao!$B$21)*35/200</f>
        <v>1115.0</v>
      </c>
      <c r="D841" s="4">
        <f>2*PI()*C841*Thiet_ke!$B$7/(60*Thiet_ke!$B$15*B841)</f>
        <v>12.574192782526117</v>
      </c>
      <c r="E841" s="4">
        <f>D841*3.6</f>
        <v>45.267094017094024</v>
      </c>
      <c r="F841" s="4">
        <f>Thiet_ke!$B$12*(Dau_vao!$B$22*(C841/Dau_vao!$B$19)+Dau_vao!$B$23*(C841/Dau_vao!$B$19)^2-Dau_vao!$B$24*(C841/Dau_vao!$B$19)^3)</f>
        <v>48.14079928067868</v>
      </c>
      <c r="G841" s="4">
        <f>60000*F841/(2*PI()*C841)</f>
        <v>412.29665488330613</v>
      </c>
      <c r="H841" s="4">
        <f>G841*Thiet_ke!$B$15*B841*Dau_vao!$B$10/Thiet_ke!$B$7</f>
        <v>3407.400546565864</v>
      </c>
      <c r="I841" s="4">
        <f>IF(D841&lt;=Dau_vao!$B$14,Dau_vao!$B$13,Dau_vao!$B$13*(1+D841^2/1500))</f>
        <v>0.015</v>
      </c>
      <c r="J841" s="4">
        <f>Thiet_ke!$B$8*D841^2</f>
        <v>462.4726980864858</v>
      </c>
      <c r="K841" s="4">
        <f>Thiet_ke!$B$3*I841+J841</f>
        <v>1594.056198086486</v>
      </c>
      <c r="L841" s="4">
        <f>(H841-J841)/Thiet_ke!$B$3</f>
        <v>0.03903725860901177</v>
      </c>
      <c r="M841" s="4">
        <f>1.05+0.05*B841^2</f>
        <v>1.1</v>
      </c>
      <c r="N841" s="4">
        <f>(MIN(H841,Thiet_ke!$B$16)-K841)/(Thiet_ke!$B$2*M841)</f>
        <v>0.21436864268582315</v>
      </c>
      <c r="O841" s="4">
        <f>IF(N841&gt;0,1/N841,"")</f>
        <v>4.664861369046365</v>
      </c>
    </row>
    <row r="842" spans="1:15">
      <c r="A842">
        <v>5</v>
      </c>
      <c r="B842" s="4">
        <f>Thiet_ke!$B$24</f>
        <v>1.0</v>
      </c>
      <c r="C842" s="4">
        <f>Dau_vao!$B$21+(Dau_vao!$B$19-Dau_vao!$B$21)*36/200</f>
        <v>1124.0</v>
      </c>
      <c r="D842" s="4">
        <f>2*PI()*C842*Thiet_ke!$B$7/(60*Thiet_ke!$B$15*B842)</f>
        <v>12.675688509021843</v>
      </c>
      <c r="E842" s="4">
        <f>D842*3.6</f>
        <v>45.63247863247864</v>
      </c>
      <c r="F842" s="4">
        <f>Thiet_ke!$B$12*(Dau_vao!$B$22*(C842/Dau_vao!$B$19)+Dau_vao!$B$23*(C842/Dau_vao!$B$19)^2-Dau_vao!$B$24*(C842/Dau_vao!$B$19)^3)</f>
        <v>48.64124324450813</v>
      </c>
      <c r="G842" s="4">
        <f>60000*F842/(2*PI()*C842)</f>
        <v>413.2470267170141</v>
      </c>
      <c r="H842" s="4">
        <f>G842*Thiet_ke!$B$15*B842*Dau_vao!$B$10/Thiet_ke!$B$7</f>
        <v>3415.254836595294</v>
      </c>
      <c r="I842" s="4">
        <f>IF(D842&lt;=Dau_vao!$B$14,Dau_vao!$B$13,Dau_vao!$B$13*(1+D842^2/1500))</f>
        <v>0.015</v>
      </c>
      <c r="J842" s="4">
        <f>Thiet_ke!$B$8*D842^2</f>
        <v>469.96875659491405</v>
      </c>
      <c r="K842" s="4">
        <f>Thiet_ke!$B$3*I842+J842</f>
        <v>1601.5522565949143</v>
      </c>
      <c r="L842" s="4">
        <f>(H842-J842)/Thiet_ke!$B$3</f>
        <v>0.039042007240301484</v>
      </c>
      <c r="M842" s="4">
        <f>1.05+0.05*B842^2</f>
        <v>1.1</v>
      </c>
      <c r="N842" s="4">
        <f>(MIN(H842,Thiet_ke!$B$16)-K842)/(Thiet_ke!$B$2*M842)</f>
        <v>0.21441099184305232</v>
      </c>
      <c r="O842" s="4">
        <f>IF(N842&gt;0,1/N842,"")</f>
        <v>4.66393999395327</v>
      </c>
    </row>
    <row r="843" spans="1:15">
      <c r="A843">
        <v>5</v>
      </c>
      <c r="B843" s="4">
        <f>Thiet_ke!$B$24</f>
        <v>1.0</v>
      </c>
      <c r="C843" s="4">
        <f>Dau_vao!$B$21+(Dau_vao!$B$19-Dau_vao!$B$21)*37/200</f>
        <v>1133.0</v>
      </c>
      <c r="D843" s="4">
        <f>2*PI()*C843*Thiet_ke!$B$7/(60*Thiet_ke!$B$15*B843)</f>
        <v>12.777184235517568</v>
      </c>
      <c r="E843" s="4">
        <f>D843*3.6</f>
        <v>45.99786324786324</v>
      </c>
      <c r="F843" s="4">
        <f>Thiet_ke!$B$12*(Dau_vao!$B$22*(C843/Dau_vao!$B$19)+Dau_vao!$B$23*(C843/Dau_vao!$B$19)^2-Dau_vao!$B$24*(C843/Dau_vao!$B$19)^3)</f>
        <v>49.1422566627596</v>
      </c>
      <c r="G843" s="4">
        <f>60000*F843/(2*PI()*C843)</f>
        <v>414.18709951820756</v>
      </c>
      <c r="H843" s="4">
        <f>G843*Thiet_ke!$B$15*B843*Dau_vao!$B$10/Thiet_ke!$B$7</f>
        <v>3423.0240108989397</v>
      </c>
      <c r="I843" s="4">
        <f>IF(D843&lt;=Dau_vao!$B$14,Dau_vao!$B$13,Dau_vao!$B$13*(1+D843^2/1500))</f>
        <v>0.015</v>
      </c>
      <c r="J843" s="4">
        <f>Thiet_ke!$B$8*D843^2</f>
        <v>477.52507819094916</v>
      </c>
      <c r="K843" s="4">
        <f>Thiet_ke!$B$3*I843+J843</f>
        <v>1609.1085781909494</v>
      </c>
      <c r="L843" s="4">
        <f>(H843-J843)/Thiet_ke!$B$3</f>
        <v>0.039044828764841354</v>
      </c>
      <c r="M843" s="4">
        <f>1.05+0.05*B843^2</f>
        <v>1.1</v>
      </c>
      <c r="N843" s="4">
        <f>(MIN(H843,Thiet_ke!$B$16)-K843)/(Thiet_ke!$B$2*M843)</f>
        <v>0.21443615471190333</v>
      </c>
      <c r="O843" s="4">
        <f>IF(N843&gt;0,1/N843,"")</f>
        <v>4.663392706997138</v>
      </c>
    </row>
    <row r="844" spans="1:15">
      <c r="A844">
        <v>5</v>
      </c>
      <c r="B844" s="4">
        <f>Thiet_ke!$B$24</f>
        <v>1.0</v>
      </c>
      <c r="C844" s="4">
        <f>Dau_vao!$B$21+(Dau_vao!$B$19-Dau_vao!$B$21)*38/200</f>
        <v>1142.0</v>
      </c>
      <c r="D844" s="4">
        <f>2*PI()*C844*Thiet_ke!$B$7/(60*Thiet_ke!$B$15*B844)</f>
        <v>12.878679962013294</v>
      </c>
      <c r="E844" s="4">
        <f>D844*3.6</f>
        <v>46.36324786324786</v>
      </c>
      <c r="F844" s="4">
        <f>Thiet_ke!$B$12*(Dau_vao!$B$22*(C844/Dau_vao!$B$19)+Dau_vao!$B$23*(C844/Dau_vao!$B$19)^2-Dau_vao!$B$24*(C844/Dau_vao!$B$19)^3)</f>
        <v>49.643810415604676</v>
      </c>
      <c r="G844" s="4">
        <f>60000*F844/(2*PI()*C844)</f>
        <v>415.11687328688635</v>
      </c>
      <c r="H844" s="4">
        <f>G844*Thiet_ke!$B$15*B844*Dau_vao!$B$10/Thiet_ke!$B$7</f>
        <v>3430.7080694767988</v>
      </c>
      <c r="I844" s="4">
        <f>IF(D844&lt;=Dau_vao!$B$14,Dau_vao!$B$13,Dau_vao!$B$13*(1+D844^2/1500))</f>
        <v>0.015</v>
      </c>
      <c r="J844" s="4">
        <f>Thiet_ke!$B$8*D844^2</f>
        <v>485.1416628745911</v>
      </c>
      <c r="K844" s="4">
        <f>Thiet_ke!$B$3*I844+J844</f>
        <v>1616.7251628745912</v>
      </c>
      <c r="L844" s="4">
        <f>(H844-J844)/Thiet_ke!$B$3</f>
        <v>0.03904572318263134</v>
      </c>
      <c r="M844" s="4">
        <f>1.05+0.05*B844^2</f>
        <v>1.1</v>
      </c>
      <c r="N844" s="4">
        <f>(MIN(H844,Thiet_ke!$B$16)-K844)/(Thiet_ke!$B$2*M844)</f>
        <v>0.21444413129237588</v>
      </c>
      <c r="O844" s="4">
        <f>IF(N844&gt;0,1/N844,"")</f>
        <v>4.663219244907137</v>
      </c>
    </row>
    <row r="845" spans="1:15">
      <c r="A845">
        <v>5</v>
      </c>
      <c r="B845" s="4">
        <f>Thiet_ke!$B$24</f>
        <v>1.0</v>
      </c>
      <c r="C845" s="4">
        <f>Dau_vao!$B$21+(Dau_vao!$B$19-Dau_vao!$B$21)*39/200</f>
        <v>1151.0</v>
      </c>
      <c r="D845" s="4">
        <f>2*PI()*C845*Thiet_ke!$B$7/(60*Thiet_ke!$B$15*B845)</f>
        <v>12.980175688509021</v>
      </c>
      <c r="E845" s="4">
        <f>D845*3.6</f>
        <v>46.72863247863248</v>
      </c>
      <c r="F845" s="4">
        <f>Thiet_ke!$B$12*(Dau_vao!$B$22*(C845/Dau_vao!$B$19)+Dau_vao!$B$23*(C845/Dau_vao!$B$19)^2-Dau_vao!$B$24*(C845/Dau_vao!$B$19)^3)</f>
        <v>50.14587538321496</v>
      </c>
      <c r="G845" s="4">
        <f>60000*F845/(2*PI()*C845)</f>
        <v>416.03634802305055</v>
      </c>
      <c r="H845" s="4">
        <f>G845*Thiet_ke!$B$15*B845*Dau_vao!$B$10/Thiet_ke!$B$7</f>
        <v>3438.307012328872</v>
      </c>
      <c r="I845" s="4">
        <f>IF(D845&lt;=Dau_vao!$B$14,Dau_vao!$B$13,Dau_vao!$B$13*(1+D845^2/1500))</f>
        <v>0.015</v>
      </c>
      <c r="J845" s="4">
        <f>Thiet_ke!$B$8*D845^2</f>
        <v>492.8185106458399</v>
      </c>
      <c r="K845" s="4">
        <f>Thiet_ke!$B$3*I845+J845</f>
        <v>1624.4020106458402</v>
      </c>
      <c r="L845" s="4">
        <f>(H845-J845)/Thiet_ke!$B$3</f>
        <v>0.03904469049367146</v>
      </c>
      <c r="M845" s="4">
        <f>1.05+0.05*B845^2</f>
        <v>1.1</v>
      </c>
      <c r="N845" s="4">
        <f>(MIN(H845,Thiet_ke!$B$16)-K845)/(Thiet_ke!$B$2*M845)</f>
        <v>0.21443492158447003</v>
      </c>
      <c r="O845" s="4">
        <f>IF(N845&gt;0,1/N845,"")</f>
        <v>4.6634195242591625</v>
      </c>
    </row>
    <row r="846" spans="1:15">
      <c r="A846">
        <v>5</v>
      </c>
      <c r="B846" s="4">
        <f>Thiet_ke!$B$24</f>
        <v>1.0</v>
      </c>
      <c r="C846" s="4">
        <f>Dau_vao!$B$21+(Dau_vao!$B$19-Dau_vao!$B$21)*40/200</f>
        <v>1160.0</v>
      </c>
      <c r="D846" s="4">
        <f>2*PI()*C846*Thiet_ke!$B$7/(60*Thiet_ke!$B$15*B846)</f>
        <v>13.081671415004747</v>
      </c>
      <c r="E846" s="4">
        <f>D846*3.6</f>
        <v>47.09401709401709</v>
      </c>
      <c r="F846" s="4">
        <f>Thiet_ke!$B$12*(Dau_vao!$B$22*(C846/Dau_vao!$B$19)+Dau_vao!$B$23*(C846/Dau_vao!$B$19)^2-Dau_vao!$B$24*(C846/Dau_vao!$B$19)^3)</f>
        <v>50.648422445762066</v>
      </c>
      <c r="G846" s="4">
        <f>60000*F846/(2*PI()*C846)</f>
        <v>416.9455237267002</v>
      </c>
      <c r="H846" s="4">
        <f>G846*Thiet_ke!$B$15*B846*Dau_vao!$B$10/Thiet_ke!$B$7</f>
        <v>3445.8208394551607</v>
      </c>
      <c r="I846" s="4">
        <f>IF(D846&lt;=Dau_vao!$B$14,Dau_vao!$B$13,Dau_vao!$B$13*(1+D846^2/1500))</f>
        <v>0.015</v>
      </c>
      <c r="J846" s="4">
        <f>Thiet_ke!$B$8*D846^2</f>
        <v>500.5556215046955</v>
      </c>
      <c r="K846" s="4">
        <f>Thiet_ke!$B$3*I846+J846</f>
        <v>1632.1391215046956</v>
      </c>
      <c r="L846" s="4">
        <f>(H846-J846)/Thiet_ke!$B$3</f>
        <v>0.03904173069796173</v>
      </c>
      <c r="M846" s="4">
        <f>1.05+0.05*B846^2</f>
        <v>1.1</v>
      </c>
      <c r="N846" s="4">
        <f>(MIN(H846,Thiet_ke!$B$16)-K846)/(Thiet_ke!$B$2*M846)</f>
        <v>0.21440852558818596</v>
      </c>
      <c r="O846" s="4">
        <f>IF(N846&gt;0,1/N846,"")</f>
        <v>4.663993641375521</v>
      </c>
    </row>
    <row r="847" spans="1:15">
      <c r="A847">
        <v>5</v>
      </c>
      <c r="B847" s="4">
        <f>Thiet_ke!$B$24</f>
        <v>1.0</v>
      </c>
      <c r="C847" s="4">
        <f>Dau_vao!$B$21+(Dau_vao!$B$19-Dau_vao!$B$21)*41/200</f>
        <v>1169.0</v>
      </c>
      <c r="D847" s="4">
        <f>2*PI()*C847*Thiet_ke!$B$7/(60*Thiet_ke!$B$15*B847)</f>
        <v>13.183167141500476</v>
      </c>
      <c r="E847" s="4">
        <f>D847*3.6</f>
        <v>47.45940170940172</v>
      </c>
      <c r="F847" s="4">
        <f>Thiet_ke!$B$12*(Dau_vao!$B$22*(C847/Dau_vao!$B$19)+Dau_vao!$B$23*(C847/Dau_vao!$B$19)^2-Dau_vao!$B$24*(C847/Dau_vao!$B$19)^3)</f>
        <v>51.151422483417576</v>
      </c>
      <c r="G847" s="4">
        <f>60000*F847/(2*PI()*C847)</f>
        <v>417.8444003978351</v>
      </c>
      <c r="H847" s="4">
        <f>G847*Thiet_ke!$B$15*B847*Dau_vao!$B$10/Thiet_ke!$B$7</f>
        <v>3453.2495508556626</v>
      </c>
      <c r="I847" s="4">
        <f>IF(D847&lt;=Dau_vao!$B$14,Dau_vao!$B$13,Dau_vao!$B$13*(1+D847^2/1500))</f>
        <v>0.015</v>
      </c>
      <c r="J847" s="4">
        <f>Thiet_ke!$B$8*D847^2</f>
        <v>508.3529954511582</v>
      </c>
      <c r="K847" s="4">
        <f>Thiet_ke!$B$3*I847+J847</f>
        <v>1639.9364954511584</v>
      </c>
      <c r="L847" s="4">
        <f>(H847-J847)/Thiet_ke!$B$3</f>
        <v>0.03903684379550211</v>
      </c>
      <c r="M847" s="4">
        <f>1.05+0.05*B847^2</f>
        <v>1.1</v>
      </c>
      <c r="N847" s="4">
        <f>(MIN(H847,Thiet_ke!$B$16)-K847)/(Thiet_ke!$B$2*M847)</f>
        <v>0.21436494330352338</v>
      </c>
      <c r="O847" s="4">
        <f>IF(N847&gt;0,1/N847,"")</f>
        <v>4.66494187244078</v>
      </c>
    </row>
    <row r="848" spans="1:15">
      <c r="A848">
        <v>5</v>
      </c>
      <c r="B848" s="4">
        <f>Thiet_ke!$B$24</f>
        <v>1.0</v>
      </c>
      <c r="C848" s="4">
        <f>Dau_vao!$B$21+(Dau_vao!$B$19-Dau_vao!$B$21)*42/200</f>
        <v>1178.0</v>
      </c>
      <c r="D848" s="4">
        <f>2*PI()*C848*Thiet_ke!$B$7/(60*Thiet_ke!$B$15*B848)</f>
        <v>13.2846628679962</v>
      </c>
      <c r="E848" s="4">
        <f>D848*3.6</f>
        <v>47.824786324786324</v>
      </c>
      <c r="F848" s="4">
        <f>Thiet_ke!$B$12*(Dau_vao!$B$22*(C848/Dau_vao!$B$19)+Dau_vao!$B$23*(C848/Dau_vao!$B$19)^2-Dau_vao!$B$24*(C848/Dau_vao!$B$19)^3)</f>
        <v>51.65484637635312</v>
      </c>
      <c r="G848" s="4">
        <f>60000*F848/(2*PI()*C848)</f>
        <v>418.73297803645556</v>
      </c>
      <c r="H848" s="4">
        <f>G848*Thiet_ke!$B$15*B848*Dau_vao!$B$10/Thiet_ke!$B$7</f>
        <v>3460.5931465303793</v>
      </c>
      <c r="I848" s="4">
        <f>IF(D848&lt;=Dau_vao!$B$14,Dau_vao!$B$13,Dau_vao!$B$13*(1+D848^2/1500))</f>
        <v>0.015</v>
      </c>
      <c r="J848" s="4">
        <f>Thiet_ke!$B$8*D848^2</f>
        <v>516.2106324852274</v>
      </c>
      <c r="K848" s="4">
        <f>Thiet_ke!$B$3*I848+J848</f>
        <v>1647.7941324852277</v>
      </c>
      <c r="L848" s="4">
        <f>(H848-J848)/Thiet_ke!$B$3</f>
        <v>0.039030029786292636</v>
      </c>
      <c r="M848" s="4">
        <f>1.05+0.05*B848^2</f>
        <v>1.1</v>
      </c>
      <c r="N848" s="4">
        <f>(MIN(H848,Thiet_ke!$B$16)-K848)/(Thiet_ke!$B$2*M848)</f>
        <v>0.21430417473048252</v>
      </c>
      <c r="O848" s="4">
        <f>IF(N848&gt;0,1/N848,"")</f>
        <v>4.666264673834002</v>
      </c>
    </row>
    <row r="849" spans="1:15">
      <c r="A849">
        <v>5</v>
      </c>
      <c r="B849" s="4">
        <f>Thiet_ke!$B$24</f>
        <v>1.0</v>
      </c>
      <c r="C849" s="4">
        <f>Dau_vao!$B$21+(Dau_vao!$B$19-Dau_vao!$B$21)*43/200</f>
        <v>1187.0</v>
      </c>
      <c r="D849" s="4">
        <f>2*PI()*C849*Thiet_ke!$B$7/(60*Thiet_ke!$B$15*B849)</f>
        <v>13.386158594491928</v>
      </c>
      <c r="E849" s="4">
        <f>D849*3.6</f>
        <v>48.190170940170944</v>
      </c>
      <c r="F849" s="4">
        <f>Thiet_ke!$B$12*(Dau_vao!$B$22*(C849/Dau_vao!$B$19)+Dau_vao!$B$23*(C849/Dau_vao!$B$19)^2-Dau_vao!$B$24*(C849/Dau_vao!$B$19)^3)</f>
        <v>52.15866500474027</v>
      </c>
      <c r="G849" s="4">
        <f>60000*F849/(2*PI()*C849)</f>
        <v>419.61125664256133</v>
      </c>
      <c r="H849" s="4">
        <f>G849*Thiet_ke!$B$15*B849*Dau_vao!$B$10/Thiet_ke!$B$7</f>
        <v>3467.8516264793116</v>
      </c>
      <c r="I849" s="4">
        <f>IF(D849&lt;=Dau_vao!$B$14,Dau_vao!$B$13,Dau_vao!$B$13*(1+D849^2/1500))</f>
        <v>0.015</v>
      </c>
      <c r="J849" s="4">
        <f>Thiet_ke!$B$8*D849^2</f>
        <v>524.1285326069036</v>
      </c>
      <c r="K849" s="4">
        <f>Thiet_ke!$B$3*I849+J849</f>
        <v>1655.712032606904</v>
      </c>
      <c r="L849" s="4">
        <f>(H849-J849)/Thiet_ke!$B$3</f>
        <v>0.03902128867033331</v>
      </c>
      <c r="M849" s="4">
        <f>1.05+0.05*B849^2</f>
        <v>1.1</v>
      </c>
      <c r="N849" s="4">
        <f>(MIN(H849,Thiet_ke!$B$16)-K849)/(Thiet_ke!$B$2*M849)</f>
        <v>0.21422621986906346</v>
      </c>
      <c r="O849" s="4">
        <f>IF(N849&gt;0,1/N849,"")</f>
        <v>4.667962682678184</v>
      </c>
    </row>
    <row r="850" spans="1:15">
      <c r="A850">
        <v>5</v>
      </c>
      <c r="B850" s="4">
        <f>Thiet_ke!$B$24</f>
        <v>1.0</v>
      </c>
      <c r="C850" s="4">
        <f>Dau_vao!$B$21+(Dau_vao!$B$19-Dau_vao!$B$21)*44/200</f>
        <v>1196.0</v>
      </c>
      <c r="D850" s="4">
        <f>2*PI()*C850*Thiet_ke!$B$7/(60*Thiet_ke!$B$15*B850)</f>
        <v>13.487654320987653</v>
      </c>
      <c r="E850" s="4">
        <f>D850*3.6</f>
        <v>48.55555555555555</v>
      </c>
      <c r="F850" s="4">
        <f>Thiet_ke!$B$12*(Dau_vao!$B$22*(C850/Dau_vao!$B$19)+Dau_vao!$B$23*(C850/Dau_vao!$B$19)^2-Dau_vao!$B$24*(C850/Dau_vao!$B$19)^3)</f>
        <v>52.66284924875066</v>
      </c>
      <c r="G850" s="4">
        <f>60000*F850/(2*PI()*C850)</f>
        <v>420.4792362161526</v>
      </c>
      <c r="H850" s="4">
        <f>G850*Thiet_ke!$B$15*B850*Dau_vao!$B$10/Thiet_ke!$B$7</f>
        <v>3475.0249907024577</v>
      </c>
      <c r="I850" s="4">
        <f>IF(D850&lt;=Dau_vao!$B$14,Dau_vao!$B$13,Dau_vao!$B$13*(1+D850^2/1500))</f>
        <v>0.015</v>
      </c>
      <c r="J850" s="4">
        <f>Thiet_ke!$B$8*D850^2</f>
        <v>532.1066958161865</v>
      </c>
      <c r="K850" s="4">
        <f>Thiet_ke!$B$3*I850+J850</f>
        <v>1663.6901958161866</v>
      </c>
      <c r="L850" s="4">
        <f>(H850-J850)/Thiet_ke!$B$3</f>
        <v>0.039010620447624114</v>
      </c>
      <c r="M850" s="4">
        <f>1.05+0.05*B850^2</f>
        <v>1.1</v>
      </c>
      <c r="N850" s="4">
        <f>(MIN(H850,Thiet_ke!$B$16)-K850)/(Thiet_ke!$B$2*M850)</f>
        <v>0.214131078719266</v>
      </c>
      <c r="O850" s="4">
        <f>IF(N850&gt;0,1/N850,"")</f>
        <v>4.670036717608087</v>
      </c>
    </row>
    <row r="851" spans="1:15">
      <c r="A851">
        <v>5</v>
      </c>
      <c r="B851" s="4">
        <f>Thiet_ke!$B$24</f>
        <v>1.0</v>
      </c>
      <c r="C851" s="4">
        <f>Dau_vao!$B$21+(Dau_vao!$B$19-Dau_vao!$B$21)*45/200</f>
        <v>1205.0</v>
      </c>
      <c r="D851" s="4">
        <f>2*PI()*C851*Thiet_ke!$B$7/(60*Thiet_ke!$B$15*B851)</f>
        <v>13.589150047483379</v>
      </c>
      <c r="E851" s="4">
        <f>D851*3.6</f>
        <v>48.92094017094016</v>
      </c>
      <c r="F851" s="4">
        <f>Thiet_ke!$B$12*(Dau_vao!$B$22*(C851/Dau_vao!$B$19)+Dau_vao!$B$23*(C851/Dau_vao!$B$19)^2-Dau_vao!$B$24*(C851/Dau_vao!$B$19)^3)</f>
        <v>53.16736998855586</v>
      </c>
      <c r="G851" s="4">
        <f>60000*F851/(2*PI()*C851)</f>
        <v>421.3369167572292</v>
      </c>
      <c r="H851" s="4">
        <f>G851*Thiet_ke!$B$15*B851*Dau_vao!$B$10/Thiet_ke!$B$7</f>
        <v>3482.113239199818</v>
      </c>
      <c r="I851" s="4">
        <f>IF(D851&lt;=Dau_vao!$B$14,Dau_vao!$B$13,Dau_vao!$B$13*(1+D851^2/1500))</f>
        <v>0.015</v>
      </c>
      <c r="J851" s="4">
        <f>Thiet_ke!$B$8*D851^2</f>
        <v>540.1451221130764</v>
      </c>
      <c r="K851" s="4">
        <f>Thiet_ke!$B$3*I851+J851</f>
        <v>1671.7286221130767</v>
      </c>
      <c r="L851" s="4">
        <f>(H851-J851)/Thiet_ke!$B$3</f>
        <v>0.038998025118165046</v>
      </c>
      <c r="M851" s="4">
        <f>1.05+0.05*B851^2</f>
        <v>1.1</v>
      </c>
      <c r="N851" s="4">
        <f>(MIN(H851,Thiet_ke!$B$16)-K851)/(Thiet_ke!$B$2*M851)</f>
        <v>0.21401875128109013</v>
      </c>
      <c r="O851" s="4">
        <f>IF(N851&gt;0,1/N851,"")</f>
        <v>4.6724877797581845</v>
      </c>
    </row>
    <row r="852" spans="1:15">
      <c r="A852">
        <v>5</v>
      </c>
      <c r="B852" s="4">
        <f>Thiet_ke!$B$24</f>
        <v>1.0</v>
      </c>
      <c r="C852" s="4">
        <f>Dau_vao!$B$21+(Dau_vao!$B$19-Dau_vao!$B$21)*46/200</f>
        <v>1214.0</v>
      </c>
      <c r="D852" s="4">
        <f>2*PI()*C852*Thiet_ke!$B$7/(60*Thiet_ke!$B$15*B852)</f>
        <v>13.690645773979107</v>
      </c>
      <c r="E852" s="4">
        <f>D852*3.6</f>
        <v>49.28632478632478</v>
      </c>
      <c r="F852" s="4">
        <f>Thiet_ke!$B$12*(Dau_vao!$B$22*(C852/Dau_vao!$B$19)+Dau_vao!$B$23*(C852/Dau_vao!$B$19)^2-Dau_vao!$B$24*(C852/Dau_vao!$B$19)^3)</f>
        <v>53.67219810432749</v>
      </c>
      <c r="G852" s="4">
        <f>60000*F852/(2*PI()*C852)</f>
        <v>422.1842982657912</v>
      </c>
      <c r="H852" s="4">
        <f>G852*Thiet_ke!$B$15*B852*Dau_vao!$B$10/Thiet_ke!$B$7</f>
        <v>3489.1163719713936</v>
      </c>
      <c r="I852" s="4">
        <f>IF(D852&lt;=Dau_vao!$B$14,Dau_vao!$B$13,Dau_vao!$B$13*(1+D852^2/1500))</f>
        <v>0.015</v>
      </c>
      <c r="J852" s="4">
        <f>Thiet_ke!$B$8*D852^2</f>
        <v>548.243811497573</v>
      </c>
      <c r="K852" s="4">
        <f>Thiet_ke!$B$3*I852+J852</f>
        <v>1679.8273114975732</v>
      </c>
      <c r="L852" s="4">
        <f>(H852-J852)/Thiet_ke!$B$3</f>
        <v>0.03898350268195613</v>
      </c>
      <c r="M852" s="4">
        <f>1.05+0.05*B852^2</f>
        <v>1.1</v>
      </c>
      <c r="N852" s="4">
        <f>(MIN(H852,Thiet_ke!$B$16)-K852)/(Thiet_ke!$B$2*M852)</f>
        <v>0.21388923755453604</v>
      </c>
      <c r="O852" s="4">
        <f>IF(N852&gt;0,1/N852,"")</f>
        <v>4.675317053972979</v>
      </c>
    </row>
    <row r="853" spans="1:15">
      <c r="A853">
        <v>5</v>
      </c>
      <c r="B853" s="4">
        <f>Thiet_ke!$B$24</f>
        <v>1.0</v>
      </c>
      <c r="C853" s="4">
        <f>Dau_vao!$B$21+(Dau_vao!$B$19-Dau_vao!$B$21)*47/200</f>
        <v>1223.0</v>
      </c>
      <c r="D853" s="4">
        <f>2*PI()*C853*Thiet_ke!$B$7/(60*Thiet_ke!$B$15*B853)</f>
        <v>13.792141500474832</v>
      </c>
      <c r="E853" s="4">
        <f>D853*3.6</f>
        <v>49.6517094017094</v>
      </c>
      <c r="F853" s="4">
        <f>Thiet_ke!$B$12*(Dau_vao!$B$22*(C853/Dau_vao!$B$19)+Dau_vao!$B$23*(C853/Dau_vao!$B$19)^2-Dau_vao!$B$24*(C853/Dau_vao!$B$19)^3)</f>
        <v>54.177304476237154</v>
      </c>
      <c r="G853" s="4">
        <f>60000*F853/(2*PI()*C853)</f>
        <v>423.02138074183864</v>
      </c>
      <c r="H853" s="4">
        <f>G853*Thiet_ke!$B$15*B853*Dau_vao!$B$10/Thiet_ke!$B$7</f>
        <v>3496.034389017182</v>
      </c>
      <c r="I853" s="4">
        <f>IF(D853&lt;=Dau_vao!$B$14,Dau_vao!$B$13,Dau_vao!$B$13*(1+D853^2/1500))</f>
        <v>0.015</v>
      </c>
      <c r="J853" s="4">
        <f>Thiet_ke!$B$8*D853^2</f>
        <v>556.4027639696765</v>
      </c>
      <c r="K853" s="4">
        <f>Thiet_ke!$B$3*I853+J853</f>
        <v>1687.9862639696767</v>
      </c>
      <c r="L853" s="4">
        <f>(H853-J853)/Thiet_ke!$B$3</f>
        <v>0.03896705313899732</v>
      </c>
      <c r="M853" s="4">
        <f>1.05+0.05*B853^2</f>
        <v>1.1</v>
      </c>
      <c r="N853" s="4">
        <f>(MIN(H853,Thiet_ke!$B$16)-K853)/(Thiet_ke!$B$2*M853)</f>
        <v>0.21374253753960343</v>
      </c>
      <c r="O853" s="4">
        <f>IF(N853&gt;0,1/N853,"")</f>
        <v>4.67852591024243</v>
      </c>
    </row>
    <row r="854" spans="1:15">
      <c r="A854">
        <v>5</v>
      </c>
      <c r="B854" s="4">
        <f>Thiet_ke!$B$24</f>
        <v>1.0</v>
      </c>
      <c r="C854" s="4">
        <f>Dau_vao!$B$21+(Dau_vao!$B$19-Dau_vao!$B$21)*48/200</f>
        <v>1232.0</v>
      </c>
      <c r="D854" s="4">
        <f>2*PI()*C854*Thiet_ke!$B$7/(60*Thiet_ke!$B$15*B854)</f>
        <v>13.89363722697056</v>
      </c>
      <c r="E854" s="4">
        <f>D854*3.6</f>
        <v>50.01709401709402</v>
      </c>
      <c r="F854" s="4">
        <f>Thiet_ke!$B$12*(Dau_vao!$B$22*(C854/Dau_vao!$B$19)+Dau_vao!$B$23*(C854/Dau_vao!$B$19)^2-Dau_vao!$B$24*(C854/Dau_vao!$B$19)^3)</f>
        <v>54.682659984456436</v>
      </c>
      <c r="G854" s="4">
        <f>60000*F854/(2*PI()*C854)</f>
        <v>423.84816418537145</v>
      </c>
      <c r="H854" s="4">
        <f>G854*Thiet_ke!$B$15*B854*Dau_vao!$B$10/Thiet_ke!$B$7</f>
        <v>3502.867290337187</v>
      </c>
      <c r="I854" s="4">
        <f>IF(D854&lt;=Dau_vao!$B$14,Dau_vao!$B$13,Dau_vao!$B$13*(1+D854^2/1500))</f>
        <v>0.015</v>
      </c>
      <c r="J854" s="4">
        <f>Thiet_ke!$B$8*D854^2</f>
        <v>564.6219795293869</v>
      </c>
      <c r="K854" s="4">
        <f>Thiet_ke!$B$3*I854+J854</f>
        <v>1696.205479529387</v>
      </c>
      <c r="L854" s="4">
        <f>(H854-J854)/Thiet_ke!$B$3</f>
        <v>0.03894867648928868</v>
      </c>
      <c r="M854" s="4">
        <f>1.05+0.05*B854^2</f>
        <v>1.1</v>
      </c>
      <c r="N854" s="4">
        <f>(MIN(H854,Thiet_ke!$B$16)-K854)/(Thiet_ke!$B$2*M854)</f>
        <v>0.21357865123629272</v>
      </c>
      <c r="O854" s="4">
        <f>IF(N854&gt;0,1/N854,"")</f>
        <v>4.682115905365701</v>
      </c>
    </row>
    <row r="855" spans="1:15">
      <c r="A855">
        <v>5</v>
      </c>
      <c r="B855" s="4">
        <f>Thiet_ke!$B$24</f>
        <v>1.0</v>
      </c>
      <c r="C855" s="4">
        <f>Dau_vao!$B$21+(Dau_vao!$B$19-Dau_vao!$B$21)*49/200</f>
        <v>1241.0</v>
      </c>
      <c r="D855" s="4">
        <f>2*PI()*C855*Thiet_ke!$B$7/(60*Thiet_ke!$B$15*B855)</f>
        <v>13.995132953466285</v>
      </c>
      <c r="E855" s="4">
        <f>D855*3.6</f>
        <v>50.38247863247863</v>
      </c>
      <c r="F855" s="4">
        <f>Thiet_ke!$B$12*(Dau_vao!$B$22*(C855/Dau_vao!$B$19)+Dau_vao!$B$23*(C855/Dau_vao!$B$19)^2-Dau_vao!$B$24*(C855/Dau_vao!$B$19)^3)</f>
        <v>55.188235509156954</v>
      </c>
      <c r="G855" s="4">
        <f>60000*F855/(2*PI()*C855)</f>
        <v>424.66464859638967</v>
      </c>
      <c r="H855" s="4">
        <f>G855*Thiet_ke!$B$15*B855*Dau_vao!$B$10/Thiet_ke!$B$7</f>
        <v>3509.615075931405</v>
      </c>
      <c r="I855" s="4">
        <f>IF(D855&lt;=Dau_vao!$B$14,Dau_vao!$B$13,Dau_vao!$B$13*(1+D855^2/1500))</f>
        <v>0.015</v>
      </c>
      <c r="J855" s="4">
        <f>Thiet_ke!$B$8*D855^2</f>
        <v>572.9014581767041</v>
      </c>
      <c r="K855" s="4">
        <f>Thiet_ke!$B$3*I855+J855</f>
        <v>1704.4849581767044</v>
      </c>
      <c r="L855" s="4">
        <f>(H855-J855)/Thiet_ke!$B$3</f>
        <v>0.038928372732830153</v>
      </c>
      <c r="M855" s="4">
        <f>1.05+0.05*B855^2</f>
        <v>1.1</v>
      </c>
      <c r="N855" s="4">
        <f>(MIN(H855,Thiet_ke!$B$16)-K855)/(Thiet_ke!$B$2*M855)</f>
        <v>0.21339757864460346</v>
      </c>
      <c r="O855" s="4">
        <f>IF(N855&gt;0,1/N855,"")</f>
        <v>4.686088784847085</v>
      </c>
    </row>
    <row r="856" spans="1:15">
      <c r="A856">
        <v>5</v>
      </c>
      <c r="B856" s="4">
        <f>Thiet_ke!$B$24</f>
        <v>1.0</v>
      </c>
      <c r="C856" s="4">
        <f>Dau_vao!$B$21+(Dau_vao!$B$19-Dau_vao!$B$21)*50/200</f>
        <v>1250.0</v>
      </c>
      <c r="D856" s="4">
        <f>2*PI()*C856*Thiet_ke!$B$7/(60*Thiet_ke!$B$15*B856)</f>
        <v>14.096628679962013</v>
      </c>
      <c r="E856" s="4">
        <f>D856*3.6</f>
        <v>50.74786324786325</v>
      </c>
      <c r="F856" s="4">
        <f>Thiet_ke!$B$12*(Dau_vao!$B$22*(C856/Dau_vao!$B$19)+Dau_vao!$B$23*(C856/Dau_vao!$B$19)^2-Dau_vao!$B$24*(C856/Dau_vao!$B$19)^3)</f>
        <v>55.69400193051032</v>
      </c>
      <c r="G856" s="4">
        <f>60000*F856/(2*PI()*C856)</f>
        <v>425.47083397489337</v>
      </c>
      <c r="H856" s="4">
        <f>G856*Thiet_ke!$B$15*B856*Dau_vao!$B$10/Thiet_ke!$B$7</f>
        <v>3516.277745799839</v>
      </c>
      <c r="I856" s="4">
        <f>IF(D856&lt;=Dau_vao!$B$14,Dau_vao!$B$13,Dau_vao!$B$13*(1+D856^2/1500))</f>
        <v>0.015</v>
      </c>
      <c r="J856" s="4">
        <f>Thiet_ke!$B$8*D856^2</f>
        <v>581.2411999116281</v>
      </c>
      <c r="K856" s="4">
        <f>Thiet_ke!$B$3*I856+J856</f>
        <v>1712.8246999116282</v>
      </c>
      <c r="L856" s="4">
        <f>(H856-J856)/Thiet_ke!$B$3</f>
        <v>0.03890614186962178</v>
      </c>
      <c r="M856" s="4">
        <f>1.05+0.05*B856^2</f>
        <v>1.1</v>
      </c>
      <c r="N856" s="4">
        <f>(MIN(H856,Thiet_ke!$B$16)-K856)/(Thiet_ke!$B$2*M856)</f>
        <v>0.2131993197645361</v>
      </c>
      <c r="O856" s="4">
        <f>IF(N856&gt;0,1/N856,"")</f>
        <v>4.690446485028334</v>
      </c>
    </row>
    <row r="857" spans="1:15">
      <c r="A857">
        <v>5</v>
      </c>
      <c r="B857" s="4">
        <f>Thiet_ke!$B$24</f>
        <v>1.0</v>
      </c>
      <c r="C857" s="4">
        <f>Dau_vao!$B$21+(Dau_vao!$B$19-Dau_vao!$B$21)*51/200</f>
        <v>1259.0</v>
      </c>
      <c r="D857" s="4">
        <f>2*PI()*C857*Thiet_ke!$B$7/(60*Thiet_ke!$B$15*B857)</f>
        <v>14.198124406457739</v>
      </c>
      <c r="E857" s="4">
        <f>D857*3.6</f>
        <v>51.11324786324786</v>
      </c>
      <c r="F857" s="4">
        <f>Thiet_ke!$B$12*(Dau_vao!$B$22*(C857/Dau_vao!$B$19)+Dau_vao!$B$23*(C857/Dau_vao!$B$19)^2-Dau_vao!$B$24*(C857/Dau_vao!$B$19)^3)</f>
        <v>56.199930128688095</v>
      </c>
      <c r="G857" s="4">
        <f>60000*F857/(2*PI()*C857)</f>
        <v>426.2667203208824</v>
      </c>
      <c r="H857" s="4">
        <f>G857*Thiet_ke!$B$15*B857*Dau_vao!$B$10/Thiet_ke!$B$7</f>
        <v>3522.8552999424865</v>
      </c>
      <c r="I857" s="4">
        <f>IF(D857&lt;=Dau_vao!$B$14,Dau_vao!$B$13,Dau_vao!$B$13*(1+D857^2/1500))</f>
        <v>0.015</v>
      </c>
      <c r="J857" s="4">
        <f>Thiet_ke!$B$8*D857^2</f>
        <v>589.6412047341589</v>
      </c>
      <c r="K857" s="4">
        <f>Thiet_ke!$B$3*I857+J857</f>
        <v>1721.224704734159</v>
      </c>
      <c r="L857" s="4">
        <f>(H857-J857)/Thiet_ke!$B$3</f>
        <v>0.038881983899663526</v>
      </c>
      <c r="M857" s="4">
        <f>1.05+0.05*B857^2</f>
        <v>1.1</v>
      </c>
      <c r="N857" s="4">
        <f>(MIN(H857,Thiet_ke!$B$16)-K857)/(Thiet_ke!$B$2*M857)</f>
        <v>0.21298387459609025</v>
      </c>
      <c r="O857" s="4">
        <f>IF(N857&gt;0,1/N857,"")</f>
        <v>4.695191135462408</v>
      </c>
    </row>
    <row r="858" spans="1:15">
      <c r="A858">
        <v>5</v>
      </c>
      <c r="B858" s="4">
        <f>Thiet_ke!$B$24</f>
        <v>1.0</v>
      </c>
      <c r="C858" s="4">
        <f>Dau_vao!$B$21+(Dau_vao!$B$19-Dau_vao!$B$21)*52/200</f>
        <v>1268.0</v>
      </c>
      <c r="D858" s="4">
        <f>2*PI()*C858*Thiet_ke!$B$7/(60*Thiet_ke!$B$15*B858)</f>
        <v>14.299620132953466</v>
      </c>
      <c r="E858" s="4">
        <f>D858*3.6</f>
        <v>51.47863247863248</v>
      </c>
      <c r="F858" s="4">
        <f>Thiet_ke!$B$12*(Dau_vao!$B$22*(C858/Dau_vao!$B$19)+Dau_vao!$B$23*(C858/Dau_vao!$B$19)^2-Dau_vao!$B$24*(C858/Dau_vao!$B$19)^3)</f>
        <v>56.70599098386193</v>
      </c>
      <c r="G858" s="4">
        <f>60000*F858/(2*PI()*C858)</f>
        <v>427.0523076343569</v>
      </c>
      <c r="H858" s="4">
        <f>G858*Thiet_ke!$B$15*B858*Dau_vao!$B$10/Thiet_ke!$B$7</f>
        <v>3529.3477383593477</v>
      </c>
      <c r="I858" s="4">
        <f>IF(D858&lt;=Dau_vao!$B$14,Dau_vao!$B$13,Dau_vao!$B$13*(1+D858^2/1500))</f>
        <v>0.015</v>
      </c>
      <c r="J858" s="4">
        <f>Thiet_ke!$B$8*D858^2</f>
        <v>598.1014726442968</v>
      </c>
      <c r="K858" s="4">
        <f>Thiet_ke!$B$3*I858+J858</f>
        <v>1729.684972644297</v>
      </c>
      <c r="L858" s="4">
        <f>(H858-J858)/Thiet_ke!$B$3</f>
        <v>0.038855898822955405</v>
      </c>
      <c r="M858" s="4">
        <f>1.05+0.05*B858^2</f>
        <v>1.1</v>
      </c>
      <c r="N858" s="4">
        <f>(MIN(H858,Thiet_ke!$B$16)-K858)/(Thiet_ke!$B$2*M858)</f>
        <v>0.21275124313926594</v>
      </c>
      <c r="O858" s="4">
        <f>IF(N858&gt;0,1/N858,"")</f>
        <v>4.700325061533976</v>
      </c>
    </row>
    <row r="859" spans="1:15">
      <c r="A859">
        <v>5</v>
      </c>
      <c r="B859" s="4">
        <f>Thiet_ke!$B$24</f>
        <v>1.0</v>
      </c>
      <c r="C859" s="4">
        <f>Dau_vao!$B$21+(Dau_vao!$B$19-Dau_vao!$B$21)*53/200</f>
        <v>1277.0</v>
      </c>
      <c r="D859" s="4">
        <f>2*PI()*C859*Thiet_ke!$B$7/(60*Thiet_ke!$B$15*B859)</f>
        <v>14.401115859449192</v>
      </c>
      <c r="E859" s="4">
        <f>D859*3.6</f>
        <v>51.84401709401709</v>
      </c>
      <c r="F859" s="4">
        <f>Thiet_ke!$B$12*(Dau_vao!$B$22*(C859/Dau_vao!$B$19)+Dau_vao!$B$23*(C859/Dau_vao!$B$19)^2-Dau_vao!$B$24*(C859/Dau_vao!$B$19)^3)</f>
        <v>57.212155376203384</v>
      </c>
      <c r="G859" s="4">
        <f>60000*F859/(2*PI()*C859)</f>
        <v>427.8275959153167</v>
      </c>
      <c r="H859" s="4">
        <f>G859*Thiet_ke!$B$15*B859*Dau_vao!$B$10/Thiet_ke!$B$7</f>
        <v>3535.7550610504245</v>
      </c>
      <c r="I859" s="4">
        <f>IF(D859&lt;=Dau_vao!$B$14,Dau_vao!$B$13,Dau_vao!$B$13*(1+D859^2/1500))</f>
        <v>0.015</v>
      </c>
      <c r="J859" s="4">
        <f>Thiet_ke!$B$8*D859^2</f>
        <v>606.6220036420412</v>
      </c>
      <c r="K859" s="4">
        <f>Thiet_ke!$B$3*I859+J859</f>
        <v>1738.2055036420415</v>
      </c>
      <c r="L859" s="4">
        <f>(H859-J859)/Thiet_ke!$B$3</f>
        <v>0.03882788663949743</v>
      </c>
      <c r="M859" s="4">
        <f>1.05+0.05*B859^2</f>
        <v>1.1</v>
      </c>
      <c r="N859" s="4">
        <f>(MIN(H859,Thiet_ke!$B$16)-K859)/(Thiet_ke!$B$2*M859)</f>
        <v>0.21250142539406347</v>
      </c>
      <c r="O859" s="4">
        <f>IF(N859&gt;0,1/N859,"")</f>
        <v>4.705850787332819</v>
      </c>
    </row>
    <row r="860" spans="1:15">
      <c r="A860">
        <v>5</v>
      </c>
      <c r="B860" s="4">
        <f>Thiet_ke!$B$24</f>
        <v>1.0</v>
      </c>
      <c r="C860" s="4">
        <f>Dau_vao!$B$21+(Dau_vao!$B$19-Dau_vao!$B$21)*54/200</f>
        <v>1286.0</v>
      </c>
      <c r="D860" s="4">
        <f>2*PI()*C860*Thiet_ke!$B$7/(60*Thiet_ke!$B$15*B860)</f>
        <v>14.50261158594492</v>
      </c>
      <c r="E860" s="4">
        <f>D860*3.6</f>
        <v>52.20940170940171</v>
      </c>
      <c r="F860" s="4">
        <f>Thiet_ke!$B$12*(Dau_vao!$B$22*(C860/Dau_vao!$B$19)+Dau_vao!$B$23*(C860/Dau_vao!$B$19)^2-Dau_vao!$B$24*(C860/Dau_vao!$B$19)^3)</f>
        <v>57.71839418588409</v>
      </c>
      <c r="G860" s="4">
        <f>60000*F860/(2*PI()*C860)</f>
        <v>428.592585163762</v>
      </c>
      <c r="H860" s="4">
        <f>G860*Thiet_ke!$B$15*B860*Dau_vao!$B$10/Thiet_ke!$B$7</f>
        <v>3542.077268015715</v>
      </c>
      <c r="I860" s="4">
        <f>IF(D860&lt;=Dau_vao!$B$14,Dau_vao!$B$13,Dau_vao!$B$13*(1+D860^2/1500))</f>
        <v>0.015</v>
      </c>
      <c r="J860" s="4">
        <f>Thiet_ke!$B$8*D860^2</f>
        <v>615.2027977273926</v>
      </c>
      <c r="K860" s="4">
        <f>Thiet_ke!$B$3*I860+J860</f>
        <v>1746.7862977273928</v>
      </c>
      <c r="L860" s="4">
        <f>(H860-J860)/Thiet_ke!$B$3</f>
        <v>0.03879794734928958</v>
      </c>
      <c r="M860" s="4">
        <f>1.05+0.05*B860^2</f>
        <v>1.1</v>
      </c>
      <c r="N860" s="4">
        <f>(MIN(H860,Thiet_ke!$B$16)-K860)/(Thiet_ke!$B$2*M860)</f>
        <v>0.2122344213604826</v>
      </c>
      <c r="O860" s="4">
        <f>IF(N860&gt;0,1/N860,"")</f>
        <v>4.711771038786816</v>
      </c>
    </row>
    <row r="861" spans="1:15">
      <c r="A861">
        <v>5</v>
      </c>
      <c r="B861" s="4">
        <f>Thiet_ke!$B$24</f>
        <v>1.0</v>
      </c>
      <c r="C861" s="4">
        <f>Dau_vao!$B$21+(Dau_vao!$B$19-Dau_vao!$B$21)*55/200</f>
        <v>1295.0</v>
      </c>
      <c r="D861" s="4">
        <f>2*PI()*C861*Thiet_ke!$B$7/(60*Thiet_ke!$B$15*B861)</f>
        <v>14.604107312440645</v>
      </c>
      <c r="E861" s="4">
        <f>D861*3.6</f>
        <v>52.574786324786324</v>
      </c>
      <c r="F861" s="4">
        <f>Thiet_ke!$B$12*(Dau_vao!$B$22*(C861/Dau_vao!$B$19)+Dau_vao!$B$23*(C861/Dau_vao!$B$19)^2-Dau_vao!$B$24*(C861/Dau_vao!$B$19)^3)</f>
        <v>58.22467829307563</v>
      </c>
      <c r="G861" s="4">
        <f>60000*F861/(2*PI()*C861)</f>
        <v>429.3472753796926</v>
      </c>
      <c r="H861" s="4">
        <f>G861*Thiet_ke!$B$15*B861*Dau_vao!$B$10/Thiet_ke!$B$7</f>
        <v>3548.31435925522</v>
      </c>
      <c r="I861" s="4">
        <f>IF(D861&lt;=Dau_vao!$B$14,Dau_vao!$B$13,Dau_vao!$B$13*(1+D861^2/1500))</f>
        <v>0.015</v>
      </c>
      <c r="J861" s="4">
        <f>Thiet_ke!$B$8*D861^2</f>
        <v>623.8438549003508</v>
      </c>
      <c r="K861" s="4">
        <f>Thiet_ke!$B$3*I861+J861</f>
        <v>1755.427354900351</v>
      </c>
      <c r="L861" s="4">
        <f>(H861-J861)/Thiet_ke!$B$3</f>
        <v>0.038766080952331874</v>
      </c>
      <c r="M861" s="4">
        <f>1.05+0.05*B861^2</f>
        <v>1.1</v>
      </c>
      <c r="N861" s="4">
        <f>(MIN(H861,Thiet_ke!$B$16)-K861)/(Thiet_ke!$B$2*M861)</f>
        <v>0.21195023103852337</v>
      </c>
      <c r="O861" s="4">
        <f>IF(N861&gt;0,1/N861,"")</f>
        <v>4.718088747061773</v>
      </c>
    </row>
    <row r="862" spans="1:15">
      <c r="A862">
        <v>5</v>
      </c>
      <c r="B862" s="4">
        <f>Thiet_ke!$B$24</f>
        <v>1.0</v>
      </c>
      <c r="C862" s="4">
        <f>Dau_vao!$B$21+(Dau_vao!$B$19-Dau_vao!$B$21)*56/200</f>
        <v>1304.0</v>
      </c>
      <c r="D862" s="4">
        <f>2*PI()*C862*Thiet_ke!$B$7/(60*Thiet_ke!$B$15*B862)</f>
        <v>14.70560303893637</v>
      </c>
      <c r="E862" s="4">
        <f>D862*3.6</f>
        <v>52.94017094017094</v>
      </c>
      <c r="F862" s="4">
        <f>Thiet_ke!$B$12*(Dau_vao!$B$22*(C862/Dau_vao!$B$19)+Dau_vao!$B$23*(C862/Dau_vao!$B$19)^2-Dau_vao!$B$24*(C862/Dau_vao!$B$19)^3)</f>
        <v>58.73097857794961</v>
      </c>
      <c r="G862" s="4">
        <f>60000*F862/(2*PI()*C862)</f>
        <v>430.0916665631086</v>
      </c>
      <c r="H862" s="4">
        <f>G862*Thiet_ke!$B$15*B862*Dau_vao!$B$10/Thiet_ke!$B$7</f>
        <v>3554.46633476894</v>
      </c>
      <c r="I862" s="4">
        <f>IF(D862&lt;=Dau_vao!$B$14,Dau_vao!$B$13,Dau_vao!$B$13*(1+D862^2/1500))</f>
        <v>0.015</v>
      </c>
      <c r="J862" s="4">
        <f>Thiet_ke!$B$8*D862^2</f>
        <v>632.5451751609158</v>
      </c>
      <c r="K862" s="4">
        <f>Thiet_ke!$B$3*I862+J862</f>
        <v>1764.128675160916</v>
      </c>
      <c r="L862" s="4">
        <f>(H862-J862)/Thiet_ke!$B$3</f>
        <v>0.03873228744862431</v>
      </c>
      <c r="M862" s="4">
        <f>1.05+0.05*B862^2</f>
        <v>1.1</v>
      </c>
      <c r="N862" s="4">
        <f>(MIN(H862,Thiet_ke!$B$16)-K862)/(Thiet_ke!$B$2*M862)</f>
        <v>0.21164885442818587</v>
      </c>
      <c r="O862" s="4">
        <f>IF(N862&gt;0,1/N862,"")</f>
        <v>4.724807052236174</v>
      </c>
    </row>
    <row r="863" spans="1:15">
      <c r="A863">
        <v>5</v>
      </c>
      <c r="B863" s="4">
        <f>Thiet_ke!$B$24</f>
        <v>1.0</v>
      </c>
      <c r="C863" s="4">
        <f>Dau_vao!$B$21+(Dau_vao!$B$19-Dau_vao!$B$21)*57/200</f>
        <v>1313.0</v>
      </c>
      <c r="D863" s="4">
        <f>2*PI()*C863*Thiet_ke!$B$7/(60*Thiet_ke!$B$15*B863)</f>
        <v>14.807098765432098</v>
      </c>
      <c r="E863" s="4">
        <f>D863*3.6</f>
        <v>53.30555555555556</v>
      </c>
      <c r="F863" s="4">
        <f>Thiet_ke!$B$12*(Dau_vao!$B$22*(C863/Dau_vao!$B$19)+Dau_vao!$B$23*(C863/Dau_vao!$B$19)^2-Dau_vao!$B$24*(C863/Dau_vao!$B$19)^3)</f>
        <v>59.23726592067765</v>
      </c>
      <c r="G863" s="4">
        <f>60000*F863/(2*PI()*C863)</f>
        <v>430.82575871401025</v>
      </c>
      <c r="H863" s="4">
        <f>G863*Thiet_ke!$B$15*B863*Dau_vao!$B$10/Thiet_ke!$B$7</f>
        <v>3560.533194556876</v>
      </c>
      <c r="I863" s="4">
        <f>IF(D863&lt;=Dau_vao!$B$14,Dau_vao!$B$13,Dau_vao!$B$13*(1+D863^2/1500))</f>
        <v>0.015</v>
      </c>
      <c r="J863" s="4">
        <f>Thiet_ke!$B$8*D863^2</f>
        <v>641.3067585090878</v>
      </c>
      <c r="K863" s="4">
        <f>Thiet_ke!$B$3*I863+J863</f>
        <v>1772.890258509088</v>
      </c>
      <c r="L863" s="4">
        <f>(H863-J863)/Thiet_ke!$B$3</f>
        <v>0.03869656683816689</v>
      </c>
      <c r="M863" s="4">
        <f>1.05+0.05*B863^2</f>
        <v>1.1</v>
      </c>
      <c r="N863" s="4">
        <f>(MIN(H863,Thiet_ke!$B$16)-K863)/(Thiet_ke!$B$2*M863)</f>
        <v>0.21133029152947014</v>
      </c>
      <c r="O863" s="4">
        <f>IF(N863&gt;0,1/N863,"")</f>
        <v>4.731929307259529</v>
      </c>
    </row>
    <row r="864" spans="1:15">
      <c r="A864">
        <v>5</v>
      </c>
      <c r="B864" s="4">
        <f>Thiet_ke!$B$24</f>
        <v>1.0</v>
      </c>
      <c r="C864" s="4">
        <f>Dau_vao!$B$21+(Dau_vao!$B$19-Dau_vao!$B$21)*58/200</f>
        <v>1322.0</v>
      </c>
      <c r="D864" s="4">
        <f>2*PI()*C864*Thiet_ke!$B$7/(60*Thiet_ke!$B$15*B864)</f>
        <v>14.908594491927825</v>
      </c>
      <c r="E864" s="4">
        <f>D864*3.6</f>
        <v>53.67094017094017</v>
      </c>
      <c r="F864" s="4">
        <f>Thiet_ke!$B$12*(Dau_vao!$B$22*(C864/Dau_vao!$B$19)+Dau_vao!$B$23*(C864/Dau_vao!$B$19)^2-Dau_vao!$B$24*(C864/Dau_vao!$B$19)^3)</f>
        <v>59.74351120143131</v>
      </c>
      <c r="G864" s="4">
        <f>60000*F864/(2*PI()*C864)</f>
        <v>431.54955183239696</v>
      </c>
      <c r="H864" s="4">
        <f>G864*Thiet_ke!$B$15*B864*Dau_vao!$B$10/Thiet_ke!$B$7</f>
        <v>3566.5149386190233</v>
      </c>
      <c r="I864" s="4">
        <f>IF(D864&lt;=Dau_vao!$B$14,Dau_vao!$B$13,Dau_vao!$B$13*(1+D864^2/1500))</f>
        <v>0.015</v>
      </c>
      <c r="J864" s="4">
        <f>Thiet_ke!$B$8*D864^2</f>
        <v>650.1286049448665</v>
      </c>
      <c r="K864" s="4">
        <f>Thiet_ke!$B$3*I864+J864</f>
        <v>1781.7121049448667</v>
      </c>
      <c r="L864" s="4">
        <f>(H864-J864)/Thiet_ke!$B$3</f>
        <v>0.03865891912095957</v>
      </c>
      <c r="M864" s="4">
        <f>1.05+0.05*B864^2</f>
        <v>1.1</v>
      </c>
      <c r="N864" s="4">
        <f>(MIN(H864,Thiet_ke!$B$16)-K864)/(Thiet_ke!$B$2*M864)</f>
        <v>0.21099454234237575</v>
      </c>
      <c r="O864" s="4">
        <f>IF(N864&gt;0,1/N864,"")</f>
        <v>4.7394590822037665</v>
      </c>
    </row>
    <row r="865" spans="1:15">
      <c r="A865">
        <v>5</v>
      </c>
      <c r="B865" s="4">
        <f>Thiet_ke!$B$24</f>
        <v>1.0</v>
      </c>
      <c r="C865" s="4">
        <f>Dau_vao!$B$21+(Dau_vao!$B$19-Dau_vao!$B$21)*59/200</f>
        <v>1331.0</v>
      </c>
      <c r="D865" s="4">
        <f>2*PI()*C865*Thiet_ke!$B$7/(60*Thiet_ke!$B$15*B865)</f>
        <v>15.01009021842355</v>
      </c>
      <c r="E865" s="4">
        <f>D865*3.6</f>
        <v>54.036324786324776</v>
      </c>
      <c r="F865" s="4">
        <f>Thiet_ke!$B$12*(Dau_vao!$B$22*(C865/Dau_vao!$B$19)+Dau_vao!$B$23*(C865/Dau_vao!$B$19)^2-Dau_vao!$B$24*(C865/Dau_vao!$B$19)^3)</f>
        <v>60.24968530038224</v>
      </c>
      <c r="G865" s="4">
        <f>60000*F865/(2*PI()*C865)</f>
        <v>432.2630459182692</v>
      </c>
      <c r="H865" s="4">
        <f>G865*Thiet_ke!$B$15*B865*Dau_vao!$B$10/Thiet_ke!$B$7</f>
        <v>3572.4115669553867</v>
      </c>
      <c r="I865" s="4">
        <f>IF(D865&lt;=Dau_vao!$B$14,Dau_vao!$B$13,Dau_vao!$B$13*(1+D865^2/1500))</f>
        <v>0.015</v>
      </c>
      <c r="J865" s="4">
        <f>Thiet_ke!$B$8*D865^2</f>
        <v>659.0107144682519</v>
      </c>
      <c r="K865" s="4">
        <f>Thiet_ke!$B$3*I865+J865</f>
        <v>1790.5942144682522</v>
      </c>
      <c r="L865" s="4">
        <f>(H865-J865)/Thiet_ke!$B$3</f>
        <v>0.0386193442970024</v>
      </c>
      <c r="M865" s="4">
        <f>1.05+0.05*B865^2</f>
        <v>1.1</v>
      </c>
      <c r="N865" s="4">
        <f>(MIN(H865,Thiet_ke!$B$16)-K865)/(Thiet_ke!$B$2*M865)</f>
        <v>0.21064160686690322</v>
      </c>
      <c r="O865" s="4">
        <f>IF(N865&gt;0,1/N865,"")</f>
        <v>4.747400168817852</v>
      </c>
    </row>
    <row r="866" spans="1:15">
      <c r="A866">
        <v>5</v>
      </c>
      <c r="B866" s="4">
        <f>Thiet_ke!$B$24</f>
        <v>1.0</v>
      </c>
      <c r="C866" s="4">
        <f>Dau_vao!$B$21+(Dau_vao!$B$19-Dau_vao!$B$21)*60/200</f>
        <v>1340.0</v>
      </c>
      <c r="D866" s="4">
        <f>2*PI()*C866*Thiet_ke!$B$7/(60*Thiet_ke!$B$15*B866)</f>
        <v>15.111585944919279</v>
      </c>
      <c r="E866" s="4">
        <f>D866*3.6</f>
        <v>54.401709401709404</v>
      </c>
      <c r="F866" s="4">
        <f>Thiet_ke!$B$12*(Dau_vao!$B$22*(C866/Dau_vao!$B$19)+Dau_vao!$B$23*(C866/Dau_vao!$B$19)^2-Dau_vao!$B$24*(C866/Dau_vao!$B$19)^3)</f>
        <v>60.75575909770202</v>
      </c>
      <c r="G866" s="4">
        <f>60000*F866/(2*PI()*C866)</f>
        <v>432.9662409716269</v>
      </c>
      <c r="H866" s="4">
        <f>G866*Thiet_ke!$B$15*B866*Dau_vao!$B$10/Thiet_ke!$B$7</f>
        <v>3578.2230795659643</v>
      </c>
      <c r="I866" s="4">
        <f>IF(D866&lt;=Dau_vao!$B$14,Dau_vao!$B$13,Dau_vao!$B$13*(1+D866^2/1500))</f>
        <v>0.015</v>
      </c>
      <c r="J866" s="4">
        <f>Thiet_ke!$B$8*D866^2</f>
        <v>667.9530870792446</v>
      </c>
      <c r="K866" s="4">
        <f>Thiet_ke!$B$3*I866+J866</f>
        <v>1799.5365870792448</v>
      </c>
      <c r="L866" s="4">
        <f>(H866-J866)/Thiet_ke!$B$3</f>
        <v>0.03857784236629536</v>
      </c>
      <c r="M866" s="4">
        <f>1.05+0.05*B866^2</f>
        <v>1.1</v>
      </c>
      <c r="N866" s="4">
        <f>(MIN(H866,Thiet_ke!$B$16)-K866)/(Thiet_ke!$B$2*M866)</f>
        <v>0.21027148510305232</v>
      </c>
      <c r="O866" s="4">
        <f>IF(N866&gt;0,1/N866,"")</f>
        <v>4.75575658539677</v>
      </c>
    </row>
    <row r="867" spans="1:15">
      <c r="A867">
        <v>5</v>
      </c>
      <c r="B867" s="4">
        <f>Thiet_ke!$B$24</f>
        <v>1.0</v>
      </c>
      <c r="C867" s="4">
        <f>Dau_vao!$B$21+(Dau_vao!$B$19-Dau_vao!$B$21)*61/200</f>
        <v>1349.0</v>
      </c>
      <c r="D867" s="4">
        <f>2*PI()*C867*Thiet_ke!$B$7/(60*Thiet_ke!$B$15*B867)</f>
        <v>15.213081671415004</v>
      </c>
      <c r="E867" s="4">
        <f>D867*3.6</f>
        <v>54.76709401709402</v>
      </c>
      <c r="F867" s="4">
        <f>Thiet_ke!$B$12*(Dau_vao!$B$22*(C867/Dau_vao!$B$19)+Dau_vao!$B$23*(C867/Dau_vao!$B$19)^2-Dau_vao!$B$24*(C867/Dau_vao!$B$19)^3)</f>
        <v>61.26170347356226</v>
      </c>
      <c r="G867" s="4">
        <f>60000*F867/(2*PI()*C867)</f>
        <v>433.65913699247005</v>
      </c>
      <c r="H867" s="4">
        <f>G867*Thiet_ke!$B$15*B867*Dau_vao!$B$10/Thiet_ke!$B$7</f>
        <v>3583.9494764507567</v>
      </c>
      <c r="I867" s="4">
        <f>IF(D867&lt;=Dau_vao!$B$14,Dau_vao!$B$13,Dau_vao!$B$13*(1+D867^2/1500))</f>
        <v>0.015</v>
      </c>
      <c r="J867" s="4">
        <f>Thiet_ke!$B$8*D867^2</f>
        <v>676.9557227778438</v>
      </c>
      <c r="K867" s="4">
        <f>Thiet_ke!$B$3*I867+J867</f>
        <v>1808.5392227778439</v>
      </c>
      <c r="L867" s="4">
        <f>(H867-J867)/Thiet_ke!$B$3</f>
        <v>0.038534413328838474</v>
      </c>
      <c r="M867" s="4">
        <f>1.05+0.05*B867^2</f>
        <v>1.1</v>
      </c>
      <c r="N867" s="4">
        <f>(MIN(H867,Thiet_ke!$B$16)-K867)/(Thiet_ke!$B$2*M867)</f>
        <v>0.20988417705082313</v>
      </c>
      <c r="O867" s="4">
        <f>IF(N867&gt;0,1/N867,"")</f>
        <v>4.7645325819766375</v>
      </c>
    </row>
    <row r="868" spans="1:15">
      <c r="A868">
        <v>5</v>
      </c>
      <c r="B868" s="4">
        <f>Thiet_ke!$B$24</f>
        <v>1.0</v>
      </c>
      <c r="C868" s="4">
        <f>Dau_vao!$B$21+(Dau_vao!$B$19-Dau_vao!$B$21)*62/200</f>
        <v>1358.0</v>
      </c>
      <c r="D868" s="4">
        <f>2*PI()*C868*Thiet_ke!$B$7/(60*Thiet_ke!$B$15*B868)</f>
        <v>15.314577397910732</v>
      </c>
      <c r="E868" s="4">
        <f>D868*3.6</f>
        <v>55.13247863247864</v>
      </c>
      <c r="F868" s="4">
        <f>Thiet_ke!$B$12*(Dau_vao!$B$22*(C868/Dau_vao!$B$19)+Dau_vao!$B$23*(C868/Dau_vao!$B$19)^2-Dau_vao!$B$24*(C868/Dau_vao!$B$19)^3)</f>
        <v>61.76748930813455</v>
      </c>
      <c r="G868" s="4">
        <f>60000*F868/(2*PI()*C868)</f>
        <v>434.34173398079867</v>
      </c>
      <c r="H868" s="4">
        <f>G868*Thiet_ke!$B$15*B868*Dau_vao!$B$10/Thiet_ke!$B$7</f>
        <v>3589.5907576097643</v>
      </c>
      <c r="I868" s="4">
        <f>IF(D868&lt;=Dau_vao!$B$14,Dau_vao!$B$13,Dau_vao!$B$13*(1+D868^2/1500))</f>
        <v>0.015</v>
      </c>
      <c r="J868" s="4">
        <f>Thiet_ke!$B$8*D868^2</f>
        <v>686.0186215640499</v>
      </c>
      <c r="K868" s="4">
        <f>Thiet_ke!$B$3*I868+J868</f>
        <v>1817.60212156405</v>
      </c>
      <c r="L868" s="4">
        <f>(H868-J868)/Thiet_ke!$B$3</f>
        <v>0.03848905718463173</v>
      </c>
      <c r="M868" s="4">
        <f>1.05+0.05*B868^2</f>
        <v>1.1</v>
      </c>
      <c r="N868" s="4">
        <f>(MIN(H868,Thiet_ke!$B$16)-K868)/(Thiet_ke!$B$2*M868)</f>
        <v>0.20947968271021566</v>
      </c>
      <c r="O868" s="4">
        <f>IF(N868&gt;0,1/N868,"")</f>
        <v>4.773732645868826</v>
      </c>
    </row>
    <row r="869" spans="1:15">
      <c r="A869">
        <v>5</v>
      </c>
      <c r="B869" s="4">
        <f>Thiet_ke!$B$24</f>
        <v>1.0</v>
      </c>
      <c r="C869" s="4">
        <f>Dau_vao!$B$21+(Dau_vao!$B$19-Dau_vao!$B$21)*63/200</f>
        <v>1367.0</v>
      </c>
      <c r="D869" s="4">
        <f>2*PI()*C869*Thiet_ke!$B$7/(60*Thiet_ke!$B$15*B869)</f>
        <v>15.416073124406456</v>
      </c>
      <c r="E869" s="4">
        <f>D869*3.6</f>
        <v>55.49786324786324</v>
      </c>
      <c r="F869" s="4">
        <f>Thiet_ke!$B$12*(Dau_vao!$B$22*(C869/Dau_vao!$B$19)+Dau_vao!$B$23*(C869/Dau_vao!$B$19)^2-Dau_vao!$B$24*(C869/Dau_vao!$B$19)^3)</f>
        <v>62.27308748159049</v>
      </c>
      <c r="G869" s="4">
        <f>60000*F869/(2*PI()*C869)</f>
        <v>435.01403193661247</v>
      </c>
      <c r="H869" s="4">
        <f>G869*Thiet_ke!$B$15*B869*Dau_vao!$B$10/Thiet_ke!$B$7</f>
        <v>3595.1469230429843</v>
      </c>
      <c r="I869" s="4">
        <f>IF(D869&lt;=Dau_vao!$B$14,Dau_vao!$B$13,Dau_vao!$B$13*(1+D869^2/1500))</f>
        <v>0.015</v>
      </c>
      <c r="J869" s="4">
        <f>Thiet_ke!$B$8*D869^2</f>
        <v>695.1417834378626</v>
      </c>
      <c r="K869" s="4">
        <f>Thiet_ke!$B$3*I869+J869</f>
        <v>1826.7252834378628</v>
      </c>
      <c r="L869" s="4">
        <f>(H869-J869)/Thiet_ke!$B$3</f>
        <v>0.03844177393367509</v>
      </c>
      <c r="M869" s="4">
        <f>1.05+0.05*B869^2</f>
        <v>1.1</v>
      </c>
      <c r="N869" s="4">
        <f>(MIN(H869,Thiet_ke!$B$16)-K869)/(Thiet_ke!$B$2*M869)</f>
        <v>0.20905800208122963</v>
      </c>
      <c r="O869" s="4">
        <f>IF(N869&gt;0,1/N869,"")</f>
        <v>4.783361507546835</v>
      </c>
    </row>
    <row r="870" spans="1:15">
      <c r="A870">
        <v>5</v>
      </c>
      <c r="B870" s="4">
        <f>Thiet_ke!$B$24</f>
        <v>1.0</v>
      </c>
      <c r="C870" s="4">
        <f>Dau_vao!$B$21+(Dau_vao!$B$19-Dau_vao!$B$21)*64/200</f>
        <v>1376.0</v>
      </c>
      <c r="D870" s="4">
        <f>2*PI()*C870*Thiet_ke!$B$7/(60*Thiet_ke!$B$15*B870)</f>
        <v>15.517568850902183</v>
      </c>
      <c r="E870" s="4">
        <f>D870*3.6</f>
        <v>55.863247863247864</v>
      </c>
      <c r="F870" s="4">
        <f>Thiet_ke!$B$12*(Dau_vao!$B$22*(C870/Dau_vao!$B$19)+Dau_vao!$B$23*(C870/Dau_vao!$B$19)^2-Dau_vao!$B$24*(C870/Dau_vao!$B$19)^3)</f>
        <v>62.778468874101684</v>
      </c>
      <c r="G870" s="4">
        <f>60000*F870/(2*PI()*C870)</f>
        <v>435.67603085991175</v>
      </c>
      <c r="H870" s="4">
        <f>G870*Thiet_ke!$B$15*B870*Dau_vao!$B$10/Thiet_ke!$B$7</f>
        <v>3600.6179727504214</v>
      </c>
      <c r="I870" s="4">
        <f>IF(D870&lt;=Dau_vao!$B$14,Dau_vao!$B$13,Dau_vao!$B$13*(1+D870^2/1500))</f>
        <v>0.015</v>
      </c>
      <c r="J870" s="4">
        <f>Thiet_ke!$B$8*D870^2</f>
        <v>704.3252083992825</v>
      </c>
      <c r="K870" s="4">
        <f>Thiet_ke!$B$3*I870+J870</f>
        <v>1835.9087083992827</v>
      </c>
      <c r="L870" s="4">
        <f>(H870-J870)/Thiet_ke!$B$3</f>
        <v>0.03839256357596861</v>
      </c>
      <c r="M870" s="4">
        <f>1.05+0.05*B870^2</f>
        <v>1.1</v>
      </c>
      <c r="N870" s="4">
        <f>(MIN(H870,Thiet_ke!$B$16)-K870)/(Thiet_ke!$B$2*M870)</f>
        <v>0.20861913516386554</v>
      </c>
      <c r="O870" s="4">
        <f>IF(N870&gt;0,1/N870,"")</f>
        <v>4.793424146900633</v>
      </c>
    </row>
    <row r="871" spans="1:15">
      <c r="A871">
        <v>5</v>
      </c>
      <c r="B871" s="4">
        <f>Thiet_ke!$B$24</f>
        <v>1.0</v>
      </c>
      <c r="C871" s="4">
        <f>Dau_vao!$B$21+(Dau_vao!$B$19-Dau_vao!$B$21)*65/200</f>
        <v>1385.0</v>
      </c>
      <c r="D871" s="4">
        <f>2*PI()*C871*Thiet_ke!$B$7/(60*Thiet_ke!$B$15*B871)</f>
        <v>15.619064577397909</v>
      </c>
      <c r="E871" s="4">
        <f>D871*3.6</f>
        <v>56.22863247863247</v>
      </c>
      <c r="F871" s="4">
        <f>Thiet_ke!$B$12*(Dau_vao!$B$22*(C871/Dau_vao!$B$19)+Dau_vao!$B$23*(C871/Dau_vao!$B$19)^2-Dau_vao!$B$24*(C871/Dau_vao!$B$19)^3)</f>
        <v>63.28360436583975</v>
      </c>
      <c r="G871" s="4">
        <f>60000*F871/(2*PI()*C871)</f>
        <v>436.3277307506966</v>
      </c>
      <c r="H871" s="4">
        <f>G871*Thiet_ke!$B$15*B871*Dau_vao!$B$10/Thiet_ke!$B$7</f>
        <v>3606.0039067320704</v>
      </c>
      <c r="I871" s="4">
        <f>IF(D871&lt;=Dau_vao!$B$14,Dau_vao!$B$13,Dau_vao!$B$13*(1+D871^2/1500))</f>
        <v>0.015</v>
      </c>
      <c r="J871" s="4">
        <f>Thiet_ke!$B$8*D871^2</f>
        <v>713.5688964483089</v>
      </c>
      <c r="K871" s="4">
        <f>Thiet_ke!$B$3*I871+J871</f>
        <v>1845.152396448309</v>
      </c>
      <c r="L871" s="4">
        <f>(H871-J871)/Thiet_ke!$B$3</f>
        <v>0.03834142611151225</v>
      </c>
      <c r="M871" s="4">
        <f>1.05+0.05*B871^2</f>
        <v>1.1</v>
      </c>
      <c r="N871" s="4">
        <f>(MIN(H871,Thiet_ke!$B$16)-K871)/(Thiet_ke!$B$2*M871)</f>
        <v>0.2081630819581229</v>
      </c>
      <c r="O871" s="4">
        <f>IF(N871&gt;0,1/N871,"")</f>
        <v>4.8039257998744205</v>
      </c>
    </row>
    <row r="872" spans="1:15">
      <c r="A872">
        <v>5</v>
      </c>
      <c r="B872" s="4">
        <f>Thiet_ke!$B$24</f>
        <v>1.0</v>
      </c>
      <c r="C872" s="4">
        <f>Dau_vao!$B$21+(Dau_vao!$B$19-Dau_vao!$B$21)*66/200</f>
        <v>1394.0</v>
      </c>
      <c r="D872" s="4">
        <f>2*PI()*C872*Thiet_ke!$B$7/(60*Thiet_ke!$B$15*B872)</f>
        <v>15.720560303893638</v>
      </c>
      <c r="E872" s="4">
        <f>D872*3.6</f>
        <v>56.5940170940171</v>
      </c>
      <c r="F872" s="4">
        <f>Thiet_ke!$B$12*(Dau_vao!$B$22*(C872/Dau_vao!$B$19)+Dau_vao!$B$23*(C872/Dau_vao!$B$19)^2-Dau_vao!$B$24*(C872/Dau_vao!$B$19)^3)</f>
        <v>63.78846483697627</v>
      </c>
      <c r="G872" s="4">
        <f>60000*F872/(2*PI()*C872)</f>
        <v>436.9691316089666</v>
      </c>
      <c r="H872" s="4">
        <f>G872*Thiet_ke!$B$15*B872*Dau_vao!$B$10/Thiet_ke!$B$7</f>
        <v>3611.304724987936</v>
      </c>
      <c r="I872" s="4">
        <f>IF(D872&lt;=Dau_vao!$B$14,Dau_vao!$B$13,Dau_vao!$B$13*(1+D872^2/1500))</f>
        <v>0.015</v>
      </c>
      <c r="J872" s="4">
        <f>Thiet_ke!$B$8*D872^2</f>
        <v>722.8728475849426</v>
      </c>
      <c r="K872" s="4">
        <f>Thiet_ke!$B$3*I872+J872</f>
        <v>1854.4563475849427</v>
      </c>
      <c r="L872" s="4">
        <f>(H872-J872)/Thiet_ke!$B$3</f>
        <v>0.038288361540306036</v>
      </c>
      <c r="M872" s="4">
        <f>1.05+0.05*B872^2</f>
        <v>1.1</v>
      </c>
      <c r="N872" s="4">
        <f>(MIN(H872,Thiet_ke!$B$16)-K872)/(Thiet_ke!$B$2*M872)</f>
        <v>0.20768984246400204</v>
      </c>
      <c r="O872" s="4">
        <f>IF(N872&gt;0,1/N872,"")</f>
        <v>4.814871965504647</v>
      </c>
    </row>
    <row r="873" spans="1:15">
      <c r="A873">
        <v>5</v>
      </c>
      <c r="B873" s="4">
        <f>Thiet_ke!$B$24</f>
        <v>1.0</v>
      </c>
      <c r="C873" s="4">
        <f>Dau_vao!$B$21+(Dau_vao!$B$19-Dau_vao!$B$21)*67/200</f>
        <v>1403.0</v>
      </c>
      <c r="D873" s="4">
        <f>2*PI()*C873*Thiet_ke!$B$7/(60*Thiet_ke!$B$15*B873)</f>
        <v>15.822056030389362</v>
      </c>
      <c r="E873" s="4">
        <f>D873*3.6</f>
        <v>56.9594017094017</v>
      </c>
      <c r="F873" s="4">
        <f>Thiet_ke!$B$12*(Dau_vao!$B$22*(C873/Dau_vao!$B$19)+Dau_vao!$B$23*(C873/Dau_vao!$B$19)^2-Dau_vao!$B$24*(C873/Dau_vao!$B$19)^3)</f>
        <v>64.29302116768284</v>
      </c>
      <c r="G873" s="4">
        <f>60000*F873/(2*PI()*C873)</f>
        <v>437.60023343472216</v>
      </c>
      <c r="H873" s="4">
        <f>G873*Thiet_ke!$B$15*B873*Dau_vao!$B$10/Thiet_ke!$B$7</f>
        <v>3616.5204275180145</v>
      </c>
      <c r="I873" s="4">
        <f>IF(D873&lt;=Dau_vao!$B$14,Dau_vao!$B$13,Dau_vao!$B$13*(1+D873^2/1500))</f>
        <v>0.015</v>
      </c>
      <c r="J873" s="4">
        <f>Thiet_ke!$B$8*D873^2</f>
        <v>732.2370618091826</v>
      </c>
      <c r="K873" s="4">
        <f>Thiet_ke!$B$3*I873+J873</f>
        <v>1863.820561809183</v>
      </c>
      <c r="L873" s="4">
        <f>(H873-J873)/Thiet_ke!$B$3</f>
        <v>0.038233369862349945</v>
      </c>
      <c r="M873" s="4">
        <f>1.05+0.05*B873^2</f>
        <v>1.1</v>
      </c>
      <c r="N873" s="4">
        <f>(MIN(H873,Thiet_ke!$B$16)-K873)/(Thiet_ke!$B$2*M873)</f>
        <v>0.20719941668150274</v>
      </c>
      <c r="O873" s="4">
        <f>IF(N873&gt;0,1/N873,"")</f>
        <v>4.826268413376632</v>
      </c>
    </row>
    <row r="874" spans="1:15">
      <c r="A874">
        <v>5</v>
      </c>
      <c r="B874" s="4">
        <f>Thiet_ke!$B$24</f>
        <v>1.0</v>
      </c>
      <c r="C874" s="4">
        <f>Dau_vao!$B$21+(Dau_vao!$B$19-Dau_vao!$B$21)*68/200</f>
        <v>1412.0</v>
      </c>
      <c r="D874" s="4">
        <f>2*PI()*C874*Thiet_ke!$B$7/(60*Thiet_ke!$B$15*B874)</f>
        <v>15.92355175688509</v>
      </c>
      <c r="E874" s="4">
        <f>D874*3.6</f>
        <v>57.324786324786324</v>
      </c>
      <c r="F874" s="4">
        <f>Thiet_ke!$B$12*(Dau_vao!$B$22*(C874/Dau_vao!$B$19)+Dau_vao!$B$23*(C874/Dau_vao!$B$19)^2-Dau_vao!$B$24*(C874/Dau_vao!$B$19)^3)</f>
        <v>64.79724423813109</v>
      </c>
      <c r="G874" s="4">
        <f>60000*F874/(2*PI()*C874)</f>
        <v>438.22103622796305</v>
      </c>
      <c r="H874" s="4">
        <f>G874*Thiet_ke!$B$15*B874*Dau_vao!$B$10/Thiet_ke!$B$7</f>
        <v>3621.651014322309</v>
      </c>
      <c r="I874" s="4">
        <f>IF(D874&lt;=Dau_vao!$B$14,Dau_vao!$B$13,Dau_vao!$B$13*(1+D874^2/1500))</f>
        <v>0.015</v>
      </c>
      <c r="J874" s="4">
        <f>Thiet_ke!$B$8*D874^2</f>
        <v>741.6615391210298</v>
      </c>
      <c r="K874" s="4">
        <f>Thiet_ke!$B$3*I874+J874</f>
        <v>1873.24503912103</v>
      </c>
      <c r="L874" s="4">
        <f>(H874-J874)/Thiet_ke!$B$3</f>
        <v>0.03817645107764401</v>
      </c>
      <c r="M874" s="4">
        <f>1.05+0.05*B874^2</f>
        <v>1.1</v>
      </c>
      <c r="N874" s="4">
        <f>(MIN(H874,Thiet_ke!$B$16)-K874)/(Thiet_ke!$B$2*M874)</f>
        <v>0.20669180461062525</v>
      </c>
      <c r="O874" s="4">
        <f>IF(N874&gt;0,1/N874,"")</f>
        <v>4.838121191519142</v>
      </c>
    </row>
    <row r="875" spans="1:15">
      <c r="A875">
        <v>5</v>
      </c>
      <c r="B875" s="4">
        <f>Thiet_ke!$B$24</f>
        <v>1.0</v>
      </c>
      <c r="C875" s="4">
        <f>Dau_vao!$B$21+(Dau_vao!$B$19-Dau_vao!$B$21)*69/200</f>
        <v>1421.0</v>
      </c>
      <c r="D875" s="4">
        <f>2*PI()*C875*Thiet_ke!$B$7/(60*Thiet_ke!$B$15*B875)</f>
        <v>16.025047483380817</v>
      </c>
      <c r="E875" s="4">
        <f>D875*3.6</f>
        <v>57.690170940170944</v>
      </c>
      <c r="F875" s="4">
        <f>Thiet_ke!$B$12*(Dau_vao!$B$22*(C875/Dau_vao!$B$19)+Dau_vao!$B$23*(C875/Dau_vao!$B$19)^2-Dau_vao!$B$24*(C875/Dau_vao!$B$19)^3)</f>
        <v>65.30110492849258</v>
      </c>
      <c r="G875" s="4">
        <f>60000*F875/(2*PI()*C875)</f>
        <v>438.83153998868926</v>
      </c>
      <c r="H875" s="4">
        <f>G875*Thiet_ke!$B$15*B875*Dau_vao!$B$10/Thiet_ke!$B$7</f>
        <v>3626.696485400816</v>
      </c>
      <c r="I875" s="4">
        <f>IF(D875&lt;=Dau_vao!$B$14,Dau_vao!$B$13,Dau_vao!$B$13*(1+D875^2/1500))</f>
        <v>0.015</v>
      </c>
      <c r="J875" s="4">
        <f>Thiet_ke!$B$8*D875^2</f>
        <v>751.146279520484</v>
      </c>
      <c r="K875" s="4">
        <f>Thiet_ke!$B$3*I875+J875</f>
        <v>1882.729779520484</v>
      </c>
      <c r="L875" s="4">
        <f>(H875-J875)/Thiet_ke!$B$3</f>
        <v>0.03811760518618818</v>
      </c>
      <c r="M875" s="4">
        <f>1.05+0.05*B875^2</f>
        <v>1.1</v>
      </c>
      <c r="N875" s="4">
        <f>(MIN(H875,Thiet_ke!$B$16)-K875)/(Thiet_ke!$B$2*M875)</f>
        <v>0.2061670062513692</v>
      </c>
      <c r="O875" s="4">
        <f>IF(N875&gt;0,1/N875,"")</f>
        <v>4.85043663475789</v>
      </c>
    </row>
    <row r="876" spans="1:15">
      <c r="A876">
        <v>5</v>
      </c>
      <c r="B876" s="4">
        <f>Thiet_ke!$B$24</f>
        <v>1.0</v>
      </c>
      <c r="C876" s="4">
        <f>Dau_vao!$B$21+(Dau_vao!$B$19-Dau_vao!$B$21)*70/200</f>
        <v>1430.0</v>
      </c>
      <c r="D876" s="4">
        <f>2*PI()*C876*Thiet_ke!$B$7/(60*Thiet_ke!$B$15*B876)</f>
        <v>16.126543209876544</v>
      </c>
      <c r="E876" s="4">
        <f>D876*3.6</f>
        <v>58.055555555555564</v>
      </c>
      <c r="F876" s="4">
        <f>Thiet_ke!$B$12*(Dau_vao!$B$22*(C876/Dau_vao!$B$19)+Dau_vao!$B$23*(C876/Dau_vao!$B$19)^2-Dau_vao!$B$24*(C876/Dau_vao!$B$19)^3)</f>
        <v>65.80457411893899</v>
      </c>
      <c r="G876" s="4">
        <f>60000*F876/(2*PI()*C876)</f>
        <v>439.43174471690116</v>
      </c>
      <c r="H876" s="4">
        <f>G876*Thiet_ke!$B$15*B876*Dau_vao!$B$10/Thiet_ke!$B$7</f>
        <v>3631.65684075354</v>
      </c>
      <c r="I876" s="4">
        <f>IF(D876&lt;=Dau_vao!$B$14,Dau_vao!$B$13,Dau_vao!$B$13*(1+D876^2/1500))</f>
        <v>0.015</v>
      </c>
      <c r="J876" s="4">
        <f>Thiet_ke!$B$8*D876^2</f>
        <v>760.6912830075448</v>
      </c>
      <c r="K876" s="4">
        <f>Thiet_ke!$B$3*I876+J876</f>
        <v>1892.274783007545</v>
      </c>
      <c r="L876" s="4">
        <f>(H876-J876)/Thiet_ke!$B$3</f>
        <v>0.038056832187982524</v>
      </c>
      <c r="M876" s="4">
        <f>1.05+0.05*B876^2</f>
        <v>1.1</v>
      </c>
      <c r="N876" s="4">
        <f>(MIN(H876,Thiet_ke!$B$16)-K876)/(Thiet_ke!$B$2*M876)</f>
        <v>0.20562502160373508</v>
      </c>
      <c r="O876" s="4">
        <f>IF(N876&gt;0,1/N876,"")</f>
        <v>4.863221373550171</v>
      </c>
    </row>
    <row r="877" spans="1:15">
      <c r="A877">
        <v>5</v>
      </c>
      <c r="B877" s="4">
        <f>Thiet_ke!$B$24</f>
        <v>1.0</v>
      </c>
      <c r="C877" s="4">
        <f>Dau_vao!$B$21+(Dau_vao!$B$19-Dau_vao!$B$21)*71/200</f>
        <v>1439.0</v>
      </c>
      <c r="D877" s="4">
        <f>2*PI()*C877*Thiet_ke!$B$7/(60*Thiet_ke!$B$15*B877)</f>
        <v>16.22803893637227</v>
      </c>
      <c r="E877" s="4">
        <f>D877*3.6</f>
        <v>58.42094017094017</v>
      </c>
      <c r="F877" s="4">
        <f>Thiet_ke!$B$12*(Dau_vao!$B$22*(C877/Dau_vao!$B$19)+Dau_vao!$B$23*(C877/Dau_vao!$B$19)^2-Dau_vao!$B$24*(C877/Dau_vao!$B$19)^3)</f>
        <v>66.30762268964183</v>
      </c>
      <c r="G877" s="4">
        <f>60000*F877/(2*PI()*C877)</f>
        <v>440.0216504125982</v>
      </c>
      <c r="H877" s="4">
        <f>G877*Thiet_ke!$B$15*B877*Dau_vao!$B$10/Thiet_ke!$B$7</f>
        <v>3636.532080380477</v>
      </c>
      <c r="I877" s="4">
        <f>IF(D877&lt;=Dau_vao!$B$14,Dau_vao!$B$13,Dau_vao!$B$13*(1+D877^2/1500))</f>
        <v>0.015</v>
      </c>
      <c r="J877" s="4">
        <f>Thiet_ke!$B$8*D877^2</f>
        <v>770.2965495822122</v>
      </c>
      <c r="K877" s="4">
        <f>Thiet_ke!$B$3*I877+J877</f>
        <v>1901.8800495822125</v>
      </c>
      <c r="L877" s="4">
        <f>(H877-J877)/Thiet_ke!$B$3</f>
        <v>0.03799413208302699</v>
      </c>
      <c r="M877" s="4">
        <f>1.05+0.05*B877^2</f>
        <v>1.1</v>
      </c>
      <c r="N877" s="4">
        <f>(MIN(H877,Thiet_ke!$B$16)-K877)/(Thiet_ke!$B$2*M877)</f>
        <v>0.2050658506677225</v>
      </c>
      <c r="O877" s="4">
        <f>IF(N877&gt;0,1/N877,"")</f>
        <v>4.876482343324659</v>
      </c>
    </row>
    <row r="878" spans="1:15">
      <c r="A878">
        <v>5</v>
      </c>
      <c r="B878" s="4">
        <f>Thiet_ke!$B$24</f>
        <v>1.0</v>
      </c>
      <c r="C878" s="4">
        <f>Dau_vao!$B$21+(Dau_vao!$B$19-Dau_vao!$B$21)*72/200</f>
        <v>1448.0</v>
      </c>
      <c r="D878" s="4">
        <f>2*PI()*C878*Thiet_ke!$B$7/(60*Thiet_ke!$B$15*B878)</f>
        <v>16.329534662867996</v>
      </c>
      <c r="E878" s="4">
        <f>D878*3.6</f>
        <v>58.78632478632478</v>
      </c>
      <c r="F878" s="4">
        <f>Thiet_ke!$B$12*(Dau_vao!$B$22*(C878/Dau_vao!$B$19)+Dau_vao!$B$23*(C878/Dau_vao!$B$19)^2-Dau_vao!$B$24*(C878/Dau_vao!$B$19)^3)</f>
        <v>66.81022152077274</v>
      </c>
      <c r="G878" s="4">
        <f>60000*F878/(2*PI()*C878)</f>
        <v>440.6012570757807</v>
      </c>
      <c r="H878" s="4">
        <f>G878*Thiet_ke!$B$15*B878*Dau_vao!$B$10/Thiet_ke!$B$7</f>
        <v>3641.322204281628</v>
      </c>
      <c r="I878" s="4">
        <f>IF(D878&lt;=Dau_vao!$B$14,Dau_vao!$B$13,Dau_vao!$B$13*(1+D878^2/1500))</f>
        <v>0.015</v>
      </c>
      <c r="J878" s="4">
        <f>Thiet_ke!$B$8*D878^2</f>
        <v>779.9620792444866</v>
      </c>
      <c r="K878" s="4">
        <f>Thiet_ke!$B$3*I878+J878</f>
        <v>1911.5455792444868</v>
      </c>
      <c r="L878" s="4">
        <f>(H878-J878)/Thiet_ke!$B$3</f>
        <v>0.03792950487132157</v>
      </c>
      <c r="M878" s="4">
        <f>1.05+0.05*B878^2</f>
        <v>1.1</v>
      </c>
      <c r="N878" s="4">
        <f>(MIN(H878,Thiet_ke!$B$16)-K878)/(Thiet_ke!$B$2*M878)</f>
        <v>0.20448949344333148</v>
      </c>
      <c r="O878" s="4">
        <f>IF(N878&gt;0,1/N878,"")</f>
        <v>4.890226794351769</v>
      </c>
    </row>
    <row r="879" spans="1:15">
      <c r="A879">
        <v>5</v>
      </c>
      <c r="B879" s="4">
        <f>Thiet_ke!$B$24</f>
        <v>1.0</v>
      </c>
      <c r="C879" s="4">
        <f>Dau_vao!$B$21+(Dau_vao!$B$19-Dau_vao!$B$21)*73/200</f>
        <v>1457.0</v>
      </c>
      <c r="D879" s="4">
        <f>2*PI()*C879*Thiet_ke!$B$7/(60*Thiet_ke!$B$15*B879)</f>
        <v>16.431030389363723</v>
      </c>
      <c r="E879" s="4">
        <f>D879*3.6</f>
        <v>59.151709401709404</v>
      </c>
      <c r="F879" s="4">
        <f>Thiet_ke!$B$12*(Dau_vao!$B$22*(C879/Dau_vao!$B$19)+Dau_vao!$B$23*(C879/Dau_vao!$B$19)^2-Dau_vao!$B$24*(C879/Dau_vao!$B$19)^3)</f>
        <v>67.31234149250334</v>
      </c>
      <c r="G879" s="4">
        <f>60000*F879/(2*PI()*C879)</f>
        <v>441.17056470644866</v>
      </c>
      <c r="H879" s="4">
        <f>G879*Thiet_ke!$B$15*B879*Dau_vao!$B$10/Thiet_ke!$B$7</f>
        <v>3646.0272124569947</v>
      </c>
      <c r="I879" s="4">
        <f>IF(D879&lt;=Dau_vao!$B$14,Dau_vao!$B$13,Dau_vao!$B$13*(1+D879^2/1500))</f>
        <v>0.015</v>
      </c>
      <c r="J879" s="4">
        <f>Thiet_ke!$B$8*D879^2</f>
        <v>789.6878719943682</v>
      </c>
      <c r="K879" s="4">
        <f>Thiet_ke!$B$3*I879+J879</f>
        <v>1921.2713719943683</v>
      </c>
      <c r="L879" s="4">
        <f>(H879-J879)/Thiet_ke!$B$3</f>
        <v>0.037862950552866315</v>
      </c>
      <c r="M879" s="4">
        <f>1.05+0.05*B879^2</f>
        <v>1.1</v>
      </c>
      <c r="N879" s="4">
        <f>(MIN(H879,Thiet_ke!$B$16)-K879)/(Thiet_ke!$B$2*M879)</f>
        <v>0.2038959499305623</v>
      </c>
      <c r="O879" s="4">
        <f>IF(N879&gt;0,1/N879,"")</f>
        <v>4.904462302172037</v>
      </c>
    </row>
    <row r="880" spans="1:15">
      <c r="A880">
        <v>5</v>
      </c>
      <c r="B880" s="4">
        <f>Thiet_ke!$B$24</f>
        <v>1.0</v>
      </c>
      <c r="C880" s="4">
        <f>Dau_vao!$B$21+(Dau_vao!$B$19-Dau_vao!$B$21)*74/200</f>
        <v>1466.0</v>
      </c>
      <c r="D880" s="4">
        <f>2*PI()*C880*Thiet_ke!$B$7/(60*Thiet_ke!$B$15*B880)</f>
        <v>16.532526115859447</v>
      </c>
      <c r="E880" s="4">
        <f>D880*3.6</f>
        <v>59.51709401709401</v>
      </c>
      <c r="F880" s="4">
        <f>Thiet_ke!$B$12*(Dau_vao!$B$22*(C880/Dau_vao!$B$19)+Dau_vao!$B$23*(C880/Dau_vao!$B$19)^2-Dau_vao!$B$24*(C880/Dau_vao!$B$19)^3)</f>
        <v>67.81395348500523</v>
      </c>
      <c r="G880" s="4">
        <f>60000*F880/(2*PI()*C880)</f>
        <v>441.7295733046021</v>
      </c>
      <c r="H880" s="4">
        <f>G880*Thiet_ke!$B$15*B880*Dau_vao!$B$10/Thiet_ke!$B$7</f>
        <v>3650.6471049065754</v>
      </c>
      <c r="I880" s="4">
        <f>IF(D880&lt;=Dau_vao!$B$14,Dau_vao!$B$13,Dau_vao!$B$13*(1+D880^2/1500))</f>
        <v>0.015</v>
      </c>
      <c r="J880" s="4">
        <f>Thiet_ke!$B$8*D880^2</f>
        <v>799.4739278318559</v>
      </c>
      <c r="K880" s="4">
        <f>Thiet_ke!$B$3*I880+J880</f>
        <v>1931.057427831856</v>
      </c>
      <c r="L880" s="4">
        <f>(H880-J880)/Thiet_ke!$B$3</f>
        <v>0.03779446912766118</v>
      </c>
      <c r="M880" s="4">
        <f>1.05+0.05*B880^2</f>
        <v>1.1</v>
      </c>
      <c r="N880" s="4">
        <f>(MIN(H880,Thiet_ke!$B$16)-K880)/(Thiet_ke!$B$2*M880)</f>
        <v>0.20328522012941475</v>
      </c>
      <c r="O880" s="4">
        <f>IF(N880&gt;0,1/N880,"")</f>
        <v>4.919196778611762</v>
      </c>
    </row>
    <row r="881" spans="1:15">
      <c r="A881">
        <v>5</v>
      </c>
      <c r="B881" s="4">
        <f>Thiet_ke!$B$24</f>
        <v>1.0</v>
      </c>
      <c r="C881" s="4">
        <f>Dau_vao!$B$21+(Dau_vao!$B$19-Dau_vao!$B$21)*75/200</f>
        <v>1475.0</v>
      </c>
      <c r="D881" s="4">
        <f>2*PI()*C881*Thiet_ke!$B$7/(60*Thiet_ke!$B$15*B881)</f>
        <v>16.634021842355175</v>
      </c>
      <c r="E881" s="4">
        <f>D881*3.6</f>
        <v>59.88247863247863</v>
      </c>
      <c r="F881" s="4">
        <f>Thiet_ke!$B$12*(Dau_vao!$B$22*(C881/Dau_vao!$B$19)+Dau_vao!$B$23*(C881/Dau_vao!$B$19)^2-Dau_vao!$B$24*(C881/Dau_vao!$B$19)^3)</f>
        <v>68.31502837844995</v>
      </c>
      <c r="G881" s="4">
        <f>60000*F881/(2*PI()*C881)</f>
        <v>442.27828287024073</v>
      </c>
      <c r="H881" s="4">
        <f>G881*Thiet_ke!$B$15*B881*Dau_vao!$B$10/Thiet_ke!$B$7</f>
        <v>3655.1818816303703</v>
      </c>
      <c r="I881" s="4">
        <f>IF(D881&lt;=Dau_vao!$B$14,Dau_vao!$B$13,Dau_vao!$B$13*(1+D881^2/1500))</f>
        <v>0.015</v>
      </c>
      <c r="J881" s="4">
        <f>Thiet_ke!$B$8*D881^2</f>
        <v>809.320246756951</v>
      </c>
      <c r="K881" s="4">
        <f>Thiet_ke!$B$3*I881+J881</f>
        <v>1940.903746756951</v>
      </c>
      <c r="L881" s="4">
        <f>(H881-J881)/Thiet_ke!$B$3</f>
        <v>0.03772406059570618</v>
      </c>
      <c r="M881" s="4">
        <f>1.05+0.05*B881^2</f>
        <v>1.1</v>
      </c>
      <c r="N881" s="4">
        <f>(MIN(H881,Thiet_ke!$B$16)-K881)/(Thiet_ke!$B$2*M881)</f>
        <v>0.2026573040398888</v>
      </c>
      <c r="O881" s="4">
        <f>IF(N881&gt;0,1/N881,"")</f>
        <v>4.934438483417164</v>
      </c>
    </row>
    <row r="882" spans="1:15">
      <c r="A882">
        <v>5</v>
      </c>
      <c r="B882" s="4">
        <f>Thiet_ke!$B$24</f>
        <v>1.0</v>
      </c>
      <c r="C882" s="4">
        <f>Dau_vao!$B$21+(Dau_vao!$B$19-Dau_vao!$B$21)*76/200</f>
        <v>1484.0</v>
      </c>
      <c r="D882" s="4">
        <f>2*PI()*C882*Thiet_ke!$B$7/(60*Thiet_ke!$B$15*B882)</f>
        <v>16.735517568850902</v>
      </c>
      <c r="E882" s="4">
        <f>D882*3.6</f>
        <v>60.24786324786325</v>
      </c>
      <c r="F882" s="4">
        <f>Thiet_ke!$B$12*(Dau_vao!$B$22*(C882/Dau_vao!$B$19)+Dau_vao!$B$23*(C882/Dau_vao!$B$19)^2-Dau_vao!$B$24*(C882/Dau_vao!$B$19)^3)</f>
        <v>68.8155370530092</v>
      </c>
      <c r="G882" s="4">
        <f>60000*F882/(2*PI()*C882)</f>
        <v>442.81669340336504</v>
      </c>
      <c r="H882" s="4">
        <f>G882*Thiet_ke!$B$15*B882*Dau_vao!$B$10/Thiet_ke!$B$7</f>
        <v>3659.631542628381</v>
      </c>
      <c r="I882" s="4">
        <f>IF(D882&lt;=Dau_vao!$B$14,Dau_vao!$B$13,Dau_vao!$B$13*(1+D882^2/1500))</f>
        <v>0.015</v>
      </c>
      <c r="J882" s="4">
        <f>Thiet_ke!$B$8*D882^2</f>
        <v>819.2268287696529</v>
      </c>
      <c r="K882" s="4">
        <f>Thiet_ke!$B$3*I882+J882</f>
        <v>1950.810328769653</v>
      </c>
      <c r="L882" s="4">
        <f>(H882-J882)/Thiet_ke!$B$3</f>
        <v>0.03765172495700133</v>
      </c>
      <c r="M882" s="4">
        <f>1.05+0.05*B882^2</f>
        <v>1.1</v>
      </c>
      <c r="N882" s="4">
        <f>(MIN(H882,Thiet_ke!$B$16)-K882)/(Thiet_ke!$B$2*M882)</f>
        <v>0.2020122016619846</v>
      </c>
      <c r="O882" s="4">
        <f>IF(N882&gt;0,1/N882,"")</f>
        <v>4.950196036540617</v>
      </c>
    </row>
    <row r="883" spans="1:15">
      <c r="A883">
        <v>5</v>
      </c>
      <c r="B883" s="4">
        <f>Thiet_ke!$B$24</f>
        <v>1.0</v>
      </c>
      <c r="C883" s="4">
        <f>Dau_vao!$B$21+(Dau_vao!$B$19-Dau_vao!$B$21)*77/200</f>
        <v>1493.0</v>
      </c>
      <c r="D883" s="4">
        <f>2*PI()*C883*Thiet_ke!$B$7/(60*Thiet_ke!$B$15*B883)</f>
        <v>16.83701329534663</v>
      </c>
      <c r="E883" s="4">
        <f>D883*3.6</f>
        <v>60.61324786324787</v>
      </c>
      <c r="F883" s="4">
        <f>Thiet_ke!$B$12*(Dau_vao!$B$22*(C883/Dau_vao!$B$19)+Dau_vao!$B$23*(C883/Dau_vao!$B$19)^2-Dau_vao!$B$24*(C883/Dau_vao!$B$19)^3)</f>
        <v>69.31545038885447</v>
      </c>
      <c r="G883" s="4">
        <f>60000*F883/(2*PI()*C883)</f>
        <v>443.34480490397436</v>
      </c>
      <c r="H883" s="4">
        <f>G883*Thiet_ke!$B$15*B883*Dau_vao!$B$10/Thiet_ke!$B$7</f>
        <v>3663.996087900603</v>
      </c>
      <c r="I883" s="4">
        <f>IF(D883&lt;=Dau_vao!$B$14,Dau_vao!$B$13,Dau_vao!$B$13*(1+D883^2/1500))</f>
        <v>0.015</v>
      </c>
      <c r="J883" s="4">
        <f>Thiet_ke!$B$8*D883^2</f>
        <v>829.1936738699617</v>
      </c>
      <c r="K883" s="4">
        <f>Thiet_ke!$B$3*I883+J883</f>
        <v>1960.7771738699619</v>
      </c>
      <c r="L883" s="4">
        <f>(H883-J883)/Thiet_ke!$B$3</f>
        <v>0.03757746221154658</v>
      </c>
      <c r="M883" s="4">
        <f>1.05+0.05*B883^2</f>
        <v>1.1</v>
      </c>
      <c r="N883" s="4">
        <f>(MIN(H883,Thiet_ke!$B$16)-K883)/(Thiet_ke!$B$2*M883)</f>
        <v>0.20134991299570176</v>
      </c>
      <c r="O883" s="4">
        <f>IF(N883&gt;0,1/N883,"")</f>
        <v>4.966478431114828</v>
      </c>
    </row>
    <row r="884" spans="1:15">
      <c r="A884">
        <v>5</v>
      </c>
      <c r="B884" s="4">
        <f>Thiet_ke!$B$24</f>
        <v>1.0</v>
      </c>
      <c r="C884" s="4">
        <f>Dau_vao!$B$21+(Dau_vao!$B$19-Dau_vao!$B$21)*78/200</f>
        <v>1502.0</v>
      </c>
      <c r="D884" s="4">
        <f>2*PI()*C884*Thiet_ke!$B$7/(60*Thiet_ke!$B$15*B884)</f>
        <v>16.938509021842354</v>
      </c>
      <c r="E884" s="4">
        <f>D884*3.6</f>
        <v>60.97863247863248</v>
      </c>
      <c r="F884" s="4">
        <f>Thiet_ke!$B$12*(Dau_vao!$B$22*(C884/Dau_vao!$B$19)+Dau_vao!$B$23*(C884/Dau_vao!$B$19)^2-Dau_vao!$B$24*(C884/Dau_vao!$B$19)^3)</f>
        <v>69.81473926615747</v>
      </c>
      <c r="G884" s="4">
        <f>60000*F884/(2*PI()*C884)</f>
        <v>443.86261737206945</v>
      </c>
      <c r="H884" s="4">
        <f>G884*Thiet_ke!$B$15*B884*Dau_vao!$B$10/Thiet_ke!$B$7</f>
        <v>3668.275517447043</v>
      </c>
      <c r="I884" s="4">
        <f>IF(D884&lt;=Dau_vao!$B$14,Dau_vao!$B$13,Dau_vao!$B$13*(1+D884^2/1500))</f>
        <v>0.015</v>
      </c>
      <c r="J884" s="4">
        <f>Thiet_ke!$B$8*D884^2</f>
        <v>839.2207820578768</v>
      </c>
      <c r="K884" s="4">
        <f>Thiet_ke!$B$3*I884+J884</f>
        <v>1970.8042820578771</v>
      </c>
      <c r="L884" s="4">
        <f>(H884-J884)/Thiet_ke!$B$3</f>
        <v>0.03750127235934201</v>
      </c>
      <c r="M884" s="4">
        <f>1.05+0.05*B884^2</f>
        <v>1.1</v>
      </c>
      <c r="N884" s="4">
        <f>(MIN(H884,Thiet_ke!$B$16)-K884)/(Thiet_ke!$B$2*M884)</f>
        <v>0.200670438041041</v>
      </c>
      <c r="O884" s="4">
        <f>IF(N884&gt;0,1/N884,"")</f>
        <v>4.983295047153286</v>
      </c>
    </row>
    <row r="885" spans="1:15">
      <c r="A885">
        <v>5</v>
      </c>
      <c r="B885" s="4">
        <f>Thiet_ke!$B$24</f>
        <v>1.0</v>
      </c>
      <c r="C885" s="4">
        <f>Dau_vao!$B$21+(Dau_vao!$B$19-Dau_vao!$B$21)*79/200</f>
        <v>1511.0</v>
      </c>
      <c r="D885" s="4">
        <f>2*PI()*C885*Thiet_ke!$B$7/(60*Thiet_ke!$B$15*B885)</f>
        <v>17.04000474833808</v>
      </c>
      <c r="E885" s="4">
        <f>D885*3.6</f>
        <v>61.34401709401709</v>
      </c>
      <c r="F885" s="4">
        <f>Thiet_ke!$B$12*(Dau_vao!$B$22*(C885/Dau_vao!$B$19)+Dau_vao!$B$23*(C885/Dau_vao!$B$19)^2-Dau_vao!$B$24*(C885/Dau_vao!$B$19)^3)</f>
        <v>70.31337456508975</v>
      </c>
      <c r="G885" s="4">
        <f>60000*F885/(2*PI()*C885)</f>
        <v>444.3701308076498</v>
      </c>
      <c r="H885" s="4">
        <f>G885*Thiet_ke!$B$15*B885*Dau_vao!$B$10/Thiet_ke!$B$7</f>
        <v>3672.469831267695</v>
      </c>
      <c r="I885" s="4">
        <f>IF(D885&lt;=Dau_vao!$B$14,Dau_vao!$B$13,Dau_vao!$B$13*(1+D885^2/1500))</f>
        <v>0.015</v>
      </c>
      <c r="J885" s="4">
        <f>Thiet_ke!$B$8*D885^2</f>
        <v>849.3081533333993</v>
      </c>
      <c r="K885" s="4">
        <f>Thiet_ke!$B$3*I885+J885</f>
        <v>1980.8916533333995</v>
      </c>
      <c r="L885" s="4">
        <f>(H885-J885)/Thiet_ke!$B$3</f>
        <v>0.037423155400387535</v>
      </c>
      <c r="M885" s="4">
        <f>1.05+0.05*B885^2</f>
        <v>1.1</v>
      </c>
      <c r="N885" s="4">
        <f>(MIN(H885,Thiet_ke!$B$16)-K885)/(Thiet_ke!$B$2*M885)</f>
        <v>0.1999737767980016</v>
      </c>
      <c r="O885" s="4">
        <f>IF(N885&gt;0,1/N885,"")</f>
        <v>5.000655666018273</v>
      </c>
    </row>
    <row r="886" spans="1:15">
      <c r="A886">
        <v>5</v>
      </c>
      <c r="B886" s="4">
        <f>Thiet_ke!$B$24</f>
        <v>1.0</v>
      </c>
      <c r="C886" s="4">
        <f>Dau_vao!$B$21+(Dau_vao!$B$19-Dau_vao!$B$21)*80/200</f>
        <v>1520.0</v>
      </c>
      <c r="D886" s="4">
        <f>2*PI()*C886*Thiet_ke!$B$7/(60*Thiet_ke!$B$15*B886)</f>
        <v>17.14150047483381</v>
      </c>
      <c r="E886" s="4">
        <f>D886*3.6</f>
        <v>61.70940170940171</v>
      </c>
      <c r="F886" s="4">
        <f>Thiet_ke!$B$12*(Dau_vao!$B$22*(C886/Dau_vao!$B$19)+Dau_vao!$B$23*(C886/Dau_vao!$B$19)^2-Dau_vao!$B$24*(C886/Dau_vao!$B$19)^3)</f>
        <v>70.81132716582292</v>
      </c>
      <c r="G886" s="4">
        <f>60000*F886/(2*PI()*C886)</f>
        <v>444.8673452107156</v>
      </c>
      <c r="H886" s="4">
        <f>G886*Thiet_ke!$B$15*B886*Dau_vao!$B$10/Thiet_ke!$B$7</f>
        <v>3676.5790293625623</v>
      </c>
      <c r="I886" s="4">
        <f>IF(D886&lt;=Dau_vao!$B$14,Dau_vao!$B$13,Dau_vao!$B$13*(1+D886^2/1500))</f>
        <v>0.015</v>
      </c>
      <c r="J886" s="4">
        <f>Thiet_ke!$B$8*D886^2</f>
        <v>859.4557876965285</v>
      </c>
      <c r="K886" s="4">
        <f>Thiet_ke!$B$3*I886+J886</f>
        <v>1991.0392876965288</v>
      </c>
      <c r="L886" s="4">
        <f>(H886-J886)/Thiet_ke!$B$3</f>
        <v>0.03734311133468321</v>
      </c>
      <c r="M886" s="4">
        <f>1.05+0.05*B886^2</f>
        <v>1.1</v>
      </c>
      <c r="N886" s="4">
        <f>(MIN(H886,Thiet_ke!$B$16)-K886)/(Thiet_ke!$B$2*M886)</f>
        <v>0.19925992926658392</v>
      </c>
      <c r="O886" s="4">
        <f>IF(N886&gt;0,1/N886,"")</f>
        <v>5.018570485700263</v>
      </c>
    </row>
    <row r="887" spans="1:15">
      <c r="A887">
        <v>5</v>
      </c>
      <c r="B887" s="4">
        <f>Thiet_ke!$B$24</f>
        <v>1.0</v>
      </c>
      <c r="C887" s="4">
        <f>Dau_vao!$B$21+(Dau_vao!$B$19-Dau_vao!$B$21)*81/200</f>
        <v>1529.0</v>
      </c>
      <c r="D887" s="4">
        <f>2*PI()*C887*Thiet_ke!$B$7/(60*Thiet_ke!$B$15*B887)</f>
        <v>17.242996201329536</v>
      </c>
      <c r="E887" s="4">
        <f>D887*3.6</f>
        <v>62.07478632478633</v>
      </c>
      <c r="F887" s="4">
        <f>Thiet_ke!$B$12*(Dau_vao!$B$22*(C887/Dau_vao!$B$19)+Dau_vao!$B$23*(C887/Dau_vao!$B$19)^2-Dau_vao!$B$24*(C887/Dau_vao!$B$19)^3)</f>
        <v>71.30856794852853</v>
      </c>
      <c r="G887" s="4">
        <f>60000*F887/(2*PI()*C887)</f>
        <v>445.35426058126666</v>
      </c>
      <c r="H887" s="4">
        <f>G887*Thiet_ke!$B$15*B887*Dau_vao!$B$10/Thiet_ke!$B$7</f>
        <v>3680.6031117316443</v>
      </c>
      <c r="I887" s="4">
        <f>IF(D887&lt;=Dau_vao!$B$14,Dau_vao!$B$13,Dau_vao!$B$13*(1+D887^2/1500))</f>
        <v>0.015</v>
      </c>
      <c r="J887" s="4">
        <f>Thiet_ke!$B$8*D887^2</f>
        <v>869.6636851472647</v>
      </c>
      <c r="K887" s="4">
        <f>Thiet_ke!$B$3*I887+J887</f>
        <v>2001.2471851472649</v>
      </c>
      <c r="L887" s="4">
        <f>(H887-J887)/Thiet_ke!$B$3</f>
        <v>0.03726114016222902</v>
      </c>
      <c r="M887" s="4">
        <f>1.05+0.05*B887^2</f>
        <v>1.1</v>
      </c>
      <c r="N887" s="4">
        <f>(MIN(H887,Thiet_ke!$B$16)-K887)/(Thiet_ke!$B$2*M887)</f>
        <v>0.19852889544678798</v>
      </c>
      <c r="O887" s="4">
        <f>IF(N887&gt;0,1/N887,"")</f>
        <v>5.037050136956167</v>
      </c>
    </row>
    <row r="888" spans="1:15">
      <c r="A888">
        <v>5</v>
      </c>
      <c r="B888" s="4">
        <f>Thiet_ke!$B$24</f>
        <v>1.0</v>
      </c>
      <c r="C888" s="4">
        <f>Dau_vao!$B$21+(Dau_vao!$B$19-Dau_vao!$B$21)*82/200</f>
        <v>1538.0</v>
      </c>
      <c r="D888" s="4">
        <f>2*PI()*C888*Thiet_ke!$B$7/(60*Thiet_ke!$B$15*B888)</f>
        <v>17.34449192782526</v>
      </c>
      <c r="E888" s="4">
        <f>D888*3.6</f>
        <v>62.44017094017094</v>
      </c>
      <c r="F888" s="4">
        <f>Thiet_ke!$B$12*(Dau_vao!$B$22*(C888/Dau_vao!$B$19)+Dau_vao!$B$23*(C888/Dau_vao!$B$19)^2-Dau_vao!$B$24*(C888/Dau_vao!$B$19)^3)</f>
        <v>71.80506779337827</v>
      </c>
      <c r="G888" s="4">
        <f>60000*F888/(2*PI()*C888)</f>
        <v>445.83087691930325</v>
      </c>
      <c r="H888" s="4">
        <f>G888*Thiet_ke!$B$15*B888*Dau_vao!$B$10/Thiet_ke!$B$7</f>
        <v>3684.542078374941</v>
      </c>
      <c r="I888" s="4">
        <f>IF(D888&lt;=Dau_vao!$B$14,Dau_vao!$B$13,Dau_vao!$B$13*(1+D888^2/1500))</f>
        <v>0.015</v>
      </c>
      <c r="J888" s="4">
        <f>Thiet_ke!$B$8*D888^2</f>
        <v>879.9318456856072</v>
      </c>
      <c r="K888" s="4">
        <f>Thiet_ke!$B$3*I888+J888</f>
        <v>2011.5153456856074</v>
      </c>
      <c r="L888" s="4">
        <f>(H888-J888)/Thiet_ke!$B$3</f>
        <v>0.037177241883024986</v>
      </c>
      <c r="M888" s="4">
        <f>1.05+0.05*B888^2</f>
        <v>1.1</v>
      </c>
      <c r="N888" s="4">
        <f>(MIN(H888,Thiet_ke!$B$16)-K888)/(Thiet_ke!$B$2*M888)</f>
        <v>0.19778067533861374</v>
      </c>
      <c r="O888" s="4">
        <f>IF(N888&gt;0,1/N888,"")</f>
        <v>5.0561057003568886</v>
      </c>
    </row>
    <row r="889" spans="1:15">
      <c r="A889">
        <v>5</v>
      </c>
      <c r="B889" s="4">
        <f>Thiet_ke!$B$24</f>
        <v>1.0</v>
      </c>
      <c r="C889" s="4">
        <f>Dau_vao!$B$21+(Dau_vao!$B$19-Dau_vao!$B$21)*83/200</f>
        <v>1547.0</v>
      </c>
      <c r="D889" s="4">
        <f>2*PI()*C889*Thiet_ke!$B$7/(60*Thiet_ke!$B$15*B889)</f>
        <v>17.445987654320987</v>
      </c>
      <c r="E889" s="4">
        <f>D889*3.6</f>
        <v>62.80555555555556</v>
      </c>
      <c r="F889" s="4">
        <f>Thiet_ke!$B$12*(Dau_vao!$B$22*(C889/Dau_vao!$B$19)+Dau_vao!$B$23*(C889/Dau_vao!$B$19)^2-Dau_vao!$B$24*(C889/Dau_vao!$B$19)^3)</f>
        <v>72.3007975805437</v>
      </c>
      <c r="G889" s="4">
        <f>60000*F889/(2*PI()*C889)</f>
        <v>446.29719422482526</v>
      </c>
      <c r="H889" s="4">
        <f>G889*Thiet_ke!$B$15*B889*Dau_vao!$B$10/Thiet_ke!$B$7</f>
        <v>3688.395929292452</v>
      </c>
      <c r="I889" s="4">
        <f>IF(D889&lt;=Dau_vao!$B$14,Dau_vao!$B$13,Dau_vao!$B$13*(1+D889^2/1500))</f>
        <v>0.015</v>
      </c>
      <c r="J889" s="4">
        <f>Thiet_ke!$B$8*D889^2</f>
        <v>890.260269311557</v>
      </c>
      <c r="K889" s="4">
        <f>Thiet_ke!$B$3*I889+J889</f>
        <v>2021.843769311557</v>
      </c>
      <c r="L889" s="4">
        <f>(H889-J889)/Thiet_ke!$B$3</f>
        <v>0.03709141649707107</v>
      </c>
      <c r="M889" s="4">
        <f>1.05+0.05*B889^2</f>
        <v>1.1</v>
      </c>
      <c r="N889" s="4">
        <f>(MIN(H889,Thiet_ke!$B$16)-K889)/(Thiet_ke!$B$2*M889)</f>
        <v>0.19701526894206112</v>
      </c>
      <c r="O889" s="4">
        <f>IF(N889&gt;0,1/N889,"")</f>
        <v>5.0757487242985375</v>
      </c>
    </row>
    <row r="890" spans="1:15">
      <c r="A890">
        <v>5</v>
      </c>
      <c r="B890" s="4">
        <f>Thiet_ke!$B$24</f>
        <v>1.0</v>
      </c>
      <c r="C890" s="4">
        <f>Dau_vao!$B$21+(Dau_vao!$B$19-Dau_vao!$B$21)*84/200</f>
        <v>1556.0</v>
      </c>
      <c r="D890" s="4">
        <f>2*PI()*C890*Thiet_ke!$B$7/(60*Thiet_ke!$B$15*B890)</f>
        <v>17.547483380816715</v>
      </c>
      <c r="E890" s="4">
        <f>D890*3.6</f>
        <v>63.17094017094018</v>
      </c>
      <c r="F890" s="4">
        <f>Thiet_ke!$B$12*(Dau_vao!$B$22*(C890/Dau_vao!$B$19)+Dau_vao!$B$23*(C890/Dau_vao!$B$19)^2-Dau_vao!$B$24*(C890/Dau_vao!$B$19)^3)</f>
        <v>72.79572819019643</v>
      </c>
      <c r="G890" s="4">
        <f>60000*F890/(2*PI()*C890)</f>
        <v>446.7532124978327</v>
      </c>
      <c r="H890" s="4">
        <f>G890*Thiet_ke!$B$15*B890*Dau_vao!$B$10/Thiet_ke!$B$7</f>
        <v>3692.1646644841776</v>
      </c>
      <c r="I890" s="4">
        <f>IF(D890&lt;=Dau_vao!$B$14,Dau_vao!$B$13,Dau_vao!$B$13*(1+D890^2/1500))</f>
        <v>0.015</v>
      </c>
      <c r="J890" s="4">
        <f>Thiet_ke!$B$8*D890^2</f>
        <v>900.6489560251136</v>
      </c>
      <c r="K890" s="4">
        <f>Thiet_ke!$B$3*I890+J890</f>
        <v>2032.2324560251138</v>
      </c>
      <c r="L890" s="4">
        <f>(H890-J890)/Thiet_ke!$B$3</f>
        <v>0.03700366400436729</v>
      </c>
      <c r="M890" s="4">
        <f>1.05+0.05*B890^2</f>
        <v>1.1</v>
      </c>
      <c r="N890" s="4">
        <f>(MIN(H890,Thiet_ke!$B$16)-K890)/(Thiet_ke!$B$2*M890)</f>
        <v>0.19623267625713012</v>
      </c>
      <c r="O890" s="4">
        <f>IF(N890&gt;0,1/N890,"")</f>
        <v>5.095991244035561</v>
      </c>
    </row>
    <row r="891" spans="1:15">
      <c r="A891">
        <v>5</v>
      </c>
      <c r="B891" s="4">
        <f>Thiet_ke!$B$24</f>
        <v>1.0</v>
      </c>
      <c r="C891" s="4">
        <f>Dau_vao!$B$21+(Dau_vao!$B$19-Dau_vao!$B$21)*85/200</f>
        <v>1565.0</v>
      </c>
      <c r="D891" s="4">
        <f>2*PI()*C891*Thiet_ke!$B$7/(60*Thiet_ke!$B$15*B891)</f>
        <v>17.64897910731244</v>
      </c>
      <c r="E891" s="4">
        <f>D891*3.6</f>
        <v>63.53632478632478</v>
      </c>
      <c r="F891" s="4">
        <f>Thiet_ke!$B$12*(Dau_vao!$B$22*(C891/Dau_vao!$B$19)+Dau_vao!$B$23*(C891/Dau_vao!$B$19)^2-Dau_vao!$B$24*(C891/Dau_vao!$B$19)^3)</f>
        <v>73.28983050250802</v>
      </c>
      <c r="G891" s="4">
        <f>60000*F891/(2*PI()*C891)</f>
        <v>447.1989317383254</v>
      </c>
      <c r="H891" s="4">
        <f>G891*Thiet_ke!$B$15*B891*Dau_vao!$B$10/Thiet_ke!$B$7</f>
        <v>3695.8482839501175</v>
      </c>
      <c r="I891" s="4">
        <f>IF(D891&lt;=Dau_vao!$B$14,Dau_vao!$B$13,Dau_vao!$B$13*(1+D891^2/1500))</f>
        <v>0.015</v>
      </c>
      <c r="J891" s="4">
        <f>Thiet_ke!$B$8*D891^2</f>
        <v>911.0979058262767</v>
      </c>
      <c r="K891" s="4">
        <f>Thiet_ke!$B$3*I891+J891</f>
        <v>2042.681405826277</v>
      </c>
      <c r="L891" s="4">
        <f>(H891-J891)/Thiet_ke!$B$3</f>
        <v>0.036913984404913655</v>
      </c>
      <c r="M891" s="4">
        <f>1.05+0.05*B891^2</f>
        <v>1.1</v>
      </c>
      <c r="N891" s="4">
        <f>(MIN(H891,Thiet_ke!$B$16)-K891)/(Thiet_ke!$B$2*M891)</f>
        <v>0.19543289728382085</v>
      </c>
      <c r="O891" s="4">
        <f>IF(N891&gt;0,1/N891,"")</f>
        <v>5.1168458017983145</v>
      </c>
    </row>
    <row r="892" spans="1:15">
      <c r="A892">
        <v>5</v>
      </c>
      <c r="B892" s="4">
        <f>Thiet_ke!$B$24</f>
        <v>1.0</v>
      </c>
      <c r="C892" s="4">
        <f>Dau_vao!$B$21+(Dau_vao!$B$19-Dau_vao!$B$21)*86/200</f>
        <v>1574.0</v>
      </c>
      <c r="D892" s="4">
        <f>2*PI()*C892*Thiet_ke!$B$7/(60*Thiet_ke!$B$15*B892)</f>
        <v>17.750474833808166</v>
      </c>
      <c r="E892" s="4">
        <f>D892*3.6</f>
        <v>63.9017094017094</v>
      </c>
      <c r="F892" s="4">
        <f>Thiet_ke!$B$12*(Dau_vao!$B$22*(C892/Dau_vao!$B$19)+Dau_vao!$B$23*(C892/Dau_vao!$B$19)^2-Dau_vao!$B$24*(C892/Dau_vao!$B$19)^3)</f>
        <v>73.78307539765014</v>
      </c>
      <c r="G892" s="4">
        <f>60000*F892/(2*PI()*C892)</f>
        <v>447.63435194630364</v>
      </c>
      <c r="H892" s="4">
        <f>G892*Thiet_ke!$B$15*B892*Dau_vao!$B$10/Thiet_ke!$B$7</f>
        <v>3699.446787690272</v>
      </c>
      <c r="I892" s="4">
        <f>IF(D892&lt;=Dau_vao!$B$14,Dau_vao!$B$13,Dau_vao!$B$13*(1+D892^2/1500))</f>
        <v>0.015</v>
      </c>
      <c r="J892" s="4">
        <f>Thiet_ke!$B$8*D892^2</f>
        <v>921.6071187150469</v>
      </c>
      <c r="K892" s="4">
        <f>Thiet_ke!$B$3*I892+J892</f>
        <v>2053.190618715047</v>
      </c>
      <c r="L892" s="4">
        <f>(H892-J892)/Thiet_ke!$B$3</f>
        <v>0.03682237769871014</v>
      </c>
      <c r="M892" s="4">
        <f>1.05+0.05*B892^2</f>
        <v>1.1</v>
      </c>
      <c r="N892" s="4">
        <f>(MIN(H892,Thiet_ke!$B$16)-K892)/(Thiet_ke!$B$2*M892)</f>
        <v>0.1946159320221332</v>
      </c>
      <c r="O892" s="4">
        <f>IF(N892&gt;0,1/N892,"")</f>
        <v>5.138325468062257</v>
      </c>
    </row>
    <row r="893" spans="1:15">
      <c r="A893">
        <v>5</v>
      </c>
      <c r="B893" s="4">
        <f>Thiet_ke!$B$24</f>
        <v>1.0</v>
      </c>
      <c r="C893" s="4">
        <f>Dau_vao!$B$21+(Dau_vao!$B$19-Dau_vao!$B$21)*87/200</f>
        <v>1583.0</v>
      </c>
      <c r="D893" s="4">
        <f>2*PI()*C893*Thiet_ke!$B$7/(60*Thiet_ke!$B$15*B893)</f>
        <v>17.851970560303894</v>
      </c>
      <c r="E893" s="4">
        <f>D893*3.6</f>
        <v>64.26709401709402</v>
      </c>
      <c r="F893" s="4">
        <f>Thiet_ke!$B$12*(Dau_vao!$B$22*(C893/Dau_vao!$B$19)+Dau_vao!$B$23*(C893/Dau_vao!$B$19)^2-Dau_vao!$B$24*(C893/Dau_vao!$B$19)^3)</f>
        <v>74.27543375579434</v>
      </c>
      <c r="G893" s="4">
        <f>60000*F893/(2*PI()*C893)</f>
        <v>448.05947312176716</v>
      </c>
      <c r="H893" s="4">
        <f>G893*Thiet_ke!$B$15*B893*Dau_vao!$B$10/Thiet_ke!$B$7</f>
        <v>3702.9601757046403</v>
      </c>
      <c r="I893" s="4">
        <f>IF(D893&lt;=Dau_vao!$B$14,Dau_vao!$B$13,Dau_vao!$B$13*(1+D893^2/1500))</f>
        <v>0.015</v>
      </c>
      <c r="J893" s="4">
        <f>Thiet_ke!$B$8*D893^2</f>
        <v>932.1765946914242</v>
      </c>
      <c r="K893" s="4">
        <f>Thiet_ke!$B$3*I893+J893</f>
        <v>2063.7600946914245</v>
      </c>
      <c r="L893" s="4">
        <f>(H893-J893)/Thiet_ke!$B$3</f>
        <v>0.036728843885756764</v>
      </c>
      <c r="M893" s="4">
        <f>1.05+0.05*B893^2</f>
        <v>1.1</v>
      </c>
      <c r="N893" s="4">
        <f>(MIN(H893,Thiet_ke!$B$16)-K893)/(Thiet_ke!$B$2*M893)</f>
        <v>0.19378178047206712</v>
      </c>
      <c r="O893" s="4">
        <f>IF(N893&gt;0,1/N893,"")</f>
        <v>5.160443864040903</v>
      </c>
    </row>
    <row r="894" spans="1:15">
      <c r="A894">
        <v>5</v>
      </c>
      <c r="B894" s="4">
        <f>Thiet_ke!$B$24</f>
        <v>1.0</v>
      </c>
      <c r="C894" s="4">
        <f>Dau_vao!$B$21+(Dau_vao!$B$19-Dau_vao!$B$21)*88/200</f>
        <v>1592.0</v>
      </c>
      <c r="D894" s="4">
        <f>2*PI()*C894*Thiet_ke!$B$7/(60*Thiet_ke!$B$15*B894)</f>
        <v>17.95346628679962</v>
      </c>
      <c r="E894" s="4">
        <f>D894*3.6</f>
        <v>64.63247863247864</v>
      </c>
      <c r="F894" s="4">
        <f>Thiet_ke!$B$12*(Dau_vao!$B$22*(C894/Dau_vao!$B$19)+Dau_vao!$B$23*(C894/Dau_vao!$B$19)^2-Dau_vao!$B$24*(C894/Dau_vao!$B$19)^3)</f>
        <v>74.76687645711225</v>
      </c>
      <c r="G894" s="4">
        <f>60000*F894/(2*PI()*C894)</f>
        <v>448.4742952647162</v>
      </c>
      <c r="H894" s="4">
        <f>G894*Thiet_ke!$B$15*B894*Dau_vao!$B$10/Thiet_ke!$B$7</f>
        <v>3706.3884479932235</v>
      </c>
      <c r="I894" s="4">
        <f>IF(D894&lt;=Dau_vao!$B$14,Dau_vao!$B$13,Dau_vao!$B$13*(1+D894^2/1500))</f>
        <v>0.015</v>
      </c>
      <c r="J894" s="4">
        <f>Thiet_ke!$B$8*D894^2</f>
        <v>942.806333755408</v>
      </c>
      <c r="K894" s="4">
        <f>Thiet_ke!$B$3*I894+J894</f>
        <v>2074.3898337554083</v>
      </c>
      <c r="L894" s="4">
        <f>(H894-J894)/Thiet_ke!$B$3</f>
        <v>0.03663338296605352</v>
      </c>
      <c r="M894" s="4">
        <f>1.05+0.05*B894^2</f>
        <v>1.1</v>
      </c>
      <c r="N894" s="4">
        <f>(MIN(H894,Thiet_ke!$B$16)-K894)/(Thiet_ke!$B$2*M894)</f>
        <v>0.1929304426336228</v>
      </c>
      <c r="O894" s="4">
        <f>IF(N894&gt;0,1/N894,"")</f>
        <v>5.1832151854801465</v>
      </c>
    </row>
    <row r="895" spans="1:15">
      <c r="A895">
        <v>5</v>
      </c>
      <c r="B895" s="4">
        <f>Thiet_ke!$B$24</f>
        <v>1.0</v>
      </c>
      <c r="C895" s="4">
        <f>Dau_vao!$B$21+(Dau_vao!$B$19-Dau_vao!$B$21)*89/200</f>
        <v>1601.0</v>
      </c>
      <c r="D895" s="4">
        <f>2*PI()*C895*Thiet_ke!$B$7/(60*Thiet_ke!$B$15*B895)</f>
        <v>18.054962013295345</v>
      </c>
      <c r="E895" s="4">
        <f>D895*3.6</f>
        <v>64.99786324786325</v>
      </c>
      <c r="F895" s="4">
        <f>Thiet_ke!$B$12*(Dau_vao!$B$22*(C895/Dau_vao!$B$19)+Dau_vao!$B$23*(C895/Dau_vao!$B$19)^2-Dau_vao!$B$24*(C895/Dau_vao!$B$19)^3)</f>
        <v>75.25737438177545</v>
      </c>
      <c r="G895" s="4">
        <f>60000*F895/(2*PI()*C895)</f>
        <v>448.8788183751506</v>
      </c>
      <c r="H895" s="4">
        <f>G895*Thiet_ke!$B$15*B895*Dau_vao!$B$10/Thiet_ke!$B$7</f>
        <v>3709.7316045560215</v>
      </c>
      <c r="I895" s="4">
        <f>IF(D895&lt;=Dau_vao!$B$14,Dau_vao!$B$13,Dau_vao!$B$13*(1+D895^2/1500))</f>
        <v>0.015</v>
      </c>
      <c r="J895" s="4">
        <f>Thiet_ke!$B$8*D895^2</f>
        <v>953.4963359069984</v>
      </c>
      <c r="K895" s="4">
        <f>Thiet_ke!$B$3*I895+J895</f>
        <v>2085.0798359069986</v>
      </c>
      <c r="L895" s="4">
        <f>(H895-J895)/Thiet_ke!$B$3</f>
        <v>0.03653599493960043</v>
      </c>
      <c r="M895" s="4">
        <f>1.05+0.05*B895^2</f>
        <v>1.1</v>
      </c>
      <c r="N895" s="4">
        <f>(MIN(H895,Thiet_ke!$B$16)-K895)/(Thiet_ke!$B$2*M895)</f>
        <v>0.1920619185068002</v>
      </c>
      <c r="O895" s="4">
        <f>IF(N895&gt;0,1/N895,"")</f>
        <v>5.206654227837434</v>
      </c>
    </row>
    <row r="896" spans="1:15">
      <c r="A896">
        <v>5</v>
      </c>
      <c r="B896" s="4">
        <f>Thiet_ke!$B$24</f>
        <v>1.0</v>
      </c>
      <c r="C896" s="4">
        <f>Dau_vao!$B$21+(Dau_vao!$B$19-Dau_vao!$B$21)*90/200</f>
        <v>1610.0</v>
      </c>
      <c r="D896" s="4">
        <f>2*PI()*C896*Thiet_ke!$B$7/(60*Thiet_ke!$B$15*B896)</f>
        <v>18.156457739791072</v>
      </c>
      <c r="E896" s="4">
        <f>D896*3.6</f>
        <v>65.36324786324786</v>
      </c>
      <c r="F896" s="4">
        <f>Thiet_ke!$B$12*(Dau_vao!$B$22*(C896/Dau_vao!$B$19)+Dau_vao!$B$23*(C896/Dau_vao!$B$19)^2-Dau_vao!$B$24*(C896/Dau_vao!$B$19)^3)</f>
        <v>75.74689840995556</v>
      </c>
      <c r="G896" s="4">
        <f>60000*F896/(2*PI()*C896)</f>
        <v>449.27304245307045</v>
      </c>
      <c r="H896" s="4">
        <f>G896*Thiet_ke!$B$15*B896*Dau_vao!$B$10/Thiet_ke!$B$7</f>
        <v>3712.9896453930337</v>
      </c>
      <c r="I896" s="4">
        <f>IF(D896&lt;=Dau_vao!$B$14,Dau_vao!$B$13,Dau_vao!$B$13*(1+D896^2/1500))</f>
        <v>0.015</v>
      </c>
      <c r="J896" s="4">
        <f>Thiet_ke!$B$8*D896^2</f>
        <v>964.2466011461961</v>
      </c>
      <c r="K896" s="4">
        <f>Thiet_ke!$B$3*I896+J896</f>
        <v>2095.8301011461963</v>
      </c>
      <c r="L896" s="4">
        <f>(H896-J896)/Thiet_ke!$B$3</f>
        <v>0.03643667980639746</v>
      </c>
      <c r="M896" s="4">
        <f>1.05+0.05*B896^2</f>
        <v>1.1</v>
      </c>
      <c r="N896" s="4">
        <f>(MIN(H896,Thiet_ke!$B$16)-K896)/(Thiet_ke!$B$2*M896)</f>
        <v>0.1911762080915992</v>
      </c>
      <c r="O896" s="4">
        <f>IF(N896&gt;0,1/N896,"")</f>
        <v>5.230776412935573</v>
      </c>
    </row>
    <row r="897" spans="1:15">
      <c r="A897">
        <v>5</v>
      </c>
      <c r="B897" s="4">
        <f>Thiet_ke!$B$24</f>
        <v>1.0</v>
      </c>
      <c r="C897" s="4">
        <f>Dau_vao!$B$21+(Dau_vao!$B$19-Dau_vao!$B$21)*91/200</f>
        <v>1619.0</v>
      </c>
      <c r="D897" s="4">
        <f>2*PI()*C897*Thiet_ke!$B$7/(60*Thiet_ke!$B$15*B897)</f>
        <v>18.2579534662868</v>
      </c>
      <c r="E897" s="4">
        <f>D897*3.6</f>
        <v>65.72863247863248</v>
      </c>
      <c r="F897" s="4">
        <f>Thiet_ke!$B$12*(Dau_vao!$B$22*(C897/Dau_vao!$B$19)+Dau_vao!$B$23*(C897/Dau_vao!$B$19)^2-Dau_vao!$B$24*(C897/Dau_vao!$B$19)^3)</f>
        <v>76.23541942182418</v>
      </c>
      <c r="G897" s="4">
        <f>60000*F897/(2*PI()*C897)</f>
        <v>449.6569674984756</v>
      </c>
      <c r="H897" s="4">
        <f>G897*Thiet_ke!$B$15*B897*Dau_vao!$B$10/Thiet_ke!$B$7</f>
        <v>3716.162570504261</v>
      </c>
      <c r="I897" s="4">
        <f>IF(D897&lt;=Dau_vao!$B$14,Dau_vao!$B$13,Dau_vao!$B$13*(1+D897^2/1500))</f>
        <v>0.015</v>
      </c>
      <c r="J897" s="4">
        <f>Thiet_ke!$B$8*D897^2</f>
        <v>975.0571294730005</v>
      </c>
      <c r="K897" s="4">
        <f>Thiet_ke!$B$3*I897+J897</f>
        <v>2106.6406294730004</v>
      </c>
      <c r="L897" s="4">
        <f>(H897-J897)/Thiet_ke!$B$3</f>
        <v>0.03633543756644464</v>
      </c>
      <c r="M897" s="4">
        <f>1.05+0.05*B897^2</f>
        <v>1.1</v>
      </c>
      <c r="N897" s="4">
        <f>(MIN(H897,Thiet_ke!$B$16)-K897)/(Thiet_ke!$B$2*M897)</f>
        <v>0.19027331138801995</v>
      </c>
      <c r="O897" s="4">
        <f>IF(N897&gt;0,1/N897,"")</f>
        <v>5.255597817187946</v>
      </c>
    </row>
    <row r="898" spans="1:15">
      <c r="A898">
        <v>5</v>
      </c>
      <c r="B898" s="4">
        <f>Thiet_ke!$B$24</f>
        <v>1.0</v>
      </c>
      <c r="C898" s="4">
        <f>Dau_vao!$B$21+(Dau_vao!$B$19-Dau_vao!$B$21)*92/200</f>
        <v>1628.0</v>
      </c>
      <c r="D898" s="4">
        <f>2*PI()*C898*Thiet_ke!$B$7/(60*Thiet_ke!$B$15*B898)</f>
        <v>18.359449192782527</v>
      </c>
      <c r="E898" s="4">
        <f>D898*3.6</f>
        <v>66.0940170940171</v>
      </c>
      <c r="F898" s="4">
        <f>Thiet_ke!$B$12*(Dau_vao!$B$22*(C898/Dau_vao!$B$19)+Dau_vao!$B$23*(C898/Dau_vao!$B$19)^2-Dau_vao!$B$24*(C898/Dau_vao!$B$19)^3)</f>
        <v>76.7229082975529</v>
      </c>
      <c r="G898" s="4">
        <f>60000*F898/(2*PI()*C898)</f>
        <v>450.03059351136625</v>
      </c>
      <c r="H898" s="4">
        <f>G898*Thiet_ke!$B$15*B898*Dau_vao!$B$10/Thiet_ke!$B$7</f>
        <v>3719.250379889702</v>
      </c>
      <c r="I898" s="4">
        <f>IF(D898&lt;=Dau_vao!$B$14,Dau_vao!$B$13,Dau_vao!$B$13*(1+D898^2/1500))</f>
        <v>0.015</v>
      </c>
      <c r="J898" s="4">
        <f>Thiet_ke!$B$8*D898^2</f>
        <v>985.9279208874118</v>
      </c>
      <c r="K898" s="4">
        <f>Thiet_ke!$B$3*I898+J898</f>
        <v>2117.511420887412</v>
      </c>
      <c r="L898" s="4">
        <f>(H898-J898)/Thiet_ke!$B$3</f>
        <v>0.03623226821974193</v>
      </c>
      <c r="M898" s="4">
        <f>1.05+0.05*B898^2</f>
        <v>1.1</v>
      </c>
      <c r="N898" s="4">
        <f>(MIN(H898,Thiet_ke!$B$16)-K898)/(Thiet_ke!$B$2*M898)</f>
        <v>0.18935322839606217</v>
      </c>
      <c r="O898" s="4">
        <f>IF(N898&gt;0,1/N898,"")</f>
        <v>5.281135201499402</v>
      </c>
    </row>
    <row r="899" spans="1:15">
      <c r="A899">
        <v>5</v>
      </c>
      <c r="B899" s="4">
        <f>Thiet_ke!$B$24</f>
        <v>1.0</v>
      </c>
      <c r="C899" s="4">
        <f>Dau_vao!$B$21+(Dau_vao!$B$19-Dau_vao!$B$21)*93/200</f>
        <v>1637.0</v>
      </c>
      <c r="D899" s="4">
        <f>2*PI()*C899*Thiet_ke!$B$7/(60*Thiet_ke!$B$15*B899)</f>
        <v>18.46094491927825</v>
      </c>
      <c r="E899" s="4">
        <f>D899*3.6</f>
        <v>66.4594017094017</v>
      </c>
      <c r="F899" s="4">
        <f>Thiet_ke!$B$12*(Dau_vao!$B$22*(C899/Dau_vao!$B$19)+Dau_vao!$B$23*(C899/Dau_vao!$B$19)^2-Dau_vao!$B$24*(C899/Dau_vao!$B$19)^3)</f>
        <v>77.20933591731331</v>
      </c>
      <c r="G899" s="4">
        <f>60000*F899/(2*PI()*C899)</f>
        <v>450.39392049174216</v>
      </c>
      <c r="H899" s="4">
        <f>G899*Thiet_ke!$B$15*B899*Dau_vao!$B$10/Thiet_ke!$B$7</f>
        <v>3722.2530735493574</v>
      </c>
      <c r="I899" s="4">
        <f>IF(D899&lt;=Dau_vao!$B$14,Dau_vao!$B$13,Dau_vao!$B$13*(1+D899^2/1500))</f>
        <v>0.015</v>
      </c>
      <c r="J899" s="4">
        <f>Thiet_ke!$B$8*D899^2</f>
        <v>996.8589753894297</v>
      </c>
      <c r="K899" s="4">
        <f>Thiet_ke!$B$3*I899+J899</f>
        <v>2128.44247538943</v>
      </c>
      <c r="L899" s="4">
        <f>(H899-J899)/Thiet_ke!$B$3</f>
        <v>0.03612717176628937</v>
      </c>
      <c r="M899" s="4">
        <f>1.05+0.05*B899^2</f>
        <v>1.1</v>
      </c>
      <c r="N899" s="4">
        <f>(MIN(H899,Thiet_ke!$B$16)-K899)/(Thiet_ke!$B$2*M899)</f>
        <v>0.18841595911572614</v>
      </c>
      <c r="O899" s="4">
        <f>IF(N899&gt;0,1/N899,"")</f>
        <v>5.307406042955174</v>
      </c>
    </row>
    <row r="900" spans="1:15">
      <c r="A900">
        <v>5</v>
      </c>
      <c r="B900" s="4">
        <f>Thiet_ke!$B$24</f>
        <v>1.0</v>
      </c>
      <c r="C900" s="4">
        <f>Dau_vao!$B$21+(Dau_vao!$B$19-Dau_vao!$B$21)*94/200</f>
        <v>1646.0</v>
      </c>
      <c r="D900" s="4">
        <f>2*PI()*C900*Thiet_ke!$B$7/(60*Thiet_ke!$B$15*B900)</f>
        <v>18.56244064577398</v>
      </c>
      <c r="E900" s="4">
        <f>D900*3.6</f>
        <v>66.82478632478633</v>
      </c>
      <c r="F900" s="4">
        <f>Thiet_ke!$B$12*(Dau_vao!$B$22*(C900/Dau_vao!$B$19)+Dau_vao!$B$23*(C900/Dau_vao!$B$19)^2-Dau_vao!$B$24*(C900/Dau_vao!$B$19)^3)</f>
        <v>77.69467316127707</v>
      </c>
      <c r="G900" s="4">
        <f>60000*F900/(2*PI()*C900)</f>
        <v>450.7469484396036</v>
      </c>
      <c r="H900" s="4">
        <f>G900*Thiet_ke!$B$15*B900*Dau_vao!$B$10/Thiet_ke!$B$7</f>
        <v>3725.170651483227</v>
      </c>
      <c r="I900" s="4">
        <f>IF(D900&lt;=Dau_vao!$B$14,Dau_vao!$B$13,Dau_vao!$B$13*(1+D900^2/1500))</f>
        <v>0.015</v>
      </c>
      <c r="J900" s="4">
        <f>Thiet_ke!$B$8*D900^2</f>
        <v>1007.8502929790545</v>
      </c>
      <c r="K900" s="4">
        <f>Thiet_ke!$B$3*I900+J900</f>
        <v>2139.4337929790545</v>
      </c>
      <c r="L900" s="4">
        <f>(H900-J900)/Thiet_ke!$B$3</f>
        <v>0.03602014820608695</v>
      </c>
      <c r="M900" s="4">
        <f>1.05+0.05*B900^2</f>
        <v>1.1</v>
      </c>
      <c r="N900" s="4">
        <f>(MIN(H900,Thiet_ke!$B$16)-K900)/(Thiet_ke!$B$2*M900)</f>
        <v>0.1874615035470118</v>
      </c>
      <c r="O900" s="4">
        <f>IF(N900&gt;0,1/N900,"")</f>
        <v>5.3344285684192165</v>
      </c>
    </row>
    <row r="901" spans="1:15">
      <c r="A901">
        <v>5</v>
      </c>
      <c r="B901" s="4">
        <f>Thiet_ke!$B$24</f>
        <v>1.0</v>
      </c>
      <c r="C901" s="4">
        <f>Dau_vao!$B$21+(Dau_vao!$B$19-Dau_vao!$B$21)*95/200</f>
        <v>1655.0</v>
      </c>
      <c r="D901" s="4">
        <f>2*PI()*C901*Thiet_ke!$B$7/(60*Thiet_ke!$B$15*B901)</f>
        <v>18.663936372269706</v>
      </c>
      <c r="E901" s="4">
        <f>D901*3.6</f>
        <v>67.19017094017094</v>
      </c>
      <c r="F901" s="4">
        <f>Thiet_ke!$B$12*(Dau_vao!$B$22*(C901/Dau_vao!$B$19)+Dau_vao!$B$23*(C901/Dau_vao!$B$19)^2-Dau_vao!$B$24*(C901/Dau_vao!$B$19)^3)</f>
        <v>78.17889090961572</v>
      </c>
      <c r="G901" s="4">
        <f>60000*F901/(2*PI()*C901)</f>
        <v>451.0896773549504</v>
      </c>
      <c r="H901" s="4">
        <f>G901*Thiet_ke!$B$15*B901*Dau_vao!$B$10/Thiet_ke!$B$7</f>
        <v>3728.0031136913126</v>
      </c>
      <c r="I901" s="4">
        <f>IF(D901&lt;=Dau_vao!$B$14,Dau_vao!$B$13,Dau_vao!$B$13*(1+D901^2/1500))</f>
        <v>0.015</v>
      </c>
      <c r="J901" s="4">
        <f>Thiet_ke!$B$8*D901^2</f>
        <v>1018.9018736562864</v>
      </c>
      <c r="K901" s="4">
        <f>Thiet_ke!$B$3*I901+J901</f>
        <v>2150.4853736562864</v>
      </c>
      <c r="L901" s="4">
        <f>(H901-J901)/Thiet_ke!$B$3</f>
        <v>0.035911197539134666</v>
      </c>
      <c r="M901" s="4">
        <f>1.05+0.05*B901^2</f>
        <v>1.1</v>
      </c>
      <c r="N901" s="4">
        <f>(MIN(H901,Thiet_ke!$B$16)-K901)/(Thiet_ke!$B$2*M901)</f>
        <v>0.18648986168991916</v>
      </c>
      <c r="O901" s="4">
        <f>IF(N901&gt;0,1/N901,"")</f>
        <v>5.36222179017282</v>
      </c>
    </row>
    <row r="902" spans="1:15">
      <c r="A902">
        <v>5</v>
      </c>
      <c r="B902" s="4">
        <f>Thiet_ke!$B$24</f>
        <v>1.0</v>
      </c>
      <c r="C902" s="4">
        <f>Dau_vao!$B$21+(Dau_vao!$B$19-Dau_vao!$B$21)*96/200</f>
        <v>1664.0</v>
      </c>
      <c r="D902" s="4">
        <f>2*PI()*C902*Thiet_ke!$B$7/(60*Thiet_ke!$B$15*B902)</f>
        <v>18.765432098765434</v>
      </c>
      <c r="E902" s="4">
        <f>D902*3.6</f>
        <v>67.55555555555556</v>
      </c>
      <c r="F902" s="4">
        <f>Thiet_ke!$B$12*(Dau_vao!$B$22*(C902/Dau_vao!$B$19)+Dau_vao!$B$23*(C902/Dau_vao!$B$19)^2-Dau_vao!$B$24*(C902/Dau_vao!$B$19)^3)</f>
        <v>78.66196004250087</v>
      </c>
      <c r="G902" s="4">
        <f>60000*F902/(2*PI()*C902)</f>
        <v>451.4221072377826</v>
      </c>
      <c r="H902" s="4">
        <f>G902*Thiet_ke!$B$15*B902*Dau_vao!$B$10/Thiet_ke!$B$7</f>
        <v>3730.750460173612</v>
      </c>
      <c r="I902" s="4">
        <f>IF(D902&lt;=Dau_vao!$B$14,Dau_vao!$B$13,Dau_vao!$B$13*(1+D902^2/1500))</f>
        <v>0.015</v>
      </c>
      <c r="J902" s="4">
        <f>Thiet_ke!$B$8*D902^2</f>
        <v>1030.0137174211252</v>
      </c>
      <c r="K902" s="4">
        <f>Thiet_ke!$B$3*I902+J902</f>
        <v>2161.5972174211256</v>
      </c>
      <c r="L902" s="4">
        <f>(H902-J902)/Thiet_ke!$B$3</f>
        <v>0.035800319765432506</v>
      </c>
      <c r="M902" s="4">
        <f>1.05+0.05*B902^2</f>
        <v>1.1</v>
      </c>
      <c r="N902" s="4">
        <f>(MIN(H902,Thiet_ke!$B$16)-K902)/(Thiet_ke!$B$2*M902)</f>
        <v>0.18550103354444808</v>
      </c>
      <c r="O902" s="4">
        <f>IF(N902&gt;0,1/N902,"")</f>
        <v>5.390805543735092</v>
      </c>
    </row>
    <row r="903" spans="1:15">
      <c r="A903">
        <v>5</v>
      </c>
      <c r="B903" s="4">
        <f>Thiet_ke!$B$24</f>
        <v>1.0</v>
      </c>
      <c r="C903" s="4">
        <f>Dau_vao!$B$21+(Dau_vao!$B$19-Dau_vao!$B$21)*97/200</f>
        <v>1673.0</v>
      </c>
      <c r="D903" s="4">
        <f>2*PI()*C903*Thiet_ke!$B$7/(60*Thiet_ke!$B$15*B903)</f>
        <v>18.866927825261158</v>
      </c>
      <c r="E903" s="4">
        <f>D903*3.6</f>
        <v>67.92094017094017</v>
      </c>
      <c r="F903" s="4">
        <f>Thiet_ke!$B$12*(Dau_vao!$B$22*(C903/Dau_vao!$B$19)+Dau_vao!$B$23*(C903/Dau_vao!$B$19)^2-Dau_vao!$B$24*(C903/Dau_vao!$B$19)^3)</f>
        <v>79.14385144010419</v>
      </c>
      <c r="G903" s="4">
        <f>60000*F903/(2*PI()*C903)</f>
        <v>451.7442380881005</v>
      </c>
      <c r="H903" s="4">
        <f>G903*Thiet_ke!$B$15*B903*Dau_vao!$B$10/Thiet_ke!$B$7</f>
        <v>3733.4126909301262</v>
      </c>
      <c r="I903" s="4">
        <f>IF(D903&lt;=Dau_vao!$B$14,Dau_vao!$B$13,Dau_vao!$B$13*(1+D903^2/1500))</f>
        <v>0.015</v>
      </c>
      <c r="J903" s="4">
        <f>Thiet_ke!$B$8*D903^2</f>
        <v>1041.1858242735702</v>
      </c>
      <c r="K903" s="4">
        <f>Thiet_ke!$B$3*I903+J903</f>
        <v>2172.7693242735704</v>
      </c>
      <c r="L903" s="4">
        <f>(H903-J903)/Thiet_ke!$B$3</f>
        <v>0.0356875148849805</v>
      </c>
      <c r="M903" s="4">
        <f>1.05+0.05*B903^2</f>
        <v>1.1</v>
      </c>
      <c r="N903" s="4">
        <f>(MIN(H903,Thiet_ke!$B$16)-K903)/(Thiet_ke!$B$2*M903)</f>
        <v>0.18449501911059887</v>
      </c>
      <c r="O903" s="4">
        <f>IF(N903&gt;0,1/N903,"")</f>
        <v>5.420200528018222</v>
      </c>
    </row>
    <row r="904" spans="1:15">
      <c r="A904">
        <v>5</v>
      </c>
      <c r="B904" s="4">
        <f>Thiet_ke!$B$24</f>
        <v>1.0</v>
      </c>
      <c r="C904" s="4">
        <f>Dau_vao!$B$21+(Dau_vao!$B$19-Dau_vao!$B$21)*98/200</f>
        <v>1682.0</v>
      </c>
      <c r="D904" s="4">
        <f>2*PI()*C904*Thiet_ke!$B$7/(60*Thiet_ke!$B$15*B904)</f>
        <v>18.968423551756885</v>
      </c>
      <c r="E904" s="4">
        <f>D904*3.6</f>
        <v>68.28632478632478</v>
      </c>
      <c r="F904" s="4">
        <f>Thiet_ke!$B$12*(Dau_vao!$B$22*(C904/Dau_vao!$B$19)+Dau_vao!$B$23*(C904/Dau_vao!$B$19)^2-Dau_vao!$B$24*(C904/Dau_vao!$B$19)^3)</f>
        <v>79.62453598259717</v>
      </c>
      <c r="G904" s="4">
        <f>60000*F904/(2*PI()*C904)</f>
        <v>452.05606990590337</v>
      </c>
      <c r="H904" s="4">
        <f>G904*Thiet_ke!$B$15*B904*Dau_vao!$B$10/Thiet_ke!$B$7</f>
        <v>3735.9898059608527</v>
      </c>
      <c r="I904" s="4">
        <f>IF(D904&lt;=Dau_vao!$B$14,Dau_vao!$B$13,Dau_vao!$B$13*(1+D904^2/1500))</f>
        <v>0.015</v>
      </c>
      <c r="J904" s="4">
        <f>Thiet_ke!$B$8*D904^2</f>
        <v>1052.4181942136227</v>
      </c>
      <c r="K904" s="4">
        <f>Thiet_ke!$B$3*I904+J904</f>
        <v>2184.0016942136226</v>
      </c>
      <c r="L904" s="4">
        <f>(H904-J904)/Thiet_ke!$B$3</f>
        <v>0.0355727828977786</v>
      </c>
      <c r="M904" s="4">
        <f>1.05+0.05*B904^2</f>
        <v>1.1</v>
      </c>
      <c r="N904" s="4">
        <f>(MIN(H904,Thiet_ke!$B$16)-K904)/(Thiet_ke!$B$2*M904)</f>
        <v>0.18347181838837098</v>
      </c>
      <c r="O904" s="4">
        <f>IF(N904&gt;0,1/N904,"")</f>
        <v>5.450428347983186</v>
      </c>
    </row>
    <row r="905" spans="1:15">
      <c r="A905">
        <v>5</v>
      </c>
      <c r="B905" s="4">
        <f>Thiet_ke!$B$24</f>
        <v>1.0</v>
      </c>
      <c r="C905" s="4">
        <f>Dau_vao!$B$21+(Dau_vao!$B$19-Dau_vao!$B$21)*99/200</f>
        <v>1691.0</v>
      </c>
      <c r="D905" s="4">
        <f>2*PI()*C905*Thiet_ke!$B$7/(60*Thiet_ke!$B$15*B905)</f>
        <v>19.069919278252613</v>
      </c>
      <c r="E905" s="4">
        <f>D905*3.6</f>
        <v>68.65170940170941</v>
      </c>
      <c r="F905" s="4">
        <f>Thiet_ke!$B$12*(Dau_vao!$B$22*(C905/Dau_vao!$B$19)+Dau_vao!$B$23*(C905/Dau_vao!$B$19)^2-Dau_vao!$B$24*(C905/Dau_vao!$B$19)^3)</f>
        <v>80.1039845501515</v>
      </c>
      <c r="G905" s="4">
        <f>60000*F905/(2*PI()*C905)</f>
        <v>452.35760269119186</v>
      </c>
      <c r="H905" s="4">
        <f>G905*Thiet_ke!$B$15*B905*Dau_vao!$B$10/Thiet_ke!$B$7</f>
        <v>3738.481805265796</v>
      </c>
      <c r="I905" s="4">
        <f>IF(D905&lt;=Dau_vao!$B$14,Dau_vao!$B$13,Dau_vao!$B$13*(1+D905^2/1500))</f>
        <v>0.015</v>
      </c>
      <c r="J905" s="4">
        <f>Thiet_ke!$B$8*D905^2</f>
        <v>1063.7108272412818</v>
      </c>
      <c r="K905" s="4">
        <f>Thiet_ke!$B$3*I905+J905</f>
        <v>2195.294327241282</v>
      </c>
      <c r="L905" s="4">
        <f>(H905-J905)/Thiet_ke!$B$3</f>
        <v>0.03545612380382686</v>
      </c>
      <c r="M905" s="4">
        <f>1.05+0.05*B905^2</f>
        <v>1.1</v>
      </c>
      <c r="N905" s="4">
        <f>(MIN(H905,Thiet_ke!$B$16)-K905)/(Thiet_ke!$B$2*M905)</f>
        <v>0.18243143137776496</v>
      </c>
      <c r="O905" s="4">
        <f>IF(N905&gt;0,1/N905,"")</f>
        <v>5.481511559974975</v>
      </c>
    </row>
    <row r="906" spans="1:15">
      <c r="A906">
        <v>5</v>
      </c>
      <c r="B906" s="4">
        <f>Thiet_ke!$B$24</f>
        <v>1.0</v>
      </c>
      <c r="C906" s="4">
        <f>Dau_vao!$B$21+(Dau_vao!$B$19-Dau_vao!$B$21)*100/200</f>
        <v>1700.0</v>
      </c>
      <c r="D906" s="4">
        <f>2*PI()*C906*Thiet_ke!$B$7/(60*Thiet_ke!$B$15*B906)</f>
        <v>19.171415004748336</v>
      </c>
      <c r="E906" s="4">
        <f>D906*3.6</f>
        <v>69.01709401709401</v>
      </c>
      <c r="F906" s="4">
        <f>Thiet_ke!$B$12*(Dau_vao!$B$22*(C906/Dau_vao!$B$19)+Dau_vao!$B$23*(C906/Dau_vao!$B$19)^2-Dau_vao!$B$24*(C906/Dau_vao!$B$19)^3)</f>
        <v>80.58216802293873</v>
      </c>
      <c r="G906" s="4">
        <f>60000*F906/(2*PI()*C906)</f>
        <v>452.64883644396576</v>
      </c>
      <c r="H906" s="4">
        <f>G906*Thiet_ke!$B$15*B906*Dau_vao!$B$10/Thiet_ke!$B$7</f>
        <v>3740.8886888449533</v>
      </c>
      <c r="I906" s="4">
        <f>IF(D906&lt;=Dau_vao!$B$14,Dau_vao!$B$13,Dau_vao!$B$13*(1+D906^2/1500))</f>
        <v>0.015</v>
      </c>
      <c r="J906" s="4">
        <f>Thiet_ke!$B$8*D906^2</f>
        <v>1075.0637233565474</v>
      </c>
      <c r="K906" s="4">
        <f>Thiet_ke!$B$3*I906+J906</f>
        <v>2206.6472233565473</v>
      </c>
      <c r="L906" s="4">
        <f>(H906-J906)/Thiet_ke!$B$3</f>
        <v>0.03533753760312525</v>
      </c>
      <c r="M906" s="4">
        <f>1.05+0.05*B906^2</f>
        <v>1.1</v>
      </c>
      <c r="N906" s="4">
        <f>(MIN(H906,Thiet_ke!$B$16)-K906)/(Thiet_ke!$B$2*M906)</f>
        <v>0.1813738580787807</v>
      </c>
      <c r="O906" s="4">
        <f>IF(N906&gt;0,1/N906,"")</f>
        <v>5.513473719931814</v>
      </c>
    </row>
    <row r="907" spans="1:15">
      <c r="A907">
        <v>5</v>
      </c>
      <c r="B907" s="4">
        <f>Thiet_ke!$B$24</f>
        <v>1.0</v>
      </c>
      <c r="C907" s="4">
        <f>Dau_vao!$B$21+(Dau_vao!$B$19-Dau_vao!$B$21)*101/200</f>
        <v>1709.0</v>
      </c>
      <c r="D907" s="4">
        <f>2*PI()*C907*Thiet_ke!$B$7/(60*Thiet_ke!$B$15*B907)</f>
        <v>19.272910731244064</v>
      </c>
      <c r="E907" s="4">
        <f>D907*3.6</f>
        <v>69.38247863247864</v>
      </c>
      <c r="F907" s="4">
        <f>Thiet_ke!$B$12*(Dau_vao!$B$22*(C907/Dau_vao!$B$19)+Dau_vao!$B$23*(C907/Dau_vao!$B$19)^2-Dau_vao!$B$24*(C907/Dau_vao!$B$19)^3)</f>
        <v>81.05905728113048</v>
      </c>
      <c r="G907" s="4">
        <f>60000*F907/(2*PI()*C907)</f>
        <v>452.929771164225</v>
      </c>
      <c r="H907" s="4">
        <f>G907*Thiet_ke!$B$15*B907*Dau_vao!$B$10/Thiet_ke!$B$7</f>
        <v>3743.2104566983244</v>
      </c>
      <c r="I907" s="4">
        <f>IF(D907&lt;=Dau_vao!$B$14,Dau_vao!$B$13,Dau_vao!$B$13*(1+D907^2/1500))</f>
        <v>0.015</v>
      </c>
      <c r="J907" s="4">
        <f>Thiet_ke!$B$8*D907^2</f>
        <v>1086.4768825594201</v>
      </c>
      <c r="K907" s="4">
        <f>Thiet_ke!$B$3*I907+J907</f>
        <v>2218.0603825594203</v>
      </c>
      <c r="L907" s="4">
        <f>(H907-J907)/Thiet_ke!$B$3</f>
        <v>0.03521702429567377</v>
      </c>
      <c r="M907" s="4">
        <f>1.05+0.05*B907^2</f>
        <v>1.1</v>
      </c>
      <c r="N907" s="4">
        <f>(MIN(H907,Thiet_ke!$B$16)-K907)/(Thiet_ke!$B$2*M907)</f>
        <v>0.1802990984914179</v>
      </c>
      <c r="O907" s="4">
        <f>IF(N907&gt;0,1/N907,"")</f>
        <v>5.546339434678867</v>
      </c>
    </row>
    <row r="908" spans="1:15">
      <c r="A908">
        <v>5</v>
      </c>
      <c r="B908" s="4">
        <f>Thiet_ke!$B$24</f>
        <v>1.0</v>
      </c>
      <c r="C908" s="4">
        <f>Dau_vao!$B$21+(Dau_vao!$B$19-Dau_vao!$B$21)*102/200</f>
        <v>1718.0</v>
      </c>
      <c r="D908" s="4">
        <f>2*PI()*C908*Thiet_ke!$B$7/(60*Thiet_ke!$B$15*B908)</f>
        <v>19.37440645773979</v>
      </c>
      <c r="E908" s="4">
        <f>D908*3.6</f>
        <v>69.74786324786325</v>
      </c>
      <c r="F908" s="4">
        <f>Thiet_ke!$B$12*(Dau_vao!$B$22*(C908/Dau_vao!$B$19)+Dau_vao!$B$23*(C908/Dau_vao!$B$19)^2-Dau_vao!$B$24*(C908/Dau_vao!$B$19)^3)</f>
        <v>81.53462320489838</v>
      </c>
      <c r="G908" s="4">
        <f>60000*F908/(2*PI()*C908)</f>
        <v>453.2004068519697</v>
      </c>
      <c r="H908" s="4">
        <f>G908*Thiet_ke!$B$15*B908*Dau_vao!$B$10/Thiet_ke!$B$7</f>
        <v>3745.447108825911</v>
      </c>
      <c r="I908" s="4">
        <f>IF(D908&lt;=Dau_vao!$B$14,Dau_vao!$B$13,Dau_vao!$B$13*(1+D908^2/1500))</f>
        <v>0.015</v>
      </c>
      <c r="J908" s="4">
        <f>Thiet_ke!$B$8*D908^2</f>
        <v>1097.9503048499</v>
      </c>
      <c r="K908" s="4">
        <f>Thiet_ke!$B$3*I908+J908</f>
        <v>2229.5338048499</v>
      </c>
      <c r="L908" s="4">
        <f>(H908-J908)/Thiet_ke!$B$3</f>
        <v>0.035094583881472435</v>
      </c>
      <c r="M908" s="4">
        <f>1.05+0.05*B908^2</f>
        <v>1.1</v>
      </c>
      <c r="N908" s="4">
        <f>(MIN(H908,Thiet_ke!$B$16)-K908)/(Thiet_ke!$B$2*M908)</f>
        <v>0.1792071526156769</v>
      </c>
      <c r="O908" s="4">
        <f>IF(N908&gt;0,1/N908,"")</f>
        <v>5.580134416535118</v>
      </c>
    </row>
    <row r="909" spans="1:15">
      <c r="A909">
        <v>5</v>
      </c>
      <c r="B909" s="4">
        <f>Thiet_ke!$B$24</f>
        <v>1.0</v>
      </c>
      <c r="C909" s="4">
        <f>Dau_vao!$B$21+(Dau_vao!$B$19-Dau_vao!$B$21)*103/200</f>
        <v>1727.0</v>
      </c>
      <c r="D909" s="4">
        <f>2*PI()*C909*Thiet_ke!$B$7/(60*Thiet_ke!$B$15*B909)</f>
        <v>19.475902184235515</v>
      </c>
      <c r="E909" s="4">
        <f>D909*3.6</f>
        <v>70.11324786324786</v>
      </c>
      <c r="F909" s="4">
        <f>Thiet_ke!$B$12*(Dau_vao!$B$22*(C909/Dau_vao!$B$19)+Dau_vao!$B$23*(C909/Dau_vao!$B$19)^2-Dau_vao!$B$24*(C909/Dau_vao!$B$19)^3)</f>
        <v>82.00883667441398</v>
      </c>
      <c r="G909" s="4">
        <f>60000*F909/(2*PI()*C909)</f>
        <v>453.46074350719965</v>
      </c>
      <c r="H909" s="4">
        <f>G909*Thiet_ke!$B$15*B909*Dau_vao!$B$10/Thiet_ke!$B$7</f>
        <v>3747.5986452277107</v>
      </c>
      <c r="I909" s="4">
        <f>IF(D909&lt;=Dau_vao!$B$14,Dau_vao!$B$13,Dau_vao!$B$13*(1+D909^2/1500))</f>
        <v>0.015</v>
      </c>
      <c r="J909" s="4">
        <f>Thiet_ke!$B$8*D909^2</f>
        <v>1109.483990227986</v>
      </c>
      <c r="K909" s="4">
        <f>Thiet_ke!$B$3*I909+J909</f>
        <v>2241.067490227986</v>
      </c>
      <c r="L909" s="4">
        <f>(H909-J909)/Thiet_ke!$B$3</f>
        <v>0.03497021636052122</v>
      </c>
      <c r="M909" s="4">
        <f>1.05+0.05*B909^2</f>
        <v>1.1</v>
      </c>
      <c r="N909" s="4">
        <f>(MIN(H909,Thiet_ke!$B$16)-K909)/(Thiet_ke!$B$2*M909)</f>
        <v>0.17809802045155745</v>
      </c>
      <c r="O909" s="4">
        <f>IF(N909&gt;0,1/N909,"")</f>
        <v>5.614885541481913</v>
      </c>
    </row>
    <row r="910" spans="1:15">
      <c r="A910">
        <v>5</v>
      </c>
      <c r="B910" s="4">
        <f>Thiet_ke!$B$24</f>
        <v>1.0</v>
      </c>
      <c r="C910" s="4">
        <f>Dau_vao!$B$21+(Dau_vao!$B$19-Dau_vao!$B$21)*104/200</f>
        <v>1736.0</v>
      </c>
      <c r="D910" s="4">
        <f>2*PI()*C910*Thiet_ke!$B$7/(60*Thiet_ke!$B$15*B910)</f>
        <v>19.577397910731243</v>
      </c>
      <c r="E910" s="4">
        <f>D910*3.6</f>
        <v>70.47863247863248</v>
      </c>
      <c r="F910" s="4">
        <f>Thiet_ke!$B$12*(Dau_vao!$B$22*(C910/Dau_vao!$B$19)+Dau_vao!$B$23*(C910/Dau_vao!$B$19)^2-Dau_vao!$B$24*(C910/Dau_vao!$B$19)^3)</f>
        <v>82.4816685698489</v>
      </c>
      <c r="G910" s="4">
        <f>60000*F910/(2*PI()*C910)</f>
        <v>453.71078112991506</v>
      </c>
      <c r="H910" s="4">
        <f>G910*Thiet_ke!$B$15*B910*Dau_vao!$B$10/Thiet_ke!$B$7</f>
        <v>3749.665065903726</v>
      </c>
      <c r="I910" s="4">
        <f>IF(D910&lt;=Dau_vao!$B$14,Dau_vao!$B$13,Dau_vao!$B$13*(1+D910^2/1500))</f>
        <v>0.015</v>
      </c>
      <c r="J910" s="4">
        <f>Thiet_ke!$B$8*D910^2</f>
        <v>1121.0779386936792</v>
      </c>
      <c r="K910" s="4">
        <f>Thiet_ke!$B$3*I910+J910</f>
        <v>2252.6614386936794</v>
      </c>
      <c r="L910" s="4">
        <f>(H910-J910)/Thiet_ke!$B$3</f>
        <v>0.03484392173282015</v>
      </c>
      <c r="M910" s="4">
        <f>1.05+0.05*B910^2</f>
        <v>1.1</v>
      </c>
      <c r="N910" s="4">
        <f>(MIN(H910,Thiet_ke!$B$16)-K910)/(Thiet_ke!$B$2*M910)</f>
        <v>0.17697170199905976</v>
      </c>
      <c r="O910" s="4">
        <f>IF(N910&gt;0,1/N910,"")</f>
        <v>5.650620911163034</v>
      </c>
    </row>
    <row r="911" spans="1:15">
      <c r="A911">
        <v>5</v>
      </c>
      <c r="B911" s="4">
        <f>Thiet_ke!$B$24</f>
        <v>1.0</v>
      </c>
      <c r="C911" s="4">
        <f>Dau_vao!$B$21+(Dau_vao!$B$19-Dau_vao!$B$21)*105/200</f>
        <v>1745.0</v>
      </c>
      <c r="D911" s="4">
        <f>2*PI()*C911*Thiet_ke!$B$7/(60*Thiet_ke!$B$15*B911)</f>
        <v>19.678893637226967</v>
      </c>
      <c r="E911" s="4">
        <f>D911*3.6</f>
        <v>70.84401709401708</v>
      </c>
      <c r="F911" s="4">
        <f>Thiet_ke!$B$12*(Dau_vao!$B$22*(C911/Dau_vao!$B$19)+Dau_vao!$B$23*(C911/Dau_vao!$B$19)^2-Dau_vao!$B$24*(C911/Dau_vao!$B$19)^3)</f>
        <v>82.95308977137479</v>
      </c>
      <c r="G911" s="4">
        <f>60000*F911/(2*PI()*C911)</f>
        <v>453.950519720116</v>
      </c>
      <c r="H911" s="4">
        <f>G911*Thiet_ke!$B$15*B911*Dau_vao!$B$10/Thiet_ke!$B$7</f>
        <v>3751.6463708539563</v>
      </c>
      <c r="I911" s="4">
        <f>IF(D911&lt;=Dau_vao!$B$14,Dau_vao!$B$13,Dau_vao!$B$13*(1+D911^2/1500))</f>
        <v>0.015</v>
      </c>
      <c r="J911" s="4">
        <f>Thiet_ke!$B$8*D911^2</f>
        <v>1132.7321502469792</v>
      </c>
      <c r="K911" s="4">
        <f>Thiet_ke!$B$3*I911+J911</f>
        <v>2264.315650246979</v>
      </c>
      <c r="L911" s="4">
        <f>(H911-J911)/Thiet_ke!$B$3</f>
        <v>0.03471569999836924</v>
      </c>
      <c r="M911" s="4">
        <f>1.05+0.05*B911^2</f>
        <v>1.1</v>
      </c>
      <c r="N911" s="4">
        <f>(MIN(H911,Thiet_ke!$B$16)-K911)/(Thiet_ke!$B$2*M911)</f>
        <v>0.17582819725818385</v>
      </c>
      <c r="O911" s="4">
        <f>IF(N911&gt;0,1/N911,"")</f>
        <v>5.687369919010276</v>
      </c>
    </row>
    <row r="912" spans="1:15">
      <c r="A912">
        <v>5</v>
      </c>
      <c r="B912" s="4">
        <f>Thiet_ke!$B$24</f>
        <v>1.0</v>
      </c>
      <c r="C912" s="4">
        <f>Dau_vao!$B$21+(Dau_vao!$B$19-Dau_vao!$B$21)*106/200</f>
        <v>1754.0</v>
      </c>
      <c r="D912" s="4">
        <f>2*PI()*C912*Thiet_ke!$B$7/(60*Thiet_ke!$B$15*B912)</f>
        <v>19.780389363722694</v>
      </c>
      <c r="E912" s="4">
        <f>D912*3.6</f>
        <v>71.2094017094017</v>
      </c>
      <c r="F912" s="4">
        <f>Thiet_ke!$B$12*(Dau_vao!$B$22*(C912/Dau_vao!$B$19)+Dau_vao!$B$23*(C912/Dau_vao!$B$19)^2-Dau_vao!$B$24*(C912/Dau_vao!$B$19)^3)</f>
        <v>83.42307115916319</v>
      </c>
      <c r="G912" s="4">
        <f>60000*F912/(2*PI()*C912)</f>
        <v>454.17995927780225</v>
      </c>
      <c r="H912" s="4">
        <f>G912*Thiet_ke!$B$15*B912*Dau_vao!$B$10/Thiet_ke!$B$7</f>
        <v>3753.5425600783997</v>
      </c>
      <c r="I912" s="4">
        <f>IF(D912&lt;=Dau_vao!$B$14,Dau_vao!$B$13,Dau_vao!$B$13*(1+D912^2/1500))</f>
        <v>0.015</v>
      </c>
      <c r="J912" s="4">
        <f>Thiet_ke!$B$8*D912^2</f>
        <v>1144.4466248878864</v>
      </c>
      <c r="K912" s="4">
        <f>Thiet_ke!$B$3*I912+J912</f>
        <v>2276.030124887887</v>
      </c>
      <c r="L912" s="4">
        <f>(H912-J912)/Thiet_ke!$B$3</f>
        <v>0.03458555115716842</v>
      </c>
      <c r="M912" s="4">
        <f>1.05+0.05*B912^2</f>
        <v>1.1</v>
      </c>
      <c r="N912" s="4">
        <f>(MIN(H912,Thiet_ke!$B$16)-K912)/(Thiet_ke!$B$2*M912)</f>
        <v>0.1746675062289293</v>
      </c>
      <c r="O912" s="4">
        <f>IF(N912&gt;0,1/N912,"")</f>
        <v>5.725163320814476</v>
      </c>
    </row>
    <row r="913" spans="1:15">
      <c r="A913">
        <v>5</v>
      </c>
      <c r="B913" s="4">
        <f>Thiet_ke!$B$24</f>
        <v>1.0</v>
      </c>
      <c r="C913" s="4">
        <f>Dau_vao!$B$21+(Dau_vao!$B$19-Dau_vao!$B$21)*107/200</f>
        <v>1763.0</v>
      </c>
      <c r="D913" s="4">
        <f>2*PI()*C913*Thiet_ke!$B$7/(60*Thiet_ke!$B$15*B913)</f>
        <v>19.881885090218425</v>
      </c>
      <c r="E913" s="4">
        <f>D913*3.6</f>
        <v>71.57478632478633</v>
      </c>
      <c r="F913" s="4">
        <f>Thiet_ke!$B$12*(Dau_vao!$B$22*(C913/Dau_vao!$B$19)+Dau_vao!$B$23*(C913/Dau_vao!$B$19)^2-Dau_vao!$B$24*(C913/Dau_vao!$B$19)^3)</f>
        <v>83.8915836133857</v>
      </c>
      <c r="G913" s="4">
        <f>60000*F913/(2*PI()*C913)</f>
        <v>454.39909980297386</v>
      </c>
      <c r="H913" s="4">
        <f>G913*Thiet_ke!$B$15*B913*Dau_vao!$B$10/Thiet_ke!$B$7</f>
        <v>3755.3536335770577</v>
      </c>
      <c r="I913" s="4">
        <f>IF(D913&lt;=Dau_vao!$B$14,Dau_vao!$B$13,Dau_vao!$B$13*(1+D913^2/1500))</f>
        <v>0.015</v>
      </c>
      <c r="J913" s="4">
        <f>Thiet_ke!$B$8*D913^2</f>
        <v>1156.2213626164007</v>
      </c>
      <c r="K913" s="4">
        <f>Thiet_ke!$B$3*I913+J913</f>
        <v>2287.804862616401</v>
      </c>
      <c r="L913" s="4">
        <f>(H913-J913)/Thiet_ke!$B$3</f>
        <v>0.034453475209217745</v>
      </c>
      <c r="M913" s="4">
        <f>1.05+0.05*B913^2</f>
        <v>1.1</v>
      </c>
      <c r="N913" s="4">
        <f>(MIN(H913,Thiet_ke!$B$16)-K913)/(Thiet_ke!$B$2*M913)</f>
        <v>0.17348962891129646</v>
      </c>
      <c r="O913" s="4">
        <f>IF(N913&gt;0,1/N913,"")</f>
        <v>5.764033310090773</v>
      </c>
    </row>
    <row r="914" spans="1:15">
      <c r="A914">
        <v>5</v>
      </c>
      <c r="B914" s="4">
        <f>Thiet_ke!$B$24</f>
        <v>1.0</v>
      </c>
      <c r="C914" s="4">
        <f>Dau_vao!$B$21+(Dau_vao!$B$19-Dau_vao!$B$21)*108/200</f>
        <v>1772.0</v>
      </c>
      <c r="D914" s="4">
        <f>2*PI()*C914*Thiet_ke!$B$7/(60*Thiet_ke!$B$15*B914)</f>
        <v>19.983380816714146</v>
      </c>
      <c r="E914" s="4">
        <f>D914*3.6</f>
        <v>71.94017094017093</v>
      </c>
      <c r="F914" s="4">
        <f>Thiet_ke!$B$12*(Dau_vao!$B$22*(C914/Dau_vao!$B$19)+Dau_vao!$B$23*(C914/Dau_vao!$B$19)^2-Dau_vao!$B$24*(C914/Dau_vao!$B$19)^3)</f>
        <v>84.35859801421401</v>
      </c>
      <c r="G914" s="4">
        <f>60000*F914/(2*PI()*C914)</f>
        <v>454.6079412956311</v>
      </c>
      <c r="H914" s="4">
        <f>G914*Thiet_ke!$B$15*B914*Dau_vao!$B$10/Thiet_ke!$B$7</f>
        <v>3757.0795913499314</v>
      </c>
      <c r="I914" s="4">
        <f>IF(D914&lt;=Dau_vao!$B$14,Dau_vao!$B$13,Dau_vao!$B$13*(1+D914^2/1500))</f>
        <v>0.015</v>
      </c>
      <c r="J914" s="4">
        <f>Thiet_ke!$B$8*D914^2</f>
        <v>1168.0563634325204</v>
      </c>
      <c r="K914" s="4">
        <f>Thiet_ke!$B$3*I914+J914</f>
        <v>2299.6398634325205</v>
      </c>
      <c r="L914" s="4">
        <f>(H914-J914)/Thiet_ke!$B$3</f>
        <v>0.03431947215451724</v>
      </c>
      <c r="M914" s="4">
        <f>1.05+0.05*B914^2</f>
        <v>1.1</v>
      </c>
      <c r="N914" s="4">
        <f>(MIN(H914,Thiet_ke!$B$16)-K914)/(Thiet_ke!$B$2*M914)</f>
        <v>0.1722945653052856</v>
      </c>
      <c r="O914" s="4">
        <f>IF(N914&gt;0,1/N914,"")</f>
        <v>5.804013598618843</v>
      </c>
    </row>
    <row r="915" spans="1:15">
      <c r="A915">
        <v>5</v>
      </c>
      <c r="B915" s="4">
        <f>Thiet_ke!$B$24</f>
        <v>1.0</v>
      </c>
      <c r="C915" s="4">
        <f>Dau_vao!$B$21+(Dau_vao!$B$19-Dau_vao!$B$21)*109/200</f>
        <v>1781.0</v>
      </c>
      <c r="D915" s="4">
        <f>2*PI()*C915*Thiet_ke!$B$7/(60*Thiet_ke!$B$15*B915)</f>
        <v>20.084876543209877</v>
      </c>
      <c r="E915" s="4">
        <f>D915*3.6</f>
        <v>72.30555555555556</v>
      </c>
      <c r="F915" s="4">
        <f>Thiet_ke!$B$12*(Dau_vao!$B$22*(C915/Dau_vao!$B$19)+Dau_vao!$B$23*(C915/Dau_vao!$B$19)^2-Dau_vao!$B$24*(C915/Dau_vao!$B$19)^3)</f>
        <v>84.82408524181962</v>
      </c>
      <c r="G915" s="4">
        <f>60000*F915/(2*PI()*C915)</f>
        <v>454.8064837557737</v>
      </c>
      <c r="H915" s="4">
        <f>G915*Thiet_ke!$B$15*B915*Dau_vao!$B$10/Thiet_ke!$B$7</f>
        <v>3758.72043339702</v>
      </c>
      <c r="I915" s="4">
        <f>IF(D915&lt;=Dau_vao!$B$14,Dau_vao!$B$13,Dau_vao!$B$13*(1+D915^2/1500))</f>
        <v>0.015</v>
      </c>
      <c r="J915" s="4">
        <f>Thiet_ke!$B$8*D915^2</f>
        <v>1179.9516273362485</v>
      </c>
      <c r="K915" s="4">
        <f>Thiet_ke!$B$3*I915+J915</f>
        <v>2311.5351273362485</v>
      </c>
      <c r="L915" s="4">
        <f>(H915-J915)/Thiet_ke!$B$3</f>
        <v>0.034183541993066856</v>
      </c>
      <c r="M915" s="4">
        <f>1.05+0.05*B915^2</f>
        <v>1.1</v>
      </c>
      <c r="N915" s="4">
        <f>(MIN(H915,Thiet_ke!$B$16)-K915)/(Thiet_ke!$B$2*M915)</f>
        <v>0.17108231541089625</v>
      </c>
      <c r="O915" s="4">
        <f>IF(N915&gt;0,1/N915,"")</f>
        <v>5.845139502573683</v>
      </c>
    </row>
    <row r="916" spans="1:15">
      <c r="A916">
        <v>5</v>
      </c>
      <c r="B916" s="4">
        <f>Thiet_ke!$B$24</f>
        <v>1.0</v>
      </c>
      <c r="C916" s="4">
        <f>Dau_vao!$B$21+(Dau_vao!$B$19-Dau_vao!$B$21)*110/200</f>
        <v>1790.0</v>
      </c>
      <c r="D916" s="4">
        <f>2*PI()*C916*Thiet_ke!$B$7/(60*Thiet_ke!$B$15*B916)</f>
        <v>20.186372269705604</v>
      </c>
      <c r="E916" s="4">
        <f>D916*3.6</f>
        <v>72.67094017094017</v>
      </c>
      <c r="F916" s="4">
        <f>Thiet_ke!$B$12*(Dau_vao!$B$22*(C916/Dau_vao!$B$19)+Dau_vao!$B$23*(C916/Dau_vao!$B$19)^2-Dau_vao!$B$24*(C916/Dau_vao!$B$19)^3)</f>
        <v>85.28801617637414</v>
      </c>
      <c r="G916" s="4">
        <f>60000*F916/(2*PI()*C916)</f>
        <v>454.99472718340144</v>
      </c>
      <c r="H916" s="4">
        <f>G916*Thiet_ke!$B$15*B916*Dau_vao!$B$10/Thiet_ke!$B$7</f>
        <v>3760.276159718321</v>
      </c>
      <c r="I916" s="4">
        <f>IF(D916&lt;=Dau_vao!$B$14,Dau_vao!$B$13,Dau_vao!$B$13*(1+D916^2/1500))</f>
        <v>0.015</v>
      </c>
      <c r="J916" s="4">
        <f>Thiet_ke!$B$8*D916^2</f>
        <v>1191.907154327583</v>
      </c>
      <c r="K916" s="4">
        <f>Thiet_ke!$B$3*I916+J916</f>
        <v>2323.490654327583</v>
      </c>
      <c r="L916" s="4">
        <f>(H916-J916)/Thiet_ke!$B$3</f>
        <v>0.03404568472486659</v>
      </c>
      <c r="M916" s="4">
        <f>1.05+0.05*B916^2</f>
        <v>1.1</v>
      </c>
      <c r="N916" s="4">
        <f>(MIN(H916,Thiet_ke!$B$16)-K916)/(Thiet_ke!$B$2*M916)</f>
        <v>0.16985287922812842</v>
      </c>
      <c r="O916" s="4">
        <f>IF(N916&gt;0,1/N916,"")</f>
        <v>5.887448034701289</v>
      </c>
    </row>
    <row r="917" spans="1:15">
      <c r="A917">
        <v>5</v>
      </c>
      <c r="B917" s="4">
        <f>Thiet_ke!$B$24</f>
        <v>1.0</v>
      </c>
      <c r="C917" s="4">
        <f>Dau_vao!$B$21+(Dau_vao!$B$19-Dau_vao!$B$21)*111/200</f>
        <v>1799.0</v>
      </c>
      <c r="D917" s="4">
        <f>2*PI()*C917*Thiet_ke!$B$7/(60*Thiet_ke!$B$15*B917)</f>
        <v>20.287867996201328</v>
      </c>
      <c r="E917" s="4">
        <f>D917*3.6</f>
        <v>73.03632478632478</v>
      </c>
      <c r="F917" s="4">
        <f>Thiet_ke!$B$12*(Dau_vao!$B$22*(C917/Dau_vao!$B$19)+Dau_vao!$B$23*(C917/Dau_vao!$B$19)^2-Dau_vao!$B$24*(C917/Dau_vao!$B$19)^3)</f>
        <v>85.75036169804922</v>
      </c>
      <c r="G917" s="4">
        <f>60000*F917/(2*PI()*C917)</f>
        <v>455.17267157851467</v>
      </c>
      <c r="H917" s="4">
        <f>G917*Thiet_ke!$B$15*B917*Dau_vao!$B$10/Thiet_ke!$B$7</f>
        <v>3761.7467703138373</v>
      </c>
      <c r="I917" s="4">
        <f>IF(D917&lt;=Dau_vao!$B$14,Dau_vao!$B$13,Dau_vao!$B$13*(1+D917^2/1500))</f>
        <v>0.015</v>
      </c>
      <c r="J917" s="4">
        <f>Thiet_ke!$B$8*D917^2</f>
        <v>1203.9229444065236</v>
      </c>
      <c r="K917" s="4">
        <f>Thiet_ke!$B$3*I917+J917</f>
        <v>2335.5064444065238</v>
      </c>
      <c r="L917" s="4">
        <f>(H917-J917)/Thiet_ke!$B$3</f>
        <v>0.03390590034991647</v>
      </c>
      <c r="M917" s="4">
        <f>1.05+0.05*B917^2</f>
        <v>1.1</v>
      </c>
      <c r="N917" s="4">
        <f>(MIN(H917,Thiet_ke!$B$16)-K917)/(Thiet_ke!$B$2*M917)</f>
        <v>0.16860625675698232</v>
      </c>
      <c r="O917" s="4">
        <f>IF(N917&gt;0,1/N917,"")</f>
        <v>5.93097800303658</v>
      </c>
    </row>
    <row r="918" spans="1:15">
      <c r="A918">
        <v>5</v>
      </c>
      <c r="B918" s="4">
        <f>Thiet_ke!$B$24</f>
        <v>1.0</v>
      </c>
      <c r="C918" s="4">
        <f>Dau_vao!$B$21+(Dau_vao!$B$19-Dau_vao!$B$21)*112/200</f>
        <v>1808.0</v>
      </c>
      <c r="D918" s="4">
        <f>2*PI()*C918*Thiet_ke!$B$7/(60*Thiet_ke!$B$15*B918)</f>
        <v>20.389363722697055</v>
      </c>
      <c r="E918" s="4">
        <f>D918*3.6</f>
        <v>73.4017094017094</v>
      </c>
      <c r="F918" s="4">
        <f>Thiet_ke!$B$12*(Dau_vao!$B$22*(C918/Dau_vao!$B$19)+Dau_vao!$B$23*(C918/Dau_vao!$B$19)^2-Dau_vao!$B$24*(C918/Dau_vao!$B$19)^3)</f>
        <v>86.21109268701645</v>
      </c>
      <c r="G918" s="4">
        <f>60000*F918/(2*PI()*C918)</f>
        <v>455.34031694111343</v>
      </c>
      <c r="H918" s="4">
        <f>G918*Thiet_ke!$B$15*B918*Dau_vao!$B$10/Thiet_ke!$B$7</f>
        <v>3763.132265183568</v>
      </c>
      <c r="I918" s="4">
        <f>IF(D918&lt;=Dau_vao!$B$14,Dau_vao!$B$13,Dau_vao!$B$13*(1+D918^2/1500))</f>
        <v>0.015</v>
      </c>
      <c r="J918" s="4">
        <f>Thiet_ke!$B$8*D918^2</f>
        <v>1215.9989975730718</v>
      </c>
      <c r="K918" s="4">
        <f>Thiet_ke!$B$3*I918+J918</f>
        <v>2347.582497573072</v>
      </c>
      <c r="L918" s="4">
        <f>(H918-J918)/Thiet_ke!$B$3</f>
        <v>0.03376418886821648</v>
      </c>
      <c r="M918" s="4">
        <f>1.05+0.05*B918^2</f>
        <v>1.1</v>
      </c>
      <c r="N918" s="4">
        <f>(MIN(H918,Thiet_ke!$B$16)-K918)/(Thiet_ke!$B$2*M918)</f>
        <v>0.16734244799745787</v>
      </c>
      <c r="O918" s="4">
        <f>IF(N918&gt;0,1/N918,"")</f>
        <v>5.975770116708172</v>
      </c>
    </row>
    <row r="919" spans="1:15">
      <c r="A919">
        <v>5</v>
      </c>
      <c r="B919" s="4">
        <f>Thiet_ke!$B$24</f>
        <v>1.0</v>
      </c>
      <c r="C919" s="4">
        <f>Dau_vao!$B$21+(Dau_vao!$B$19-Dau_vao!$B$21)*113/200</f>
        <v>1817.0</v>
      </c>
      <c r="D919" s="4">
        <f>2*PI()*C919*Thiet_ke!$B$7/(60*Thiet_ke!$B$15*B919)</f>
        <v>20.490859449192783</v>
      </c>
      <c r="E919" s="4">
        <f>D919*3.6</f>
        <v>73.76709401709402</v>
      </c>
      <c r="F919" s="4">
        <f>Thiet_ke!$B$12*(Dau_vao!$B$22*(C919/Dau_vao!$B$19)+Dau_vao!$B$23*(C919/Dau_vao!$B$19)^2-Dau_vao!$B$24*(C919/Dau_vao!$B$19)^3)</f>
        <v>86.67018002344741</v>
      </c>
      <c r="G919" s="4">
        <f>60000*F919/(2*PI()*C919)</f>
        <v>455.49766327119755</v>
      </c>
      <c r="H919" s="4">
        <f>G919*Thiet_ke!$B$15*B919*Dau_vao!$B$10/Thiet_ke!$B$7</f>
        <v>3764.4326443275136</v>
      </c>
      <c r="I919" s="4">
        <f>IF(D919&lt;=Dau_vao!$B$14,Dau_vao!$B$13,Dau_vao!$B$13*(1+D919^2/1500))</f>
        <v>0.015</v>
      </c>
      <c r="J919" s="4">
        <f>Thiet_ke!$B$8*D919^2</f>
        <v>1228.1353138272266</v>
      </c>
      <c r="K919" s="4">
        <f>Thiet_ke!$B$3*I919+J919</f>
        <v>2359.7188138272268</v>
      </c>
      <c r="L919" s="4">
        <f>(H919-J919)/Thiet_ke!$B$3</f>
        <v>0.033620550279766626</v>
      </c>
      <c r="M919" s="4">
        <f>1.05+0.05*B919^2</f>
        <v>1.1</v>
      </c>
      <c r="N919" s="4">
        <f>(MIN(H919,Thiet_ke!$B$16)-K919)/(Thiet_ke!$B$2*M919)</f>
        <v>0.16606145294955513</v>
      </c>
      <c r="O919" s="4">
        <f>IF(N919&gt;0,1/N919,"")</f>
        <v>6.021867099427176</v>
      </c>
    </row>
    <row r="920" spans="1:15">
      <c r="A920">
        <v>5</v>
      </c>
      <c r="B920" s="4">
        <f>Thiet_ke!$B$24</f>
        <v>1.0</v>
      </c>
      <c r="C920" s="4">
        <f>Dau_vao!$B$21+(Dau_vao!$B$19-Dau_vao!$B$21)*114/200</f>
        <v>1826.0</v>
      </c>
      <c r="D920" s="4">
        <f>2*PI()*C920*Thiet_ke!$B$7/(60*Thiet_ke!$B$15*B920)</f>
        <v>20.59235517568851</v>
      </c>
      <c r="E920" s="4">
        <f>D920*3.6</f>
        <v>74.13247863247864</v>
      </c>
      <c r="F920" s="4">
        <f>Thiet_ke!$B$12*(Dau_vao!$B$22*(C920/Dau_vao!$B$19)+Dau_vao!$B$23*(C920/Dau_vao!$B$19)^2-Dau_vao!$B$24*(C920/Dau_vao!$B$19)^3)</f>
        <v>87.12759458751373</v>
      </c>
      <c r="G920" s="4">
        <f>60000*F920/(2*PI()*C920)</f>
        <v>455.64471056876704</v>
      </c>
      <c r="H920" s="4">
        <f>G920*Thiet_ke!$B$15*B920*Dau_vao!$B$10/Thiet_ke!$B$7</f>
        <v>3765.6479077456734</v>
      </c>
      <c r="I920" s="4">
        <f>IF(D920&lt;=Dau_vao!$B$14,Dau_vao!$B$13,Dau_vao!$B$13*(1+D920^2/1500))</f>
        <v>0.015</v>
      </c>
      <c r="J920" s="4">
        <f>Thiet_ke!$B$8*D920^2</f>
        <v>1240.3318931689885</v>
      </c>
      <c r="K920" s="4">
        <f>Thiet_ke!$B$3*I920+J920</f>
        <v>2371.915393168989</v>
      </c>
      <c r="L920" s="4">
        <f>(H920-J920)/Thiet_ke!$B$3</f>
        <v>0.033474984584566915</v>
      </c>
      <c r="M920" s="4">
        <f>1.05+0.05*B920^2</f>
        <v>1.1</v>
      </c>
      <c r="N920" s="4">
        <f>(MIN(H920,Thiet_ke!$B$16)-K920)/(Thiet_ke!$B$2*M920)</f>
        <v>0.16476327161327398</v>
      </c>
      <c r="O920" s="4">
        <f>IF(N920&gt;0,1/N920,"")</f>
        <v>6.069313811315677</v>
      </c>
    </row>
    <row r="921" spans="1:15">
      <c r="A921">
        <v>5</v>
      </c>
      <c r="B921" s="4">
        <f>Thiet_ke!$B$24</f>
        <v>1.0</v>
      </c>
      <c r="C921" s="4">
        <f>Dau_vao!$B$21+(Dau_vao!$B$19-Dau_vao!$B$21)*115/200</f>
        <v>1835.0</v>
      </c>
      <c r="D921" s="4">
        <f>2*PI()*C921*Thiet_ke!$B$7/(60*Thiet_ke!$B$15*B921)</f>
        <v>20.693850902184234</v>
      </c>
      <c r="E921" s="4">
        <f>D921*3.6</f>
        <v>74.49786324786325</v>
      </c>
      <c r="F921" s="4">
        <f>Thiet_ke!$B$12*(Dau_vao!$B$22*(C921/Dau_vao!$B$19)+Dau_vao!$B$23*(C921/Dau_vao!$B$19)^2-Dau_vao!$B$24*(C921/Dau_vao!$B$19)^3)</f>
        <v>87.58330725938698</v>
      </c>
      <c r="G921" s="4">
        <f>60000*F921/(2*PI()*C921)</f>
        <v>455.7814588338219</v>
      </c>
      <c r="H921" s="4">
        <f>G921*Thiet_ke!$B$15*B921*Dau_vao!$B$10/Thiet_ke!$B$7</f>
        <v>3766.778055438047</v>
      </c>
      <c r="I921" s="4">
        <f>IF(D921&lt;=Dau_vao!$B$14,Dau_vao!$B$13,Dau_vao!$B$13*(1+D921^2/1500))</f>
        <v>0.015</v>
      </c>
      <c r="J921" s="4">
        <f>Thiet_ke!$B$8*D921^2</f>
        <v>1252.5887355983566</v>
      </c>
      <c r="K921" s="4">
        <f>Thiet_ke!$B$3*I921+J921</f>
        <v>2384.1722355983566</v>
      </c>
      <c r="L921" s="4">
        <f>(H921-J921)/Thiet_ke!$B$3</f>
        <v>0.03332749178261732</v>
      </c>
      <c r="M921" s="4">
        <f>1.05+0.05*B921^2</f>
        <v>1.1</v>
      </c>
      <c r="N921" s="4">
        <f>(MIN(H921,Thiet_ke!$B$16)-K921)/(Thiet_ke!$B$2*M921)</f>
        <v>0.16344790398861453</v>
      </c>
      <c r="O921" s="4">
        <f>IF(N921&gt;0,1/N921,"")</f>
        <v>6.118157379795204</v>
      </c>
    </row>
    <row r="922" spans="1:15">
      <c r="A922">
        <v>5</v>
      </c>
      <c r="B922" s="4">
        <f>Thiet_ke!$B$24</f>
        <v>1.0</v>
      </c>
      <c r="C922" s="4">
        <f>Dau_vao!$B$21+(Dau_vao!$B$19-Dau_vao!$B$21)*116/200</f>
        <v>1844.0</v>
      </c>
      <c r="D922" s="4">
        <f>2*PI()*C922*Thiet_ke!$B$7/(60*Thiet_ke!$B$15*B922)</f>
        <v>20.795346628679958</v>
      </c>
      <c r="E922" s="4">
        <f>D922*3.6</f>
        <v>74.86324786324785</v>
      </c>
      <c r="F922" s="4">
        <f>Thiet_ke!$B$12*(Dau_vao!$B$22*(C922/Dau_vao!$B$19)+Dau_vao!$B$23*(C922/Dau_vao!$B$19)^2-Dau_vao!$B$24*(C922/Dau_vao!$B$19)^3)</f>
        <v>88.03728891923879</v>
      </c>
      <c r="G922" s="4">
        <f>60000*F922/(2*PI()*C922)</f>
        <v>455.90790806636215</v>
      </c>
      <c r="H922" s="4">
        <f>G922*Thiet_ke!$B$15*B922*Dau_vao!$B$10/Thiet_ke!$B$7</f>
        <v>3767.8230874046358</v>
      </c>
      <c r="I922" s="4">
        <f>IF(D922&lt;=Dau_vao!$B$14,Dau_vao!$B$13,Dau_vao!$B$13*(1+D922^2/1500))</f>
        <v>0.015</v>
      </c>
      <c r="J922" s="4">
        <f>Thiet_ke!$B$8*D922^2</f>
        <v>1264.9058411153314</v>
      </c>
      <c r="K922" s="4">
        <f>Thiet_ke!$B$3*I922+J922</f>
        <v>2396.4893411153316</v>
      </c>
      <c r="L922" s="4">
        <f>(H922-J922)/Thiet_ke!$B$3</f>
        <v>0.033178071873917886</v>
      </c>
      <c r="M922" s="4">
        <f>1.05+0.05*B922^2</f>
        <v>1.1</v>
      </c>
      <c r="N922" s="4">
        <f>(MIN(H922,Thiet_ke!$B$16)-K922)/(Thiet_ke!$B$2*M922)</f>
        <v>0.1621153500755768</v>
      </c>
      <c r="O922" s="4">
        <f>IF(N922&gt;0,1/N922,"")</f>
        <v>6.168447340327789</v>
      </c>
    </row>
    <row r="923" spans="1:15">
      <c r="A923">
        <v>5</v>
      </c>
      <c r="B923" s="4">
        <f>Thiet_ke!$B$24</f>
        <v>1.0</v>
      </c>
      <c r="C923" s="4">
        <f>Dau_vao!$B$21+(Dau_vao!$B$19-Dau_vao!$B$21)*117/200</f>
        <v>1853.0</v>
      </c>
      <c r="D923" s="4">
        <f>2*PI()*C923*Thiet_ke!$B$7/(60*Thiet_ke!$B$15*B923)</f>
        <v>20.896842355175686</v>
      </c>
      <c r="E923" s="4">
        <f>D923*3.6</f>
        <v>75.22863247863248</v>
      </c>
      <c r="F923" s="4">
        <f>Thiet_ke!$B$12*(Dau_vao!$B$22*(C923/Dau_vao!$B$19)+Dau_vao!$B$23*(C923/Dau_vao!$B$19)^2-Dau_vao!$B$24*(C923/Dau_vao!$B$19)^3)</f>
        <v>88.48951044724076</v>
      </c>
      <c r="G923" s="4">
        <f>60000*F923/(2*PI()*C923)</f>
        <v>456.024058266388</v>
      </c>
      <c r="H923" s="4">
        <f>G923*Thiet_ke!$B$15*B923*Dau_vao!$B$10/Thiet_ke!$B$7</f>
        <v>3768.7830036454393</v>
      </c>
      <c r="I923" s="4">
        <f>IF(D923&lt;=Dau_vao!$B$14,Dau_vao!$B$13,Dau_vao!$B$13*(1+D923^2/1500))</f>
        <v>0.015</v>
      </c>
      <c r="J923" s="4">
        <f>Thiet_ke!$B$8*D923^2</f>
        <v>1277.2832097199137</v>
      </c>
      <c r="K923" s="4">
        <f>Thiet_ke!$B$3*I923+J923</f>
        <v>2408.866709719914</v>
      </c>
      <c r="L923" s="4">
        <f>(H923-J923)/Thiet_ke!$B$3</f>
        <v>0.033026724858468574</v>
      </c>
      <c r="M923" s="4">
        <f>1.05+0.05*B923^2</f>
        <v>1.1</v>
      </c>
      <c r="N923" s="4">
        <f>(MIN(H923,Thiet_ke!$B$16)-K923)/(Thiet_ke!$B$2*M923)</f>
        <v>0.1607656098741607</v>
      </c>
      <c r="O923" s="4">
        <f>IF(N923&gt;0,1/N923,"")</f>
        <v>6.220235787882435</v>
      </c>
    </row>
    <row r="924" spans="1:15">
      <c r="A924">
        <v>5</v>
      </c>
      <c r="B924" s="4">
        <f>Thiet_ke!$B$24</f>
        <v>1.0</v>
      </c>
      <c r="C924" s="4">
        <f>Dau_vao!$B$21+(Dau_vao!$B$19-Dau_vao!$B$21)*118/200</f>
        <v>1862.0</v>
      </c>
      <c r="D924" s="4">
        <f>2*PI()*C924*Thiet_ke!$B$7/(60*Thiet_ke!$B$15*B924)</f>
        <v>20.998338081671413</v>
      </c>
      <c r="E924" s="4">
        <f>D924*3.6</f>
        <v>75.59401709401709</v>
      </c>
      <c r="F924" s="4">
        <f>Thiet_ke!$B$12*(Dau_vao!$B$22*(C924/Dau_vao!$B$19)+Dau_vao!$B$23*(C924/Dau_vao!$B$19)^2-Dau_vao!$B$24*(C924/Dau_vao!$B$19)^3)</f>
        <v>88.93994272356449</v>
      </c>
      <c r="G924" s="4">
        <f>60000*F924/(2*PI()*C924)</f>
        <v>456.1299094338991</v>
      </c>
      <c r="H924" s="4">
        <f>G924*Thiet_ke!$B$15*B924*Dau_vao!$B$10/Thiet_ke!$B$7</f>
        <v>3769.6578041604575</v>
      </c>
      <c r="I924" s="4">
        <f>IF(D924&lt;=Dau_vao!$B$14,Dau_vao!$B$13,Dau_vao!$B$13*(1+D924^2/1500))</f>
        <v>0.015</v>
      </c>
      <c r="J924" s="4">
        <f>Thiet_ke!$B$8*D924^2</f>
        <v>1289.7208414121028</v>
      </c>
      <c r="K924" s="4">
        <f>Thiet_ke!$B$3*I924+J924</f>
        <v>2421.304341412103</v>
      </c>
      <c r="L924" s="4">
        <f>(H924-J924)/Thiet_ke!$B$3</f>
        <v>0.03287345073626941</v>
      </c>
      <c r="M924" s="4">
        <f>1.05+0.05*B924^2</f>
        <v>1.1</v>
      </c>
      <c r="N924" s="4">
        <f>(MIN(H924,Thiet_ke!$B$16)-K924)/(Thiet_ke!$B$2*M924)</f>
        <v>0.1593986833843663</v>
      </c>
      <c r="O924" s="4">
        <f>IF(N924&gt;0,1/N924,"")</f>
        <v>6.273577540089514</v>
      </c>
    </row>
    <row r="925" spans="1:15">
      <c r="A925">
        <v>5</v>
      </c>
      <c r="B925" s="4">
        <f>Thiet_ke!$B$24</f>
        <v>1.0</v>
      </c>
      <c r="C925" s="4">
        <f>Dau_vao!$B$21+(Dau_vao!$B$19-Dau_vao!$B$21)*119/200</f>
        <v>1871.0</v>
      </c>
      <c r="D925" s="4">
        <f>2*PI()*C925*Thiet_ke!$B$7/(60*Thiet_ke!$B$15*B925)</f>
        <v>21.099833808167137</v>
      </c>
      <c r="E925" s="4">
        <f>D925*3.6</f>
        <v>75.95940170940169</v>
      </c>
      <c r="F925" s="4">
        <f>Thiet_ke!$B$12*(Dau_vao!$B$22*(C925/Dau_vao!$B$19)+Dau_vao!$B$23*(C925/Dau_vao!$B$19)^2-Dau_vao!$B$24*(C925/Dau_vao!$B$19)^3)</f>
        <v>89.38855662838155</v>
      </c>
      <c r="G925" s="4">
        <f>60000*F925/(2*PI()*C925)</f>
        <v>456.2254615688957</v>
      </c>
      <c r="H925" s="4">
        <f>G925*Thiet_ke!$B$15*B925*Dau_vao!$B$10/Thiet_ke!$B$7</f>
        <v>3770.447488949689</v>
      </c>
      <c r="I925" s="4">
        <f>IF(D925&lt;=Dau_vao!$B$14,Dau_vao!$B$13,Dau_vao!$B$13*(1+D925^2/1500))</f>
        <v>0.015</v>
      </c>
      <c r="J925" s="4">
        <f>Thiet_ke!$B$8*D925^2</f>
        <v>1302.2187361918984</v>
      </c>
      <c r="K925" s="4">
        <f>Thiet_ke!$B$3*I925+J925</f>
        <v>2433.8022361918984</v>
      </c>
      <c r="L925" s="4">
        <f>(H925-J925)/Thiet_ke!$B$3</f>
        <v>0.03271824950732037</v>
      </c>
      <c r="M925" s="4">
        <f>1.05+0.05*B925^2</f>
        <v>1.1</v>
      </c>
      <c r="N925" s="4">
        <f>(MIN(H925,Thiet_ke!$B$16)-K925)/(Thiet_ke!$B$2*M925)</f>
        <v>0.1580145706061935</v>
      </c>
      <c r="O925" s="4">
        <f>IF(N925&gt;0,1/N925,"")</f>
        <v>6.328530313145718</v>
      </c>
    </row>
    <row r="926" spans="1:15">
      <c r="A926">
        <v>5</v>
      </c>
      <c r="B926" s="4">
        <f>Thiet_ke!$B$24</f>
        <v>1.0</v>
      </c>
      <c r="C926" s="4">
        <f>Dau_vao!$B$21+(Dau_vao!$B$19-Dau_vao!$B$21)*120/200</f>
        <v>1880.0</v>
      </c>
      <c r="D926" s="4">
        <f>2*PI()*C926*Thiet_ke!$B$7/(60*Thiet_ke!$B$15*B926)</f>
        <v>21.201329534662865</v>
      </c>
      <c r="E926" s="4">
        <f>D926*3.6</f>
        <v>76.32478632478632</v>
      </c>
      <c r="F926" s="4">
        <f>Thiet_ke!$B$12*(Dau_vao!$B$22*(C926/Dau_vao!$B$19)+Dau_vao!$B$23*(C926/Dau_vao!$B$19)^2-Dau_vao!$B$24*(C926/Dau_vao!$B$19)^3)</f>
        <v>89.83532304186356</v>
      </c>
      <c r="G926" s="4">
        <f>60000*F926/(2*PI()*C926)</f>
        <v>456.3107146713776</v>
      </c>
      <c r="H926" s="4">
        <f>G926*Thiet_ke!$B$15*B926*Dau_vao!$B$10/Thiet_ke!$B$7</f>
        <v>3771.152058013137</v>
      </c>
      <c r="I926" s="4">
        <f>IF(D926&lt;=Dau_vao!$B$14,Dau_vao!$B$13,Dau_vao!$B$13*(1+D926^2/1500))</f>
        <v>0.015</v>
      </c>
      <c r="J926" s="4">
        <f>Thiet_ke!$B$8*D926^2</f>
        <v>1314.7768940593012</v>
      </c>
      <c r="K926" s="4">
        <f>Thiet_ke!$B$3*I926+J926</f>
        <v>2446.360394059301</v>
      </c>
      <c r="L926" s="4">
        <f>(H926-J926)/Thiet_ke!$B$3</f>
        <v>0.03256112117162148</v>
      </c>
      <c r="M926" s="4">
        <f>1.05+0.05*B926^2</f>
        <v>1.1</v>
      </c>
      <c r="N926" s="4">
        <f>(MIN(H926,Thiet_ke!$B$16)-K926)/(Thiet_ke!$B$2*M926)</f>
        <v>0.15661327153964247</v>
      </c>
      <c r="O926" s="4">
        <f>IF(N926&gt;0,1/N926,"")</f>
        <v>6.385154911644105</v>
      </c>
    </row>
    <row r="927" spans="1:15">
      <c r="A927">
        <v>5</v>
      </c>
      <c r="B927" s="4">
        <f>Thiet_ke!$B$24</f>
        <v>1.0</v>
      </c>
      <c r="C927" s="4">
        <f>Dau_vao!$B$21+(Dau_vao!$B$19-Dau_vao!$B$21)*121/200</f>
        <v>1889.0</v>
      </c>
      <c r="D927" s="4">
        <f>2*PI()*C927*Thiet_ke!$B$7/(60*Thiet_ke!$B$15*B927)</f>
        <v>21.302825261158596</v>
      </c>
      <c r="E927" s="4">
        <f>D927*3.6</f>
        <v>76.69017094017094</v>
      </c>
      <c r="F927" s="4">
        <f>Thiet_ke!$B$12*(Dau_vao!$B$22*(C927/Dau_vao!$B$19)+Dau_vao!$B$23*(C927/Dau_vao!$B$19)^2-Dau_vao!$B$24*(C927/Dau_vao!$B$19)^3)</f>
        <v>90.28021284418215</v>
      </c>
      <c r="G927" s="4">
        <f>60000*F927/(2*PI()*C927)</f>
        <v>456.38566874134494</v>
      </c>
      <c r="H927" s="4">
        <f>G927*Thiet_ke!$B$15*B927*Dau_vao!$B$10/Thiet_ke!$B$7</f>
        <v>3771.7715113507984</v>
      </c>
      <c r="I927" s="4">
        <f>IF(D927&lt;=Dau_vao!$B$14,Dau_vao!$B$13,Dau_vao!$B$13*(1+D927^2/1500))</f>
        <v>0.015</v>
      </c>
      <c r="J927" s="4">
        <f>Thiet_ke!$B$8*D927^2</f>
        <v>1327.3953150143113</v>
      </c>
      <c r="K927" s="4">
        <f>Thiet_ke!$B$3*I927+J927</f>
        <v>2458.9788150143113</v>
      </c>
      <c r="L927" s="4">
        <f>(H927-J927)/Thiet_ke!$B$3</f>
        <v>0.0324020657291727</v>
      </c>
      <c r="M927" s="4">
        <f>1.05+0.05*B927^2</f>
        <v>1.1</v>
      </c>
      <c r="N927" s="4">
        <f>(MIN(H927,Thiet_ke!$B$16)-K927)/(Thiet_ke!$B$2*M927)</f>
        <v>0.15519478618471297</v>
      </c>
      <c r="O927" s="4">
        <f>IF(N927&gt;0,1/N927,"")</f>
        <v>6.443515433629318</v>
      </c>
    </row>
    <row r="928" spans="1:15">
      <c r="A928">
        <v>5</v>
      </c>
      <c r="B928" s="4">
        <f>Thiet_ke!$B$24</f>
        <v>1.0</v>
      </c>
      <c r="C928" s="4">
        <f>Dau_vao!$B$21+(Dau_vao!$B$19-Dau_vao!$B$21)*122/200</f>
        <v>1898.0</v>
      </c>
      <c r="D928" s="4">
        <f>2*PI()*C928*Thiet_ke!$B$7/(60*Thiet_ke!$B$15*B928)</f>
        <v>21.40432098765432</v>
      </c>
      <c r="E928" s="4">
        <f>D928*3.6</f>
        <v>77.05555555555556</v>
      </c>
      <c r="F928" s="4">
        <f>Thiet_ke!$B$12*(Dau_vao!$B$22*(C928/Dau_vao!$B$19)+Dau_vao!$B$23*(C928/Dau_vao!$B$19)^2-Dau_vao!$B$24*(C928/Dau_vao!$B$19)^3)</f>
        <v>90.7231969155089</v>
      </c>
      <c r="G928" s="4">
        <f>60000*F928/(2*PI()*C928)</f>
        <v>456.45032377879767</v>
      </c>
      <c r="H928" s="4">
        <f>G928*Thiet_ke!$B$15*B928*Dau_vao!$B$10/Thiet_ke!$B$7</f>
        <v>3772.3058489626737</v>
      </c>
      <c r="I928" s="4">
        <f>IF(D928&lt;=Dau_vao!$B$14,Dau_vao!$B$13,Dau_vao!$B$13*(1+D928^2/1500))</f>
        <v>0.015</v>
      </c>
      <c r="J928" s="4">
        <f>Thiet_ke!$B$8*D928^2</f>
        <v>1340.0739990569273</v>
      </c>
      <c r="K928" s="4">
        <f>Thiet_ke!$B$3*I928+J928</f>
        <v>2471.6574990569275</v>
      </c>
      <c r="L928" s="4">
        <f>(H928-J928)/Thiet_ke!$B$3</f>
        <v>0.032241083179974074</v>
      </c>
      <c r="M928" s="4">
        <f>1.05+0.05*B928^2</f>
        <v>1.1</v>
      </c>
      <c r="N928" s="4">
        <f>(MIN(H928,Thiet_ke!$B$16)-K928)/(Thiet_ke!$B$2*M928)</f>
        <v>0.15375911454140517</v>
      </c>
      <c r="O928" s="4">
        <f>IF(N928&gt;0,1/N928,"")</f>
        <v>6.503679492318578</v>
      </c>
    </row>
    <row r="929" spans="1:15">
      <c r="A929">
        <v>5</v>
      </c>
      <c r="B929" s="4">
        <f>Thiet_ke!$B$24</f>
        <v>1.0</v>
      </c>
      <c r="C929" s="4">
        <f>Dau_vao!$B$21+(Dau_vao!$B$19-Dau_vao!$B$21)*123/200</f>
        <v>1907.0</v>
      </c>
      <c r="D929" s="4">
        <f>2*PI()*C929*Thiet_ke!$B$7/(60*Thiet_ke!$B$15*B929)</f>
        <v>21.505816714150047</v>
      </c>
      <c r="E929" s="4">
        <f>D929*3.6</f>
        <v>77.42094017094017</v>
      </c>
      <c r="F929" s="4">
        <f>Thiet_ke!$B$12*(Dau_vao!$B$22*(C929/Dau_vao!$B$19)+Dau_vao!$B$23*(C929/Dau_vao!$B$19)^2-Dau_vao!$B$24*(C929/Dau_vao!$B$19)^3)</f>
        <v>91.16424613601536</v>
      </c>
      <c r="G929" s="4">
        <f>60000*F929/(2*PI()*C929)</f>
        <v>456.50467978373564</v>
      </c>
      <c r="H929" s="4">
        <f>G929*Thiet_ke!$B$15*B929*Dau_vao!$B$10/Thiet_ke!$B$7</f>
        <v>3772.755070848763</v>
      </c>
      <c r="I929" s="4">
        <f>IF(D929&lt;=Dau_vao!$B$14,Dau_vao!$B$13,Dau_vao!$B$13*(1+D929^2/1500))</f>
        <v>0.015</v>
      </c>
      <c r="J929" s="4">
        <f>Thiet_ke!$B$8*D929^2</f>
        <v>1352.8129461871506</v>
      </c>
      <c r="K929" s="4">
        <f>Thiet_ke!$B$3*I929+J929</f>
        <v>2484.396446187151</v>
      </c>
      <c r="L929" s="4">
        <f>(H929-J929)/Thiet_ke!$B$3</f>
        <v>0.03207817352402556</v>
      </c>
      <c r="M929" s="4">
        <f>1.05+0.05*B929^2</f>
        <v>1.1</v>
      </c>
      <c r="N929" s="4">
        <f>(MIN(H929,Thiet_ke!$B$16)-K929)/(Thiet_ke!$B$2*M929)</f>
        <v>0.15230625660971886</v>
      </c>
      <c r="O929" s="4">
        <f>IF(N929&gt;0,1/N929,"")</f>
        <v>6.565718456087303</v>
      </c>
    </row>
    <row r="930" spans="1:15">
      <c r="A930">
        <v>5</v>
      </c>
      <c r="B930" s="4">
        <f>Thiet_ke!$B$24</f>
        <v>1.0</v>
      </c>
      <c r="C930" s="4">
        <f>Dau_vao!$B$21+(Dau_vao!$B$19-Dau_vao!$B$21)*124/200</f>
        <v>1916.0</v>
      </c>
      <c r="D930" s="4">
        <f>2*PI()*C930*Thiet_ke!$B$7/(60*Thiet_ke!$B$15*B930)</f>
        <v>21.607312440645774</v>
      </c>
      <c r="E930" s="4">
        <f>D930*3.6</f>
        <v>77.78632478632478</v>
      </c>
      <c r="F930" s="4">
        <f>Thiet_ke!$B$12*(Dau_vao!$B$22*(C930/Dau_vao!$B$19)+Dau_vao!$B$23*(C930/Dau_vao!$B$19)^2-Dau_vao!$B$24*(C930/Dau_vao!$B$19)^3)</f>
        <v>91.60333138587326</v>
      </c>
      <c r="G930" s="4">
        <f>60000*F930/(2*PI()*C930)</f>
        <v>456.54873675615937</v>
      </c>
      <c r="H930" s="4">
        <f>G930*Thiet_ke!$B$15*B930*Dau_vao!$B$10/Thiet_ke!$B$7</f>
        <v>3773.1191770090695</v>
      </c>
      <c r="I930" s="4">
        <f>IF(D930&lt;=Dau_vao!$B$14,Dau_vao!$B$13,Dau_vao!$B$13*(1+D930^2/1500))</f>
        <v>0.015</v>
      </c>
      <c r="J930" s="4">
        <f>Thiet_ke!$B$8*D930^2</f>
        <v>1365.6121564049806</v>
      </c>
      <c r="K930" s="4">
        <f>Thiet_ke!$B$3*I930+J930</f>
        <v>2497.1956564049806</v>
      </c>
      <c r="L930" s="4">
        <f>(H930-J930)/Thiet_ke!$B$3</f>
        <v>0.03191333676132723</v>
      </c>
      <c r="M930" s="4">
        <f>1.05+0.05*B930^2</f>
        <v>1.1</v>
      </c>
      <c r="N930" s="4">
        <f>(MIN(H930,Thiet_ke!$B$16)-K930)/(Thiet_ke!$B$2*M930)</f>
        <v>0.15083621238965467</v>
      </c>
      <c r="O930" s="4">
        <f>IF(N930&gt;0,1/N930,"")</f>
        <v>6.629707708495778</v>
      </c>
    </row>
    <row r="931" spans="1:15">
      <c r="A931">
        <v>5</v>
      </c>
      <c r="B931" s="4">
        <f>Thiet_ke!$B$24</f>
        <v>1.0</v>
      </c>
      <c r="C931" s="4">
        <f>Dau_vao!$B$21+(Dau_vao!$B$19-Dau_vao!$B$21)*125/200</f>
        <v>1925.0</v>
      </c>
      <c r="D931" s="4">
        <f>2*PI()*C931*Thiet_ke!$B$7/(60*Thiet_ke!$B$15*B931)</f>
        <v>21.708808167141502</v>
      </c>
      <c r="E931" s="4">
        <f>D931*3.6</f>
        <v>78.15170940170941</v>
      </c>
      <c r="F931" s="4">
        <f>Thiet_ke!$B$12*(Dau_vao!$B$22*(C931/Dau_vao!$B$19)+Dau_vao!$B$23*(C931/Dau_vao!$B$19)^2-Dau_vao!$B$24*(C931/Dau_vao!$B$19)^3)</f>
        <v>92.04042354525409</v>
      </c>
      <c r="G931" s="4">
        <f>60000*F931/(2*PI()*C931)</f>
        <v>456.58249469606835</v>
      </c>
      <c r="H931" s="4">
        <f>G931*Thiet_ke!$B$15*B931*Dau_vao!$B$10/Thiet_ke!$B$7</f>
        <v>3773.398167443588</v>
      </c>
      <c r="I931" s="4">
        <f>IF(D931&lt;=Dau_vao!$B$14,Dau_vao!$B$13,Dau_vao!$B$13*(1+D931^2/1500))</f>
        <v>0.015</v>
      </c>
      <c r="J931" s="4">
        <f>Thiet_ke!$B$8*D931^2</f>
        <v>1378.4716297104176</v>
      </c>
      <c r="K931" s="4">
        <f>Thiet_ke!$B$3*I931+J931</f>
        <v>2510.0551297104175</v>
      </c>
      <c r="L931" s="4">
        <f>(H931-J931)/Thiet_ke!$B$3</f>
        <v>0.031746572891878995</v>
      </c>
      <c r="M931" s="4">
        <f>1.05+0.05*B931^2</f>
        <v>1.1</v>
      </c>
      <c r="N931" s="4">
        <f>(MIN(H931,Thiet_ke!$B$16)-K931)/(Thiet_ke!$B$2*M931)</f>
        <v>0.1493489818812118</v>
      </c>
      <c r="O931" s="4">
        <f>IF(N931&gt;0,1/N931,"")</f>
        <v>6.695726930334038</v>
      </c>
    </row>
    <row r="932" spans="1:15">
      <c r="A932">
        <v>5</v>
      </c>
      <c r="B932" s="4">
        <f>Thiet_ke!$B$24</f>
        <v>1.0</v>
      </c>
      <c r="C932" s="4">
        <f>Dau_vao!$B$21+(Dau_vao!$B$19-Dau_vao!$B$21)*126/200</f>
        <v>1934.0</v>
      </c>
      <c r="D932" s="4">
        <f>2*PI()*C932*Thiet_ke!$B$7/(60*Thiet_ke!$B$15*B932)</f>
        <v>21.810303893637226</v>
      </c>
      <c r="E932" s="4">
        <f>D932*3.6</f>
        <v>78.51709401709401</v>
      </c>
      <c r="F932" s="4">
        <f>Thiet_ke!$B$12*(Dau_vao!$B$22*(C932/Dau_vao!$B$19)+Dau_vao!$B$23*(C932/Dau_vao!$B$19)^2-Dau_vao!$B$24*(C932/Dau_vao!$B$19)^3)</f>
        <v>92.47549349432948</v>
      </c>
      <c r="G932" s="4">
        <f>60000*F932/(2*PI()*C932)</f>
        <v>456.6059536034627</v>
      </c>
      <c r="H932" s="4">
        <f>G932*Thiet_ke!$B$15*B932*Dau_vao!$B$10/Thiet_ke!$B$7</f>
        <v>3773.5920421523224</v>
      </c>
      <c r="I932" s="4">
        <f>IF(D932&lt;=Dau_vao!$B$14,Dau_vao!$B$13,Dau_vao!$B$13*(1+D932^2/1500))</f>
        <v>0.015</v>
      </c>
      <c r="J932" s="4">
        <f>Thiet_ke!$B$8*D932^2</f>
        <v>1391.391366103461</v>
      </c>
      <c r="K932" s="4">
        <f>Thiet_ke!$B$3*I932+J932</f>
        <v>2522.974866103461</v>
      </c>
      <c r="L932" s="4">
        <f>(H932-J932)/Thiet_ke!$B$3</f>
        <v>0.031577881915680915</v>
      </c>
      <c r="M932" s="4">
        <f>1.05+0.05*B932^2</f>
        <v>1.1</v>
      </c>
      <c r="N932" s="4">
        <f>(MIN(H932,Thiet_ke!$B$16)-K932)/(Thiet_ke!$B$2*M932)</f>
        <v>0.14784456508439076</v>
      </c>
      <c r="O932" s="4">
        <f>IF(N932&gt;0,1/N932,"")</f>
        <v>6.763860405887716</v>
      </c>
    </row>
    <row r="933" spans="1:15">
      <c r="A933">
        <v>5</v>
      </c>
      <c r="B933" s="4">
        <f>Thiet_ke!$B$24</f>
        <v>1.0</v>
      </c>
      <c r="C933" s="4">
        <f>Dau_vao!$B$21+(Dau_vao!$B$19-Dau_vao!$B$21)*127/200</f>
        <v>1943.0</v>
      </c>
      <c r="D933" s="4">
        <f>2*PI()*C933*Thiet_ke!$B$7/(60*Thiet_ke!$B$15*B933)</f>
        <v>21.911799620132953</v>
      </c>
      <c r="E933" s="4">
        <f>D933*3.6</f>
        <v>78.88247863247864</v>
      </c>
      <c r="F933" s="4">
        <f>Thiet_ke!$B$12*(Dau_vao!$B$22*(C933/Dau_vao!$B$19)+Dau_vao!$B$23*(C933/Dau_vao!$B$19)^2-Dau_vao!$B$24*(C933/Dau_vao!$B$19)^3)</f>
        <v>92.90851211327106</v>
      </c>
      <c r="G933" s="4">
        <f>60000*F933/(2*PI()*C933)</f>
        <v>456.6191134783425</v>
      </c>
      <c r="H933" s="4">
        <f>G933*Thiet_ke!$B$15*B933*Dau_vao!$B$10/Thiet_ke!$B$7</f>
        <v>3773.70080113527</v>
      </c>
      <c r="I933" s="4">
        <f>IF(D933&lt;=Dau_vao!$B$14,Dau_vao!$B$13,Dau_vao!$B$13*(1+D933^2/1500))</f>
        <v>0.015</v>
      </c>
      <c r="J933" s="4">
        <f>Thiet_ke!$B$8*D933^2</f>
        <v>1404.3713655841118</v>
      </c>
      <c r="K933" s="4">
        <f>Thiet_ke!$B$3*I933+J933</f>
        <v>2535.9548655841118</v>
      </c>
      <c r="L933" s="4">
        <f>(H933-J933)/Thiet_ke!$B$3</f>
        <v>0.03140726383273295</v>
      </c>
      <c r="M933" s="4">
        <f>1.05+0.05*B933^2</f>
        <v>1.1</v>
      </c>
      <c r="N933" s="4">
        <f>(MIN(H933,Thiet_ke!$B$16)-K933)/(Thiet_ke!$B$2*M933)</f>
        <v>0.14632296199919118</v>
      </c>
      <c r="O933" s="4">
        <f>IF(N933&gt;0,1/N933,"")</f>
        <v>6.834197355884086</v>
      </c>
    </row>
    <row r="934" spans="1:15">
      <c r="A934">
        <v>5</v>
      </c>
      <c r="B934" s="4">
        <f>Thiet_ke!$B$24</f>
        <v>1.0</v>
      </c>
      <c r="C934" s="4">
        <f>Dau_vao!$B$21+(Dau_vao!$B$19-Dau_vao!$B$21)*128/200</f>
        <v>1952.0</v>
      </c>
      <c r="D934" s="4">
        <f>2*PI()*C934*Thiet_ke!$B$7/(60*Thiet_ke!$B$15*B934)</f>
        <v>22.013295346628677</v>
      </c>
      <c r="E934" s="4">
        <f>D934*3.6</f>
        <v>79.24786324786324</v>
      </c>
      <c r="F934" s="4">
        <f>Thiet_ke!$B$12*(Dau_vao!$B$22*(C934/Dau_vao!$B$19)+Dau_vao!$B$23*(C934/Dau_vao!$B$19)^2-Dau_vao!$B$24*(C934/Dau_vao!$B$19)^3)</f>
        <v>93.33945028225037</v>
      </c>
      <c r="G934" s="4">
        <f>60000*F934/(2*PI()*C934)</f>
        <v>456.6219743207076</v>
      </c>
      <c r="H934" s="4">
        <f>G934*Thiet_ke!$B$15*B934*Dau_vao!$B$10/Thiet_ke!$B$7</f>
        <v>3773.7244443924337</v>
      </c>
      <c r="I934" s="4">
        <f>IF(D934&lt;=Dau_vao!$B$14,Dau_vao!$B$13,Dau_vao!$B$13*(1+D934^2/1500))</f>
        <v>0.015</v>
      </c>
      <c r="J934" s="4">
        <f>Thiet_ke!$B$8*D934^2</f>
        <v>1417.4116281523686</v>
      </c>
      <c r="K934" s="4">
        <f>Thiet_ke!$B$3*I934+J934</f>
        <v>2548.995128152369</v>
      </c>
      <c r="L934" s="4">
        <f>(H934-J934)/Thiet_ke!$B$3</f>
        <v>0.031234718643035158</v>
      </c>
      <c r="M934" s="4">
        <f>1.05+0.05*B934^2</f>
        <v>1.1</v>
      </c>
      <c r="N934" s="4">
        <f>(MIN(H934,Thiet_ke!$B$16)-K934)/(Thiet_ke!$B$2*M934)</f>
        <v>0.14478417262561352</v>
      </c>
      <c r="O934" s="4">
        <f>IF(N934&gt;0,1/N934,"")</f>
        <v>6.906832299866261</v>
      </c>
    </row>
    <row r="935" spans="1:15">
      <c r="A935">
        <v>5</v>
      </c>
      <c r="B935" s="4">
        <f>Thiet_ke!$B$24</f>
        <v>1.0</v>
      </c>
      <c r="C935" s="4">
        <f>Dau_vao!$B$21+(Dau_vao!$B$19-Dau_vao!$B$21)*129/200</f>
        <v>1961.0</v>
      </c>
      <c r="D935" s="4">
        <f>2*PI()*C935*Thiet_ke!$B$7/(60*Thiet_ke!$B$15*B935)</f>
        <v>22.114791073124405</v>
      </c>
      <c r="E935" s="4">
        <f>D935*3.6</f>
        <v>79.61324786324786</v>
      </c>
      <c r="F935" s="4">
        <f>Thiet_ke!$B$12*(Dau_vao!$B$22*(C935/Dau_vao!$B$19)+Dau_vao!$B$23*(C935/Dau_vao!$B$19)^2-Dau_vao!$B$24*(C935/Dau_vao!$B$19)^3)</f>
        <v>93.76827888143906</v>
      </c>
      <c r="G935" s="4">
        <f>60000*F935/(2*PI()*C935)</f>
        <v>456.61453613055806</v>
      </c>
      <c r="H935" s="4">
        <f>G935*Thiet_ke!$B$15*B935*Dau_vao!$B$10/Thiet_ke!$B$7</f>
        <v>3773.6629719238094</v>
      </c>
      <c r="I935" s="4">
        <f>IF(D935&lt;=Dau_vao!$B$14,Dau_vao!$B$13,Dau_vao!$B$13*(1+D935^2/1500))</f>
        <v>0.015</v>
      </c>
      <c r="J935" s="4">
        <f>Thiet_ke!$B$8*D935^2</f>
        <v>1430.5121538082328</v>
      </c>
      <c r="K935" s="4">
        <f>Thiet_ke!$B$3*I935+J935</f>
        <v>2562.095653808233</v>
      </c>
      <c r="L935" s="4">
        <f>(H935-J935)/Thiet_ke!$B$3</f>
        <v>0.031060246346587456</v>
      </c>
      <c r="M935" s="4">
        <f>1.05+0.05*B935^2</f>
        <v>1.1</v>
      </c>
      <c r="N935" s="4">
        <f>(MIN(H935,Thiet_ke!$B$16)-K935)/(Thiet_ke!$B$2*M935)</f>
        <v>0.14322819696365724</v>
      </c>
      <c r="O935" s="4">
        <f>IF(N935&gt;0,1/N935,"")</f>
        <v>6.98186545107274</v>
      </c>
    </row>
    <row r="936" spans="1:15">
      <c r="A936">
        <v>5</v>
      </c>
      <c r="B936" s="4">
        <f>Thiet_ke!$B$24</f>
        <v>1.0</v>
      </c>
      <c r="C936" s="4">
        <f>Dau_vao!$B$21+(Dau_vao!$B$19-Dau_vao!$B$21)*130/200</f>
        <v>1970.0</v>
      </c>
      <c r="D936" s="4">
        <f>2*PI()*C936*Thiet_ke!$B$7/(60*Thiet_ke!$B$15*B936)</f>
        <v>22.21628679962013</v>
      </c>
      <c r="E936" s="4">
        <f>D936*3.6</f>
        <v>79.97863247863246</v>
      </c>
      <c r="F936" s="4">
        <f>Thiet_ke!$B$12*(Dau_vao!$B$22*(C936/Dau_vao!$B$19)+Dau_vao!$B$23*(C936/Dau_vao!$B$19)^2-Dau_vao!$B$24*(C936/Dau_vao!$B$19)^3)</f>
        <v>94.19496879100878</v>
      </c>
      <c r="G936" s="4">
        <f>60000*F936/(2*PI()*C936)</f>
        <v>456.5967989078942</v>
      </c>
      <c r="H936" s="4">
        <f>G936*Thiet_ke!$B$15*B936*Dau_vao!$B$10/Thiet_ke!$B$7</f>
        <v>3773.5163837294012</v>
      </c>
      <c r="I936" s="4">
        <f>IF(D936&lt;=Dau_vao!$B$14,Dau_vao!$B$13,Dau_vao!$B$13*(1+D936^2/1500))</f>
        <v>0.019935633991629755</v>
      </c>
      <c r="J936" s="4">
        <f>Thiet_ke!$B$8*D936^2</f>
        <v>1443.6729425517037</v>
      </c>
      <c r="K936" s="4">
        <f>Thiet_ke!$B$3*I936+J936</f>
        <v>2947.595241682862</v>
      </c>
      <c r="L936" s="4">
        <f>(H936-J936)/Thiet_ke!$B$3</f>
        <v>0.03088384694338991</v>
      </c>
      <c r="M936" s="4">
        <f>1.05+0.05*B936^2</f>
        <v>1.1</v>
      </c>
      <c r="N936" s="4">
        <f>(MIN(H936,Thiet_ke!$B$16)-K936)/(Thiet_ke!$B$2*M936)</f>
        <v>0.09763815368797014</v>
      </c>
      <c r="O936" s="4">
        <f>IF(N936&gt;0,1/N936,"")</f>
        <v>10.241897887538697</v>
      </c>
    </row>
    <row r="937" spans="1:15">
      <c r="A937">
        <v>5</v>
      </c>
      <c r="B937" s="4">
        <f>Thiet_ke!$B$24</f>
        <v>1.0</v>
      </c>
      <c r="C937" s="4">
        <f>Dau_vao!$B$21+(Dau_vao!$B$19-Dau_vao!$B$21)*131/200</f>
        <v>1979.0</v>
      </c>
      <c r="D937" s="4">
        <f>2*PI()*C937*Thiet_ke!$B$7/(60*Thiet_ke!$B$15*B937)</f>
        <v>22.317782526115856</v>
      </c>
      <c r="E937" s="4">
        <f>D937*3.6</f>
        <v>80.34401709401709</v>
      </c>
      <c r="F937" s="4">
        <f>Thiet_ke!$B$12*(Dau_vao!$B$22*(C937/Dau_vao!$B$19)+Dau_vao!$B$23*(C937/Dau_vao!$B$19)^2-Dau_vao!$B$24*(C937/Dau_vao!$B$19)^3)</f>
        <v>94.61949089113101</v>
      </c>
      <c r="G937" s="4">
        <f>60000*F937/(2*PI()*C937)</f>
        <v>456.5687626527155</v>
      </c>
      <c r="H937" s="4">
        <f>G937*Thiet_ke!$B$15*B937*Dau_vao!$B$10/Thiet_ke!$B$7</f>
        <v>3773.2846798092087</v>
      </c>
      <c r="I937" s="4">
        <f>IF(D937&lt;=Dau_vao!$B$14,Dau_vao!$B$13,Dau_vao!$B$13*(1+D937^2/1500))</f>
        <v>0.019980834168830022</v>
      </c>
      <c r="J937" s="4">
        <f>Thiet_ke!$B$8*D937^2</f>
        <v>1456.8939943827818</v>
      </c>
      <c r="K937" s="4">
        <f>Thiet_ke!$B$3*I937+J937</f>
        <v>2964.2261451617333</v>
      </c>
      <c r="L937" s="4">
        <f>(H937-J937)/Thiet_ke!$B$3</f>
        <v>0.030705520433442515</v>
      </c>
      <c r="M937" s="4">
        <f>1.05+0.05*B937^2</f>
        <v>1.1</v>
      </c>
      <c r="N937" s="4">
        <f>(MIN(H937,Thiet_ke!$B$16)-K937)/(Thiet_ke!$B$2*M937)</f>
        <v>0.09564470205077141</v>
      </c>
      <c r="O937" s="4">
        <f>IF(N937&gt;0,1/N937,"")</f>
        <v>10.45536217436452</v>
      </c>
    </row>
    <row r="938" spans="1:15">
      <c r="A938">
        <v>5</v>
      </c>
      <c r="B938" s="4">
        <f>Thiet_ke!$B$24</f>
        <v>1.0</v>
      </c>
      <c r="C938" s="4">
        <f>Dau_vao!$B$21+(Dau_vao!$B$19-Dau_vao!$B$21)*132/200</f>
        <v>1988.0</v>
      </c>
      <c r="D938" s="4">
        <f>2*PI()*C938*Thiet_ke!$B$7/(60*Thiet_ke!$B$15*B938)</f>
        <v>22.419278252611583</v>
      </c>
      <c r="E938" s="4">
        <f>D938*3.6</f>
        <v>80.7094017094017</v>
      </c>
      <c r="F938" s="4">
        <f>Thiet_ke!$B$12*(Dau_vao!$B$22*(C938/Dau_vao!$B$19)+Dau_vao!$B$23*(C938/Dau_vao!$B$19)^2-Dau_vao!$B$24*(C938/Dau_vao!$B$19)^3)</f>
        <v>95.04181606197744</v>
      </c>
      <c r="G938" s="4">
        <f>60000*F938/(2*PI()*C938)</f>
        <v>456.5304273650223</v>
      </c>
      <c r="H938" s="4">
        <f>G938*Thiet_ke!$B$15*B938*Dau_vao!$B$10/Thiet_ke!$B$7</f>
        <v>3772.9678601632295</v>
      </c>
      <c r="I938" s="4">
        <f>IF(D938&lt;=Dau_vao!$B$14,Dau_vao!$B$13,Dau_vao!$B$13*(1+D938^2/1500))</f>
        <v>0.020026240373680226</v>
      </c>
      <c r="J938" s="4">
        <f>Thiet_ke!$B$8*D938^2</f>
        <v>1470.1753093014665</v>
      </c>
      <c r="K938" s="4">
        <f>Thiet_ke!$B$3*I938+J938</f>
        <v>2980.932854227492</v>
      </c>
      <c r="L938" s="4">
        <f>(H938-J938)/Thiet_ke!$B$3</f>
        <v>0.03052526681674524</v>
      </c>
      <c r="M938" s="4">
        <f>1.05+0.05*B938^2</f>
        <v>1.1</v>
      </c>
      <c r="N938" s="4">
        <f>(MIN(H938,Thiet_ke!$B$16)-K938)/(Thiet_ke!$B$2*M938)</f>
        <v>0.09363222673315255</v>
      </c>
      <c r="O938" s="4">
        <f>IF(N938&gt;0,1/N938,"")</f>
        <v>10.68008350212532</v>
      </c>
    </row>
    <row r="939" spans="1:15">
      <c r="A939">
        <v>5</v>
      </c>
      <c r="B939" s="4">
        <f>Thiet_ke!$B$24</f>
        <v>1.0</v>
      </c>
      <c r="C939" s="4">
        <f>Dau_vao!$B$21+(Dau_vao!$B$19-Dau_vao!$B$21)*133/200</f>
        <v>1997.0</v>
      </c>
      <c r="D939" s="4">
        <f>2*PI()*C939*Thiet_ke!$B$7/(60*Thiet_ke!$B$15*B939)</f>
        <v>22.520773979107314</v>
      </c>
      <c r="E939" s="4">
        <f>D939*3.6</f>
        <v>81.07478632478633</v>
      </c>
      <c r="F939" s="4">
        <f>Thiet_ke!$B$12*(Dau_vao!$B$22*(C939/Dau_vao!$B$19)+Dau_vao!$B$23*(C939/Dau_vao!$B$19)^2-Dau_vao!$B$24*(C939/Dau_vao!$B$19)^3)</f>
        <v>95.46191518371967</v>
      </c>
      <c r="G939" s="4">
        <f>60000*F939/(2*PI()*C939)</f>
        <v>456.48179304481454</v>
      </c>
      <c r="H939" s="4">
        <f>G939*Thiet_ke!$B$15*B939*Dau_vao!$B$10/Thiet_ke!$B$7</f>
        <v>3772.565924791463</v>
      </c>
      <c r="I939" s="4">
        <f>IF(D939&lt;=Dau_vao!$B$14,Dau_vao!$B$13,Dau_vao!$B$13*(1+D939^2/1500))</f>
        <v>0.02007185260618037</v>
      </c>
      <c r="J939" s="4">
        <f>Thiet_ke!$B$8*D939^2</f>
        <v>1483.5168873077587</v>
      </c>
      <c r="K939" s="4">
        <f>Thiet_ke!$B$3*I939+J939</f>
        <v>2997.715368880139</v>
      </c>
      <c r="L939" s="4">
        <f>(H939-J939)/Thiet_ke!$B$3</f>
        <v>0.030343086093298076</v>
      </c>
      <c r="M939" s="4">
        <f>1.05+0.05*B939^2</f>
        <v>1.1</v>
      </c>
      <c r="N939" s="4">
        <f>(MIN(H939,Thiet_ke!$B$16)-K939)/(Thiet_ke!$B$2*M939)</f>
        <v>0.09160072773511338</v>
      </c>
      <c r="O939" s="4">
        <f>IF(N939&gt;0,1/N939,"")</f>
        <v>10.916943835771178</v>
      </c>
    </row>
    <row r="940" spans="1:15">
      <c r="A940">
        <v>5</v>
      </c>
      <c r="B940" s="4">
        <f>Thiet_ke!$B$24</f>
        <v>1.0</v>
      </c>
      <c r="C940" s="4">
        <f>Dau_vao!$B$21+(Dau_vao!$B$19-Dau_vao!$B$21)*134/200</f>
        <v>2006.0</v>
      </c>
      <c r="D940" s="4">
        <f>2*PI()*C940*Thiet_ke!$B$7/(60*Thiet_ke!$B$15*B940)</f>
        <v>22.62226970560304</v>
      </c>
      <c r="E940" s="4">
        <f>D940*3.6</f>
        <v>81.44017094017094</v>
      </c>
      <c r="F940" s="4">
        <f>Thiet_ke!$B$12*(Dau_vao!$B$22*(C940/Dau_vao!$B$19)+Dau_vao!$B$23*(C940/Dau_vao!$B$19)^2-Dau_vao!$B$24*(C940/Dau_vao!$B$19)^3)</f>
        <v>95.87975913652924</v>
      </c>
      <c r="G940" s="4">
        <f>60000*F940/(2*PI()*C940)</f>
        <v>456.42285969209206</v>
      </c>
      <c r="H940" s="4">
        <f>G940*Thiet_ke!$B$15*B940*Dau_vao!$B$10/Thiet_ke!$B$7</f>
        <v>3772.078873693913</v>
      </c>
      <c r="I940" s="4">
        <f>IF(D940&lt;=Dau_vao!$B$14,Dau_vao!$B$13,Dau_vao!$B$13*(1+D940^2/1500))</f>
        <v>0.02011767086633045</v>
      </c>
      <c r="J940" s="4">
        <f>Thiet_ke!$B$8*D940^2</f>
        <v>1496.9187284016566</v>
      </c>
      <c r="K940" s="4">
        <f>Thiet_ke!$B$3*I940+J940</f>
        <v>3014.573689119673</v>
      </c>
      <c r="L940" s="4">
        <f>(H940-J940)/Thiet_ke!$B$3</f>
        <v>0.030158978263101082</v>
      </c>
      <c r="M940" s="4">
        <f>1.05+0.05*B940^2</f>
        <v>1.1</v>
      </c>
      <c r="N940" s="4">
        <f>(MIN(H940,Thiet_ke!$B$16)-K940)/(Thiet_ke!$B$2*M940)</f>
        <v>0.08955020505665445</v>
      </c>
      <c r="O940" s="4">
        <f>IF(N940&gt;0,1/N940,"")</f>
        <v>11.166920269667102</v>
      </c>
    </row>
    <row r="941" spans="1:15">
      <c r="A941">
        <v>5</v>
      </c>
      <c r="B941" s="4">
        <f>Thiet_ke!$B$24</f>
        <v>1.0</v>
      </c>
      <c r="C941" s="4">
        <f>Dau_vao!$B$21+(Dau_vao!$B$19-Dau_vao!$B$21)*135/200</f>
        <v>2015.0</v>
      </c>
      <c r="D941" s="4">
        <f>2*PI()*C941*Thiet_ke!$B$7/(60*Thiet_ke!$B$15*B941)</f>
        <v>22.723765432098766</v>
      </c>
      <c r="E941" s="4">
        <f>D941*3.6</f>
        <v>81.80555555555556</v>
      </c>
      <c r="F941" s="4">
        <f>Thiet_ke!$B$12*(Dau_vao!$B$22*(C941/Dau_vao!$B$19)+Dau_vao!$B$23*(C941/Dau_vao!$B$19)^2-Dau_vao!$B$24*(C941/Dau_vao!$B$19)^3)</f>
        <v>96.29531880057782</v>
      </c>
      <c r="G941" s="4">
        <f>60000*F941/(2*PI()*C941)</f>
        <v>456.35362730685506</v>
      </c>
      <c r="H941" s="4">
        <f>G941*Thiet_ke!$B$15*B941*Dau_vao!$B$10/Thiet_ke!$B$7</f>
        <v>3771.5067068705766</v>
      </c>
      <c r="I941" s="4">
        <f>IF(D941&lt;=Dau_vao!$B$14,Dau_vao!$B$13,Dau_vao!$B$13*(1+D941^2/1500))</f>
        <v>0.020163695154130464</v>
      </c>
      <c r="J941" s="4">
        <f>Thiet_ke!$B$8*D941^2</f>
        <v>1510.380832583162</v>
      </c>
      <c r="K941" s="4">
        <f>Thiet_ke!$B$3*I941+J941</f>
        <v>3031.507814946095</v>
      </c>
      <c r="L941" s="4">
        <f>(H941-J941)/Thiet_ke!$B$3</f>
        <v>0.029972943326154206</v>
      </c>
      <c r="M941" s="4">
        <f>1.05+0.05*B941^2</f>
        <v>1.1</v>
      </c>
      <c r="N941" s="4">
        <f>(MIN(H941,Thiet_ke!$B$16)-K941)/(Thiet_ke!$B$2*M941)</f>
        <v>0.08748065869777533</v>
      </c>
      <c r="O941" s="4">
        <f>IF(N941&gt;0,1/N941,"")</f>
        <v>11.431098198000084</v>
      </c>
    </row>
    <row r="942" spans="1:15">
      <c r="A942">
        <v>5</v>
      </c>
      <c r="B942" s="4">
        <f>Thiet_ke!$B$24</f>
        <v>1.0</v>
      </c>
      <c r="C942" s="4">
        <f>Dau_vao!$B$21+(Dau_vao!$B$19-Dau_vao!$B$21)*136/200</f>
        <v>2024.0</v>
      </c>
      <c r="D942" s="4">
        <f>2*PI()*C942*Thiet_ke!$B$7/(60*Thiet_ke!$B$15*B942)</f>
        <v>22.825261158594493</v>
      </c>
      <c r="E942" s="4">
        <f>D942*3.6</f>
        <v>82.17094017094018</v>
      </c>
      <c r="F942" s="4">
        <f>Thiet_ke!$B$12*(Dau_vao!$B$22*(C942/Dau_vao!$B$19)+Dau_vao!$B$23*(C942/Dau_vao!$B$19)^2-Dau_vao!$B$24*(C942/Dau_vao!$B$19)^3)</f>
        <v>96.70856505603696</v>
      </c>
      <c r="G942" s="4">
        <f>60000*F942/(2*PI()*C942)</f>
        <v>456.2740958891034</v>
      </c>
      <c r="H942" s="4">
        <f>G942*Thiet_ke!$B$15*B942*Dau_vao!$B$10/Thiet_ke!$B$7</f>
        <v>3770.8494243214564</v>
      </c>
      <c r="I942" s="4">
        <f>IF(D942&lt;=Dau_vao!$B$14,Dau_vao!$B$13,Dau_vao!$B$13*(1+D942^2/1500))</f>
        <v>0.020209925469580423</v>
      </c>
      <c r="J942" s="4">
        <f>Thiet_ke!$B$8*D942^2</f>
        <v>1523.9031998522744</v>
      </c>
      <c r="K942" s="4">
        <f>Thiet_ke!$B$3*I942+J942</f>
        <v>3048.5177463594055</v>
      </c>
      <c r="L942" s="4">
        <f>(H942-J942)/Thiet_ke!$B$3</f>
        <v>0.029784981282457483</v>
      </c>
      <c r="M942" s="4">
        <f>1.05+0.05*B942^2</f>
        <v>1.1</v>
      </c>
      <c r="N942" s="4">
        <f>(MIN(H942,Thiet_ke!$B$16)-K942)/(Thiet_ke!$B$2*M942)</f>
        <v>0.08539208865847628</v>
      </c>
      <c r="O942" s="4">
        <f>IF(N942&gt;0,1/N942,"")</f>
        <v>11.710686735857665</v>
      </c>
    </row>
    <row r="943" spans="1:15">
      <c r="A943">
        <v>5</v>
      </c>
      <c r="B943" s="4">
        <f>Thiet_ke!$B$24</f>
        <v>1.0</v>
      </c>
      <c r="C943" s="4">
        <f>Dau_vao!$B$21+(Dau_vao!$B$19-Dau_vao!$B$21)*137/200</f>
        <v>2033.0</v>
      </c>
      <c r="D943" s="4">
        <f>2*PI()*C943*Thiet_ke!$B$7/(60*Thiet_ke!$B$15*B943)</f>
        <v>22.926756885090217</v>
      </c>
      <c r="E943" s="4">
        <f>D943*3.6</f>
        <v>82.53632478632478</v>
      </c>
      <c r="F943" s="4">
        <f>Thiet_ke!$B$12*(Dau_vao!$B$22*(C943/Dau_vao!$B$19)+Dau_vao!$B$23*(C943/Dau_vao!$B$19)^2-Dau_vao!$B$24*(C943/Dau_vao!$B$19)^3)</f>
        <v>97.11946878307835</v>
      </c>
      <c r="G943" s="4">
        <f>60000*F943/(2*PI()*C943)</f>
        <v>456.18426543883743</v>
      </c>
      <c r="H943" s="4">
        <f>G943*Thiet_ke!$B$15*B943*Dau_vao!$B$10/Thiet_ke!$B$7</f>
        <v>3770.1070260465494</v>
      </c>
      <c r="I943" s="4">
        <f>IF(D943&lt;=Dau_vao!$B$14,Dau_vao!$B$13,Dau_vao!$B$13*(1+D943^2/1500))</f>
        <v>0.020256361812680316</v>
      </c>
      <c r="J943" s="4">
        <f>Thiet_ke!$B$8*D943^2</f>
        <v>1537.4858302089929</v>
      </c>
      <c r="K943" s="4">
        <f>Thiet_ke!$B$3*I943+J943</f>
        <v>3065.6034833596023</v>
      </c>
      <c r="L943" s="4">
        <f>(H943-J943)/Thiet_ke!$B$3</f>
        <v>0.029595092132010888</v>
      </c>
      <c r="M943" s="4">
        <f>1.05+0.05*B943^2</f>
        <v>1.1</v>
      </c>
      <c r="N943" s="4">
        <f>(MIN(H943,Thiet_ke!$B$16)-K943)/(Thiet_ke!$B$2*M943)</f>
        <v>0.0832844949387572</v>
      </c>
      <c r="O943" s="4">
        <f>IF(N943&gt;0,1/N943,"")</f>
        <v>12.007036852842111</v>
      </c>
    </row>
    <row r="944" spans="1:15">
      <c r="A944">
        <v>5</v>
      </c>
      <c r="B944" s="4">
        <f>Thiet_ke!$B$24</f>
        <v>1.0</v>
      </c>
      <c r="C944" s="4">
        <f>Dau_vao!$B$21+(Dau_vao!$B$19-Dau_vao!$B$21)*138/200</f>
        <v>2042.0</v>
      </c>
      <c r="D944" s="4">
        <f>2*PI()*C944*Thiet_ke!$B$7/(60*Thiet_ke!$B$15*B944)</f>
        <v>23.028252611585945</v>
      </c>
      <c r="E944" s="4">
        <f>D944*3.6</f>
        <v>82.9017094017094</v>
      </c>
      <c r="F944" s="4">
        <f>Thiet_ke!$B$12*(Dau_vao!$B$22*(C944/Dau_vao!$B$19)+Dau_vao!$B$23*(C944/Dau_vao!$B$19)^2-Dau_vao!$B$24*(C944/Dau_vao!$B$19)^3)</f>
        <v>97.52800086187342</v>
      </c>
      <c r="G944" s="4">
        <f>60000*F944/(2*PI()*C944)</f>
        <v>456.08413595605634</v>
      </c>
      <c r="H944" s="4">
        <f>G944*Thiet_ke!$B$15*B944*Dau_vao!$B$10/Thiet_ke!$B$7</f>
        <v>3769.279512045855</v>
      </c>
      <c r="I944" s="4">
        <f>IF(D944&lt;=Dau_vao!$B$14,Dau_vao!$B$13,Dau_vao!$B$13*(1+D944^2/1500))</f>
        <v>0.02030300418343015</v>
      </c>
      <c r="J944" s="4">
        <f>Thiet_ke!$B$8*D944^2</f>
        <v>1551.1287236533187</v>
      </c>
      <c r="K944" s="4">
        <f>Thiet_ke!$B$3*I944+J944</f>
        <v>3082.7650259466873</v>
      </c>
      <c r="L944" s="4">
        <f>(H944-J944)/Thiet_ke!$B$3</f>
        <v>0.029403275874814398</v>
      </c>
      <c r="M944" s="4">
        <f>1.05+0.05*B944^2</f>
        <v>1.1</v>
      </c>
      <c r="N944" s="4">
        <f>(MIN(H944,Thiet_ke!$B$16)-K944)/(Thiet_ke!$B$2*M944)</f>
        <v>0.08115787753861776</v>
      </c>
      <c r="O944" s="4">
        <f>IF(N944&gt;0,1/N944,"")</f>
        <v>12.321662792674253</v>
      </c>
    </row>
    <row r="945" spans="1:15">
      <c r="A945">
        <v>5</v>
      </c>
      <c r="B945" s="4">
        <f>Thiet_ke!$B$24</f>
        <v>1.0</v>
      </c>
      <c r="C945" s="4">
        <f>Dau_vao!$B$21+(Dau_vao!$B$19-Dau_vao!$B$21)*139/200</f>
        <v>2051.0</v>
      </c>
      <c r="D945" s="4">
        <f>2*PI()*C945*Thiet_ke!$B$7/(60*Thiet_ke!$B$15*B945)</f>
        <v>23.129748338081672</v>
      </c>
      <c r="E945" s="4">
        <f>D945*3.6</f>
        <v>83.26709401709402</v>
      </c>
      <c r="F945" s="4">
        <f>Thiet_ke!$B$12*(Dau_vao!$B$22*(C945/Dau_vao!$B$19)+Dau_vao!$B$23*(C945/Dau_vao!$B$19)^2-Dau_vao!$B$24*(C945/Dau_vao!$B$19)^3)</f>
        <v>97.93413217259396</v>
      </c>
      <c r="G945" s="4">
        <f>60000*F945/(2*PI()*C945)</f>
        <v>455.9737074407611</v>
      </c>
      <c r="H945" s="4">
        <f>G945*Thiet_ke!$B$15*B945*Dau_vao!$B$10/Thiet_ke!$B$7</f>
        <v>3768.366882319377</v>
      </c>
      <c r="I945" s="4">
        <f>IF(D945&lt;=Dau_vao!$B$14,Dau_vao!$B$13,Dau_vao!$B$13*(1+D945^2/1500))</f>
        <v>0.02034985258182992</v>
      </c>
      <c r="J945" s="4">
        <f>Thiet_ke!$B$8*D945^2</f>
        <v>1564.8318801852513</v>
      </c>
      <c r="K945" s="4">
        <f>Thiet_ke!$B$3*I945+J945</f>
        <v>3100.0023741206605</v>
      </c>
      <c r="L945" s="4">
        <f>(H945-J945)/Thiet_ke!$B$3</f>
        <v>0.02920953251086807</v>
      </c>
      <c r="M945" s="4">
        <f>1.05+0.05*B945^2</f>
        <v>1.1</v>
      </c>
      <c r="N945" s="4">
        <f>(MIN(H945,Thiet_ke!$B$16)-K945)/(Thiet_ke!$B$2*M945)</f>
        <v>0.07901223645805847</v>
      </c>
      <c r="O945" s="4">
        <f>IF(N945&gt;0,1/N945,"")</f>
        <v>12.656267495109105</v>
      </c>
    </row>
    <row r="946" spans="1:15">
      <c r="A946">
        <v>5</v>
      </c>
      <c r="B946" s="4">
        <f>Thiet_ke!$B$24</f>
        <v>1.0</v>
      </c>
      <c r="C946" s="4">
        <f>Dau_vao!$B$21+(Dau_vao!$B$19-Dau_vao!$B$21)*140/200</f>
        <v>2060.0</v>
      </c>
      <c r="D946" s="4">
        <f>2*PI()*C946*Thiet_ke!$B$7/(60*Thiet_ke!$B$15*B946)</f>
        <v>23.231244064577396</v>
      </c>
      <c r="E946" s="4">
        <f>D946*3.6</f>
        <v>83.63247863247862</v>
      </c>
      <c r="F946" s="4">
        <f>Thiet_ke!$B$12*(Dau_vao!$B$22*(C946/Dau_vao!$B$19)+Dau_vao!$B$23*(C946/Dau_vao!$B$19)^2-Dau_vao!$B$24*(C946/Dau_vao!$B$19)^3)</f>
        <v>98.33783359541148</v>
      </c>
      <c r="G946" s="4">
        <f>60000*F946/(2*PI()*C946)</f>
        <v>455.8529798929511</v>
      </c>
      <c r="H946" s="4">
        <f>G946*Thiet_ke!$B$15*B946*Dau_vao!$B$10/Thiet_ke!$B$7</f>
        <v>3767.3691368671143</v>
      </c>
      <c r="I946" s="4">
        <f>IF(D946&lt;=Dau_vao!$B$14,Dau_vao!$B$13,Dau_vao!$B$13*(1+D946^2/1500))</f>
        <v>0.020396907007879623</v>
      </c>
      <c r="J946" s="4">
        <f>Thiet_ke!$B$8*D946^2</f>
        <v>1578.5952998047903</v>
      </c>
      <c r="K946" s="4">
        <f>Thiet_ke!$B$3*I946+J946</f>
        <v>3117.3155278815207</v>
      </c>
      <c r="L946" s="4">
        <f>(H946-J946)/Thiet_ke!$B$3</f>
        <v>0.029013862040171895</v>
      </c>
      <c r="M946" s="4">
        <f>1.05+0.05*B946^2</f>
        <v>1.1</v>
      </c>
      <c r="N946" s="4">
        <f>(MIN(H946,Thiet_ke!$B$16)-K946)/(Thiet_ke!$B$2*M946)</f>
        <v>0.07684757169707929</v>
      </c>
      <c r="O946" s="4">
        <f>IF(N946&gt;0,1/N946,"")</f>
        <v>13.012772920683018</v>
      </c>
    </row>
    <row r="947" spans="1:15">
      <c r="A947">
        <v>5</v>
      </c>
      <c r="B947" s="4">
        <f>Thiet_ke!$B$24</f>
        <v>1.0</v>
      </c>
      <c r="C947" s="4">
        <f>Dau_vao!$B$21+(Dau_vao!$B$19-Dau_vao!$B$21)*141/200</f>
        <v>2069.0</v>
      </c>
      <c r="D947" s="4">
        <f>2*PI()*C947*Thiet_ke!$B$7/(60*Thiet_ke!$B$15*B947)</f>
        <v>23.33273979107312</v>
      </c>
      <c r="E947" s="4">
        <f>D947*3.6</f>
        <v>83.99786324786324</v>
      </c>
      <c r="F947" s="4">
        <f>Thiet_ke!$B$12*(Dau_vao!$B$22*(C947/Dau_vao!$B$19)+Dau_vao!$B$23*(C947/Dau_vao!$B$19)^2-Dau_vao!$B$24*(C947/Dau_vao!$B$19)^3)</f>
        <v>98.7390760104976</v>
      </c>
      <c r="G947" s="4">
        <f>60000*F947/(2*PI()*C947)</f>
        <v>455.7219533126266</v>
      </c>
      <c r="H947" s="4">
        <f>G947*Thiet_ke!$B$15*B947*Dau_vao!$B$10/Thiet_ke!$B$7</f>
        <v>3766.2862756890645</v>
      </c>
      <c r="I947" s="4">
        <f>IF(D947&lt;=Dau_vao!$B$14,Dau_vao!$B$13,Dau_vao!$B$13*(1+D947^2/1500))</f>
        <v>0.02044416746157927</v>
      </c>
      <c r="J947" s="4">
        <f>Thiet_ke!$B$8*D947^2</f>
        <v>1592.4189825119363</v>
      </c>
      <c r="K947" s="4">
        <f>Thiet_ke!$B$3*I947+J947</f>
        <v>3134.704487229269</v>
      </c>
      <c r="L947" s="4">
        <f>(H947-J947)/Thiet_ke!$B$3</f>
        <v>0.02881626446272583</v>
      </c>
      <c r="M947" s="4">
        <f>1.05+0.05*B947^2</f>
        <v>1.1</v>
      </c>
      <c r="N947" s="4">
        <f>(MIN(H947,Thiet_ke!$B$16)-K947)/(Thiet_ke!$B$2*M947)</f>
        <v>0.0746638832556798</v>
      </c>
      <c r="O947" s="4">
        <f>IF(N947&gt;0,1/N947,"")</f>
        <v>13.393356418063462</v>
      </c>
    </row>
    <row r="948" spans="1:15">
      <c r="A948">
        <v>5</v>
      </c>
      <c r="B948" s="4">
        <f>Thiet_ke!$B$24</f>
        <v>1.0</v>
      </c>
      <c r="C948" s="4">
        <f>Dau_vao!$B$21+(Dau_vao!$B$19-Dau_vao!$B$21)*142/200</f>
        <v>2078.0</v>
      </c>
      <c r="D948" s="4">
        <f>2*PI()*C948*Thiet_ke!$B$7/(60*Thiet_ke!$B$15*B948)</f>
        <v>23.434235517568847</v>
      </c>
      <c r="E948" s="4">
        <f>D948*3.6</f>
        <v>84.36324786324785</v>
      </c>
      <c r="F948" s="4">
        <f>Thiet_ke!$B$12*(Dau_vao!$B$22*(C948/Dau_vao!$B$19)+Dau_vao!$B$23*(C948/Dau_vao!$B$19)^2-Dau_vao!$B$24*(C948/Dau_vao!$B$19)^3)</f>
        <v>99.13783029802386</v>
      </c>
      <c r="G948" s="4">
        <f>60000*F948/(2*PI()*C948)</f>
        <v>455.58062769978727</v>
      </c>
      <c r="H948" s="4">
        <f>G948*Thiet_ke!$B$15*B948*Dau_vao!$B$10/Thiet_ke!$B$7</f>
        <v>3765.11829878523</v>
      </c>
      <c r="I948" s="4">
        <f>IF(D948&lt;=Dau_vao!$B$14,Dau_vao!$B$13,Dau_vao!$B$13*(1+D948^2/1500))</f>
        <v>0.020491633942928852</v>
      </c>
      <c r="J948" s="4">
        <f>Thiet_ke!$B$8*D948^2</f>
        <v>1606.3029283066896</v>
      </c>
      <c r="K948" s="4">
        <f>Thiet_ke!$B$3*I948+J948</f>
        <v>3152.169252163905</v>
      </c>
      <c r="L948" s="4">
        <f>(H948-J948)/Thiet_ke!$B$3</f>
        <v>0.028616739778529906</v>
      </c>
      <c r="M948" s="4">
        <f>1.05+0.05*B948^2</f>
        <v>1.1</v>
      </c>
      <c r="N948" s="4">
        <f>(MIN(H948,Thiet_ke!$B$16)-K948)/(Thiet_ke!$B$2*M948)</f>
        <v>0.07246117113386034</v>
      </c>
      <c r="O948" s="4">
        <f>IF(N948&gt;0,1/N948,"")</f>
        <v>13.80049458699282</v>
      </c>
    </row>
    <row r="949" spans="1:15">
      <c r="A949">
        <v>5</v>
      </c>
      <c r="B949" s="4">
        <f>Thiet_ke!$B$24</f>
        <v>1.0</v>
      </c>
      <c r="C949" s="4">
        <f>Dau_vao!$B$21+(Dau_vao!$B$19-Dau_vao!$B$21)*143/200</f>
        <v>2087.0</v>
      </c>
      <c r="D949" s="4">
        <f>2*PI()*C949*Thiet_ke!$B$7/(60*Thiet_ke!$B$15*B949)</f>
        <v>23.535731244064575</v>
      </c>
      <c r="E949" s="4">
        <f>D949*3.6</f>
        <v>84.72863247863248</v>
      </c>
      <c r="F949" s="4">
        <f>Thiet_ke!$B$12*(Dau_vao!$B$22*(C949/Dau_vao!$B$19)+Dau_vao!$B$23*(C949/Dau_vao!$B$19)^2-Dau_vao!$B$24*(C949/Dau_vao!$B$19)^3)</f>
        <v>99.53406733816198</v>
      </c>
      <c r="G949" s="4">
        <f>60000*F949/(2*PI()*C949)</f>
        <v>455.42900305443357</v>
      </c>
      <c r="H949" s="4">
        <f>G949*Thiet_ke!$B$15*B949*Dau_vao!$B$10/Thiet_ke!$B$7</f>
        <v>3763.86520615561</v>
      </c>
      <c r="I949" s="4">
        <f>IF(D949&lt;=Dau_vao!$B$14,Dau_vao!$B$13,Dau_vao!$B$13*(1+D949^2/1500))</f>
        <v>0.020539306451928377</v>
      </c>
      <c r="J949" s="4">
        <f>Thiet_ke!$B$8*D949^2</f>
        <v>1620.2471371890497</v>
      </c>
      <c r="K949" s="4">
        <f>Thiet_ke!$B$3*I949+J949</f>
        <v>3169.7098226854296</v>
      </c>
      <c r="L949" s="4">
        <f>(H949-J949)/Thiet_ke!$B$3</f>
        <v>0.028415287987584123</v>
      </c>
      <c r="M949" s="4">
        <f>1.05+0.05*B949^2</f>
        <v>1.1</v>
      </c>
      <c r="N949" s="4">
        <f>(MIN(H949,Thiet_ke!$B$16)-K949)/(Thiet_ke!$B$2*M949)</f>
        <v>0.0702394353316208</v>
      </c>
      <c r="O949" s="4">
        <f>IF(N949&gt;0,1/N949,"")</f>
        <v>14.237016503317676</v>
      </c>
    </row>
    <row r="950" spans="1:15">
      <c r="A950">
        <v>5</v>
      </c>
      <c r="B950" s="4">
        <f>Thiet_ke!$B$24</f>
        <v>1.0</v>
      </c>
      <c r="C950" s="4">
        <f>Dau_vao!$B$21+(Dau_vao!$B$19-Dau_vao!$B$21)*144/200</f>
        <v>2096.0</v>
      </c>
      <c r="D950" s="4">
        <f>2*PI()*C950*Thiet_ke!$B$7/(60*Thiet_ke!$B$15*B950)</f>
        <v>23.637226970560302</v>
      </c>
      <c r="E950" s="4">
        <f>D950*3.6</f>
        <v>85.09401709401709</v>
      </c>
      <c r="F950" s="4">
        <f>Thiet_ke!$B$12*(Dau_vao!$B$22*(C950/Dau_vao!$B$19)+Dau_vao!$B$23*(C950/Dau_vao!$B$19)^2-Dau_vao!$B$24*(C950/Dau_vao!$B$19)^3)</f>
        <v>99.92775801108345</v>
      </c>
      <c r="G950" s="4">
        <f>60000*F950/(2*PI()*C950)</f>
        <v>455.26707937656516</v>
      </c>
      <c r="H950" s="4">
        <f>G950*Thiet_ke!$B$15*B950*Dau_vao!$B$10/Thiet_ke!$B$7</f>
        <v>3762.5269978002043</v>
      </c>
      <c r="I950" s="4">
        <f>IF(D950&lt;=Dau_vao!$B$14,Dau_vao!$B$13,Dau_vao!$B$13*(1+D950^2/1500))</f>
        <v>0.020587184988577832</v>
      </c>
      <c r="J950" s="4">
        <f>Thiet_ke!$B$8*D950^2</f>
        <v>1634.2516091590167</v>
      </c>
      <c r="K950" s="4">
        <f>Thiet_ke!$B$3*I950+J950</f>
        <v>3187.3261987938413</v>
      </c>
      <c r="L950" s="4">
        <f>(H950-J950)/Thiet_ke!$B$3</f>
        <v>0.02821190908988847</v>
      </c>
      <c r="M950" s="4">
        <f>1.05+0.05*B950^2</f>
        <v>1.1</v>
      </c>
      <c r="N950" s="4">
        <f>(MIN(H950,Thiet_ke!$B$16)-K950)/(Thiet_ke!$B$2*M950)</f>
        <v>0.06799867584896123</v>
      </c>
      <c r="O950" s="4">
        <f>IF(N950&gt;0,1/N950,"")</f>
        <v>14.706168723361637</v>
      </c>
    </row>
    <row r="951" spans="1:15">
      <c r="A951">
        <v>5</v>
      </c>
      <c r="B951" s="4">
        <f>Thiet_ke!$B$24</f>
        <v>1.0</v>
      </c>
      <c r="C951" s="4">
        <f>Dau_vao!$B$21+(Dau_vao!$B$19-Dau_vao!$B$21)*145/200</f>
        <v>2105.0</v>
      </c>
      <c r="D951" s="4">
        <f>2*PI()*C951*Thiet_ke!$B$7/(60*Thiet_ke!$B$15*B951)</f>
        <v>23.738722697056026</v>
      </c>
      <c r="E951" s="4">
        <f>D951*3.6</f>
        <v>85.4594017094017</v>
      </c>
      <c r="F951" s="4">
        <f>Thiet_ke!$B$12*(Dau_vao!$B$22*(C951/Dau_vao!$B$19)+Dau_vao!$B$23*(C951/Dau_vao!$B$19)^2-Dau_vao!$B$24*(C951/Dau_vao!$B$19)^3)</f>
        <v>100.31887319695994</v>
      </c>
      <c r="G951" s="4">
        <f>60000*F951/(2*PI()*C951)</f>
        <v>455.0948566661822</v>
      </c>
      <c r="H951" s="4">
        <f>G951*Thiet_ke!$B$15*B951*Dau_vao!$B$10/Thiet_ke!$B$7</f>
        <v>3761.1036737190125</v>
      </c>
      <c r="I951" s="4">
        <f>IF(D951&lt;=Dau_vao!$B$14,Dau_vao!$B$13,Dau_vao!$B$13*(1+D951^2/1500))</f>
        <v>0.020635269552877228</v>
      </c>
      <c r="J951" s="4">
        <f>Thiet_ke!$B$8*D951^2</f>
        <v>1648.3163442165896</v>
      </c>
      <c r="K951" s="4">
        <f>Thiet_ke!$B$3*I951+J951</f>
        <v>3205.0183804891394</v>
      </c>
      <c r="L951" s="4">
        <f>(H951-J951)/Thiet_ke!$B$3</f>
        <v>0.028006603085442956</v>
      </c>
      <c r="M951" s="4">
        <f>1.05+0.05*B951^2</f>
        <v>1.1</v>
      </c>
      <c r="N951" s="4">
        <f>(MIN(H951,Thiet_ke!$B$16)-K951)/(Thiet_ke!$B$2*M951)</f>
        <v>0.06573889268588168</v>
      </c>
      <c r="O951" s="4">
        <f>IF(N951&gt;0,1/N951,"")</f>
        <v>15.211695225507862</v>
      </c>
    </row>
    <row r="952" spans="1:15">
      <c r="A952">
        <v>5</v>
      </c>
      <c r="B952" s="4">
        <f>Thiet_ke!$B$24</f>
        <v>1.0</v>
      </c>
      <c r="C952" s="4">
        <f>Dau_vao!$B$21+(Dau_vao!$B$19-Dau_vao!$B$21)*146/200</f>
        <v>2114.0</v>
      </c>
      <c r="D952" s="4">
        <f>2*PI()*C952*Thiet_ke!$B$7/(60*Thiet_ke!$B$15*B952)</f>
        <v>23.840218423551757</v>
      </c>
      <c r="E952" s="4">
        <f>D952*3.6</f>
        <v>85.82478632478633</v>
      </c>
      <c r="F952" s="4">
        <f>Thiet_ke!$B$12*(Dau_vao!$B$22*(C952/Dau_vao!$B$19)+Dau_vao!$B$23*(C952/Dau_vao!$B$19)^2-Dau_vao!$B$24*(C952/Dau_vao!$B$19)^3)</f>
        <v>100.70738377596304</v>
      </c>
      <c r="G952" s="4">
        <f>60000*F952/(2*PI()*C952)</f>
        <v>454.9123349232846</v>
      </c>
      <c r="H952" s="4">
        <f>G952*Thiet_ke!$B$15*B952*Dau_vao!$B$10/Thiet_ke!$B$7</f>
        <v>3759.5952339120377</v>
      </c>
      <c r="I952" s="4">
        <f>IF(D952&lt;=Dau_vao!$B$14,Dau_vao!$B$13,Dau_vao!$B$13*(1+D952^2/1500))</f>
        <v>0.020683560144826564</v>
      </c>
      <c r="J952" s="4">
        <f>Thiet_ke!$B$8*D952^2</f>
        <v>1662.4413423617707</v>
      </c>
      <c r="K952" s="4">
        <f>Thiet_ke!$B$3*I952+J952</f>
        <v>3222.7863677713276</v>
      </c>
      <c r="L952" s="4">
        <f>(H952-J952)/Thiet_ke!$B$3</f>
        <v>0.027799369974247593</v>
      </c>
      <c r="M952" s="4">
        <f>1.05+0.05*B952^2</f>
        <v>1.1</v>
      </c>
      <c r="N952" s="4">
        <f>(MIN(H952,Thiet_ke!$B$16)-K952)/(Thiet_ke!$B$2*M952)</f>
        <v>0.06346008584238208</v>
      </c>
      <c r="O952" s="4">
        <f>IF(N952&gt;0,1/N952,"")</f>
        <v>15.757936452902587</v>
      </c>
    </row>
    <row r="953" spans="1:15">
      <c r="A953">
        <v>5</v>
      </c>
      <c r="B953" s="4">
        <f>Thiet_ke!$B$24</f>
        <v>1.0</v>
      </c>
      <c r="C953" s="4">
        <f>Dau_vao!$B$21+(Dau_vao!$B$19-Dau_vao!$B$21)*147/200</f>
        <v>2123.0</v>
      </c>
      <c r="D953" s="4">
        <f>2*PI()*C953*Thiet_ke!$B$7/(60*Thiet_ke!$B$15*B953)</f>
        <v>23.941714150047485</v>
      </c>
      <c r="E953" s="4">
        <f>D953*3.6</f>
        <v>86.19017094017094</v>
      </c>
      <c r="F953" s="4">
        <f>Thiet_ke!$B$12*(Dau_vao!$B$22*(C953/Dau_vao!$B$19)+Dau_vao!$B$23*(C953/Dau_vao!$B$19)^2-Dau_vao!$B$24*(C953/Dau_vao!$B$19)^3)</f>
        <v>101.09326062826435</v>
      </c>
      <c r="G953" s="4">
        <f>60000*F953/(2*PI()*C953)</f>
        <v>454.71951414787253</v>
      </c>
      <c r="H953" s="4">
        <f>G953*Thiet_ke!$B$15*B953*Dau_vao!$B$10/Thiet_ke!$B$7</f>
        <v>3758.001678379275</v>
      </c>
      <c r="I953" s="4">
        <f>IF(D953&lt;=Dau_vao!$B$14,Dau_vao!$B$13,Dau_vao!$B$13*(1+D953^2/1500))</f>
        <v>0.020732056764425837</v>
      </c>
      <c r="J953" s="4">
        <f>Thiet_ke!$B$8*D953^2</f>
        <v>1676.6266035945582</v>
      </c>
      <c r="K953" s="4">
        <f>Thiet_ke!$B$3*I953+J953</f>
        <v>3240.6301606404027</v>
      </c>
      <c r="L953" s="4">
        <f>(H953-J953)/Thiet_ke!$B$3</f>
        <v>0.027590209756302338</v>
      </c>
      <c r="M953" s="4">
        <f>1.05+0.05*B953^2</f>
        <v>1.1</v>
      </c>
      <c r="N953" s="4">
        <f>(MIN(H953,Thiet_ke!$B$16)-K953)/(Thiet_ke!$B$2*M953)</f>
        <v>0.06116225531846225</v>
      </c>
      <c r="O953" s="4">
        <f>IF(N953&gt;0,1/N953,"")</f>
        <v>16.349953002765467</v>
      </c>
    </row>
    <row r="954" spans="1:15">
      <c r="A954">
        <v>5</v>
      </c>
      <c r="B954" s="4">
        <f>Thiet_ke!$B$24</f>
        <v>1.0</v>
      </c>
      <c r="C954" s="4">
        <f>Dau_vao!$B$21+(Dau_vao!$B$19-Dau_vao!$B$21)*148/200</f>
        <v>2132.0</v>
      </c>
      <c r="D954" s="4">
        <f>2*PI()*C954*Thiet_ke!$B$7/(60*Thiet_ke!$B$15*B954)</f>
        <v>24.04320987654321</v>
      </c>
      <c r="E954" s="4">
        <f>D954*3.6</f>
        <v>86.55555555555556</v>
      </c>
      <c r="F954" s="4">
        <f>Thiet_ke!$B$12*(Dau_vao!$B$22*(C954/Dau_vao!$B$19)+Dau_vao!$B$23*(C954/Dau_vao!$B$19)^2-Dau_vao!$B$24*(C954/Dau_vao!$B$19)^3)</f>
        <v>101.47647463403544</v>
      </c>
      <c r="G954" s="4">
        <f>60000*F954/(2*PI()*C954)</f>
        <v>454.51639433994575</v>
      </c>
      <c r="H954" s="4">
        <f>G954*Thiet_ke!$B$15*B954*Dau_vao!$B$10/Thiet_ke!$B$7</f>
        <v>3756.3230071207267</v>
      </c>
      <c r="I954" s="4">
        <f>IF(D954&lt;=Dau_vao!$B$14,Dau_vao!$B$13,Dau_vao!$B$13*(1+D954^2/1500))</f>
        <v>0.020780759411675048</v>
      </c>
      <c r="J954" s="4">
        <f>Thiet_ke!$B$8*D954^2</f>
        <v>1690.872127914952</v>
      </c>
      <c r="K954" s="4">
        <f>Thiet_ke!$B$3*I954+J954</f>
        <v>3258.549759096365</v>
      </c>
      <c r="L954" s="4">
        <f>(H954-J954)/Thiet_ke!$B$3</f>
        <v>0.02737912243160723</v>
      </c>
      <c r="M954" s="4">
        <f>1.05+0.05*B954^2</f>
        <v>1.1</v>
      </c>
      <c r="N954" s="4">
        <f>(MIN(H954,Thiet_ke!$B$16)-K954)/(Thiet_ke!$B$2*M954)</f>
        <v>0.05884540111412244</v>
      </c>
      <c r="O954" s="4">
        <f>IF(N954&gt;0,1/N954,"")</f>
        <v>16.99368142738359</v>
      </c>
    </row>
    <row r="955" spans="1:15">
      <c r="A955">
        <v>5</v>
      </c>
      <c r="B955" s="4">
        <f>Thiet_ke!$B$24</f>
        <v>1.0</v>
      </c>
      <c r="C955" s="4">
        <f>Dau_vao!$B$21+(Dau_vao!$B$19-Dau_vao!$B$21)*149/200</f>
        <v>2141.0</v>
      </c>
      <c r="D955" s="4">
        <f>2*PI()*C955*Thiet_ke!$B$7/(60*Thiet_ke!$B$15*B955)</f>
        <v>24.144705603038936</v>
      </c>
      <c r="E955" s="4">
        <f>D955*3.6</f>
        <v>86.92094017094017</v>
      </c>
      <c r="F955" s="4">
        <f>Thiet_ke!$B$12*(Dau_vao!$B$22*(C955/Dau_vao!$B$19)+Dau_vao!$B$23*(C955/Dau_vao!$B$19)^2-Dau_vao!$B$24*(C955/Dau_vao!$B$19)^3)</f>
        <v>101.85699667344795</v>
      </c>
      <c r="G955" s="4">
        <f>60000*F955/(2*PI()*C955)</f>
        <v>454.30297549950444</v>
      </c>
      <c r="H955" s="4">
        <f>G955*Thiet_ke!$B$15*B955*Dau_vao!$B$10/Thiet_ke!$B$7</f>
        <v>3754.5592201363934</v>
      </c>
      <c r="I955" s="4">
        <f>IF(D955&lt;=Dau_vao!$B$14,Dau_vao!$B$13,Dau_vao!$B$13*(1+D955^2/1500))</f>
        <v>0.0208296680865742</v>
      </c>
      <c r="J955" s="4">
        <f>Thiet_ke!$B$8*D955^2</f>
        <v>1705.1779153229531</v>
      </c>
      <c r="K955" s="4">
        <f>Thiet_ke!$B$3*I955+J955</f>
        <v>3276.5451631392157</v>
      </c>
      <c r="L955" s="4">
        <f>(H955-J955)/Thiet_ke!$B$3</f>
        <v>0.02716610800016225</v>
      </c>
      <c r="M955" s="4">
        <f>1.05+0.05*B955^2</f>
        <v>1.1</v>
      </c>
      <c r="N955" s="4">
        <f>(MIN(H955,Thiet_ke!$B$16)-K955)/(Thiet_ke!$B$2*M955)</f>
        <v>0.056509523229362535</v>
      </c>
      <c r="O955" s="4">
        <f>IF(N955&gt;0,1/N955,"")</f>
        <v>17.69613231279921</v>
      </c>
    </row>
    <row r="956" spans="1:15">
      <c r="A956">
        <v>5</v>
      </c>
      <c r="B956" s="4">
        <f>Thiet_ke!$B$24</f>
        <v>1.0</v>
      </c>
      <c r="C956" s="4">
        <f>Dau_vao!$B$21+(Dau_vao!$B$19-Dau_vao!$B$21)*150/200</f>
        <v>2150.0</v>
      </c>
      <c r="D956" s="4">
        <f>2*PI()*C956*Thiet_ke!$B$7/(60*Thiet_ke!$B$15*B956)</f>
        <v>24.246201329534664</v>
      </c>
      <c r="E956" s="4">
        <f>D956*3.6</f>
        <v>87.2863247863248</v>
      </c>
      <c r="F956" s="4">
        <f>Thiet_ke!$B$12*(Dau_vao!$B$22*(C956/Dau_vao!$B$19)+Dau_vao!$B$23*(C956/Dau_vao!$B$19)^2-Dau_vao!$B$24*(C956/Dau_vao!$B$19)^3)</f>
        <v>102.23479762667348</v>
      </c>
      <c r="G956" s="4">
        <f>60000*F956/(2*PI()*C956)</f>
        <v>454.0792576265485</v>
      </c>
      <c r="H956" s="4">
        <f>G956*Thiet_ke!$B$15*B956*Dau_vao!$B$10/Thiet_ke!$B$7</f>
        <v>3752.710317426275</v>
      </c>
      <c r="I956" s="4">
        <f>IF(D956&lt;=Dau_vao!$B$14,Dau_vao!$B$13,Dau_vao!$B$13*(1+D956^2/1500))</f>
        <v>0.020878782789123286</v>
      </c>
      <c r="J956" s="4">
        <f>Thiet_ke!$B$8*D956^2</f>
        <v>1719.543965818561</v>
      </c>
      <c r="K956" s="4">
        <f>Thiet_ke!$B$3*I956+J956</f>
        <v>3294.6163727689536</v>
      </c>
      <c r="L956" s="4">
        <f>(H956-J956)/Thiet_ke!$B$3</f>
        <v>0.02695116646196742</v>
      </c>
      <c r="M956" s="4">
        <f>1.05+0.05*B956^2</f>
        <v>1.1</v>
      </c>
      <c r="N956" s="4">
        <f>(MIN(H956,Thiet_ke!$B$16)-K956)/(Thiet_ke!$B$2*M956)</f>
        <v>0.054154621664182716</v>
      </c>
      <c r="O956" s="4">
        <f>IF(N956&gt;0,1/N956,"")</f>
        <v>18.465644653582526</v>
      </c>
    </row>
    <row r="957" spans="1:15">
      <c r="A957">
        <v>5</v>
      </c>
      <c r="B957" s="4">
        <f>Thiet_ke!$B$24</f>
        <v>1.0</v>
      </c>
      <c r="C957" s="4">
        <f>Dau_vao!$B$21+(Dau_vao!$B$19-Dau_vao!$B$21)*151/200</f>
        <v>2159.0</v>
      </c>
      <c r="D957" s="4">
        <f>2*PI()*C957*Thiet_ke!$B$7/(60*Thiet_ke!$B$15*B957)</f>
        <v>24.347697056030388</v>
      </c>
      <c r="E957" s="4">
        <f>D957*3.6</f>
        <v>87.6517094017094</v>
      </c>
      <c r="F957" s="4">
        <f>Thiet_ke!$B$12*(Dau_vao!$B$22*(C957/Dau_vao!$B$19)+Dau_vao!$B$23*(C957/Dau_vao!$B$19)^2-Dau_vao!$B$24*(C957/Dau_vao!$B$19)^3)</f>
        <v>102.60984837388361</v>
      </c>
      <c r="G957" s="4">
        <f>60000*F957/(2*PI()*C957)</f>
        <v>453.84524072107797</v>
      </c>
      <c r="H957" s="4">
        <f>G957*Thiet_ke!$B$15*B957*Dau_vao!$B$10/Thiet_ke!$B$7</f>
        <v>3750.776298990371</v>
      </c>
      <c r="I957" s="4">
        <f>IF(D957&lt;=Dau_vao!$B$14,Dau_vao!$B$13,Dau_vao!$B$13*(1+D957^2/1500))</f>
        <v>0.020928103519322307</v>
      </c>
      <c r="J957" s="4">
        <f>Thiet_ke!$B$8*D957^2</f>
        <v>1733.9702794017753</v>
      </c>
      <c r="K957" s="4">
        <f>Thiet_ke!$B$3*I957+J957</f>
        <v>3312.7633879855794</v>
      </c>
      <c r="L957" s="4">
        <f>(H957-J957)/Thiet_ke!$B$3</f>
        <v>0.02673429781702272</v>
      </c>
      <c r="M957" s="4">
        <f>1.05+0.05*B957^2</f>
        <v>1.1</v>
      </c>
      <c r="N957" s="4">
        <f>(MIN(H957,Thiet_ke!$B$16)-K957)/(Thiet_ke!$B$2*M957)</f>
        <v>0.051780696418582746</v>
      </c>
      <c r="O957" s="4">
        <f>IF(N957&gt;0,1/N957,"")</f>
        <v>19.312216118459272</v>
      </c>
    </row>
    <row r="958" spans="1:15">
      <c r="A958">
        <v>5</v>
      </c>
      <c r="B958" s="4">
        <f>Thiet_ke!$B$24</f>
        <v>1.0</v>
      </c>
      <c r="C958" s="4">
        <f>Dau_vao!$B$21+(Dau_vao!$B$19-Dau_vao!$B$21)*152/200</f>
        <v>2168.0</v>
      </c>
      <c r="D958" s="4">
        <f>2*PI()*C958*Thiet_ke!$B$7/(60*Thiet_ke!$B$15*B958)</f>
        <v>24.449192782526115</v>
      </c>
      <c r="E958" s="4">
        <f>D958*3.6</f>
        <v>88.01709401709401</v>
      </c>
      <c r="F958" s="4">
        <f>Thiet_ke!$B$12*(Dau_vao!$B$22*(C958/Dau_vao!$B$19)+Dau_vao!$B$23*(C958/Dau_vao!$B$19)^2-Dau_vao!$B$24*(C958/Dau_vao!$B$19)^3)</f>
        <v>102.98211979524993</v>
      </c>
      <c r="G958" s="4">
        <f>60000*F958/(2*PI()*C958)</f>
        <v>453.6009247830928</v>
      </c>
      <c r="H958" s="4">
        <f>G958*Thiet_ke!$B$15*B958*Dau_vao!$B$10/Thiet_ke!$B$7</f>
        <v>3748.757164828681</v>
      </c>
      <c r="I958" s="4">
        <f>IF(D958&lt;=Dau_vao!$B$14,Dau_vao!$B$13,Dau_vao!$B$13*(1+D958^2/1500))</f>
        <v>0.020977630277171273</v>
      </c>
      <c r="J958" s="4">
        <f>Thiet_ke!$B$8*D958^2</f>
        <v>1748.456856072597</v>
      </c>
      <c r="K958" s="4">
        <f>Thiet_ke!$B$3*I958+J958</f>
        <v>3330.9862087890933</v>
      </c>
      <c r="L958" s="4">
        <f>(H958-J958)/Thiet_ke!$B$3</f>
        <v>0.026515502065328152</v>
      </c>
      <c r="M958" s="4">
        <f>1.05+0.05*B958^2</f>
        <v>1.1</v>
      </c>
      <c r="N958" s="4">
        <f>(MIN(H958,Thiet_ke!$B$16)-K958)/(Thiet_ke!$B$2*M958)</f>
        <v>0.0493877474925627</v>
      </c>
      <c r="O958" s="4">
        <f>IF(N958&gt;0,1/N958,"")</f>
        <v>20.24793700402291</v>
      </c>
    </row>
    <row r="959" spans="1:15">
      <c r="A959">
        <v>5</v>
      </c>
      <c r="B959" s="4">
        <f>Thiet_ke!$B$24</f>
        <v>1.0</v>
      </c>
      <c r="C959" s="4">
        <f>Dau_vao!$B$21+(Dau_vao!$B$19-Dau_vao!$B$21)*153/200</f>
        <v>2177.0</v>
      </c>
      <c r="D959" s="4">
        <f>2*PI()*C959*Thiet_ke!$B$7/(60*Thiet_ke!$B$15*B959)</f>
        <v>24.55068850902184</v>
      </c>
      <c r="E959" s="4">
        <f>D959*3.6</f>
        <v>88.38247863247862</v>
      </c>
      <c r="F959" s="4">
        <f>Thiet_ke!$B$12*(Dau_vao!$B$22*(C959/Dau_vao!$B$19)+Dau_vao!$B$23*(C959/Dau_vao!$B$19)^2-Dau_vao!$B$24*(C959/Dau_vao!$B$19)^3)</f>
        <v>103.35158277094412</v>
      </c>
      <c r="G959" s="4">
        <f>60000*F959/(2*PI()*C959)</f>
        <v>453.3463098125932</v>
      </c>
      <c r="H959" s="4">
        <f>G959*Thiet_ke!$B$15*B959*Dau_vao!$B$10/Thiet_ke!$B$7</f>
        <v>3746.6529149412063</v>
      </c>
      <c r="I959" s="4">
        <f>IF(D959&lt;=Dau_vao!$B$14,Dau_vao!$B$13,Dau_vao!$B$13*(1+D959^2/1500))</f>
        <v>0.021027363062670168</v>
      </c>
      <c r="J959" s="4">
        <f>Thiet_ke!$B$8*D959^2</f>
        <v>1763.0036958310247</v>
      </c>
      <c r="K959" s="4">
        <f>Thiet_ke!$B$3*I959+J959</f>
        <v>3349.2848351794937</v>
      </c>
      <c r="L959" s="4">
        <f>(H959-J959)/Thiet_ke!$B$3</f>
        <v>0.026294779206883733</v>
      </c>
      <c r="M959" s="4">
        <f>1.05+0.05*B959^2</f>
        <v>1.1</v>
      </c>
      <c r="N959" s="4">
        <f>(MIN(H959,Thiet_ke!$B$16)-K959)/(Thiet_ke!$B$2*M959)</f>
        <v>0.04697577488612278</v>
      </c>
      <c r="O959" s="4">
        <f>IF(N959&gt;0,1/N959,"")</f>
        <v>21.2875679522939</v>
      </c>
    </row>
    <row r="960" spans="1:15">
      <c r="A960">
        <v>5</v>
      </c>
      <c r="B960" s="4">
        <f>Thiet_ke!$B$24</f>
        <v>1.0</v>
      </c>
      <c r="C960" s="4">
        <f>Dau_vao!$B$21+(Dau_vao!$B$19-Dau_vao!$B$21)*154/200</f>
        <v>2186.0</v>
      </c>
      <c r="D960" s="4">
        <f>2*PI()*C960*Thiet_ke!$B$7/(60*Thiet_ke!$B$15*B960)</f>
        <v>24.652184235517566</v>
      </c>
      <c r="E960" s="4">
        <f>D960*3.6</f>
        <v>88.74786324786324</v>
      </c>
      <c r="F960" s="4">
        <f>Thiet_ke!$B$12*(Dau_vao!$B$22*(C960/Dau_vao!$B$19)+Dau_vao!$B$23*(C960/Dau_vao!$B$19)^2-Dau_vao!$B$24*(C960/Dau_vao!$B$19)^3)</f>
        <v>103.71820818113765</v>
      </c>
      <c r="G960" s="4">
        <f>60000*F960/(2*PI()*C960)</f>
        <v>453.08139580957874</v>
      </c>
      <c r="H960" s="4">
        <f>G960*Thiet_ke!$B$15*B960*Dau_vao!$B$10/Thiet_ke!$B$7</f>
        <v>3744.4635493279447</v>
      </c>
      <c r="I960" s="4">
        <f>IF(D960&lt;=Dau_vao!$B$14,Dau_vao!$B$13,Dau_vao!$B$13*(1+D960^2/1500))</f>
        <v>0.021077301875819007</v>
      </c>
      <c r="J960" s="4">
        <f>Thiet_ke!$B$8*D960^2</f>
        <v>1777.61079867706</v>
      </c>
      <c r="K960" s="4">
        <f>Thiet_ke!$B$3*I960+J960</f>
        <v>3367.659267156783</v>
      </c>
      <c r="L960" s="4">
        <f>(H960-J960)/Thiet_ke!$B$3</f>
        <v>0.026072129241689425</v>
      </c>
      <c r="M960" s="4">
        <f>1.05+0.05*B960^2</f>
        <v>1.1</v>
      </c>
      <c r="N960" s="4">
        <f>(MIN(H960,Thiet_ke!$B$16)-K960)/(Thiet_ke!$B$2*M960)</f>
        <v>0.044544778599262556</v>
      </c>
      <c r="O960" s="4">
        <f>IF(N960&gt;0,1/N960,"")</f>
        <v>22.449320244607865</v>
      </c>
    </row>
    <row r="961" spans="1:15">
      <c r="A961">
        <v>5</v>
      </c>
      <c r="B961" s="4">
        <f>Thiet_ke!$B$24</f>
        <v>1.0</v>
      </c>
      <c r="C961" s="4">
        <f>Dau_vao!$B$21+(Dau_vao!$B$19-Dau_vao!$B$21)*155/200</f>
        <v>2195.0</v>
      </c>
      <c r="D961" s="4">
        <f>2*PI()*C961*Thiet_ke!$B$7/(60*Thiet_ke!$B$15*B961)</f>
        <v>24.753679962013294</v>
      </c>
      <c r="E961" s="4">
        <f>D961*3.6</f>
        <v>89.11324786324786</v>
      </c>
      <c r="F961" s="4">
        <f>Thiet_ke!$B$12*(Dau_vao!$B$22*(C961/Dau_vao!$B$19)+Dau_vao!$B$23*(C961/Dau_vao!$B$19)^2-Dau_vao!$B$24*(C961/Dau_vao!$B$19)^3)</f>
        <v>104.08196690600225</v>
      </c>
      <c r="G961" s="4">
        <f>60000*F961/(2*PI()*C961)</f>
        <v>452.80618277404983</v>
      </c>
      <c r="H961" s="4">
        <f>G961*Thiet_ke!$B$15*B961*Dau_vao!$B$10/Thiet_ke!$B$7</f>
        <v>3742.1890679888984</v>
      </c>
      <c r="I961" s="4">
        <f>IF(D961&lt;=Dau_vao!$B$14,Dau_vao!$B$13,Dau_vao!$B$13*(1+D961^2/1500))</f>
        <v>0.021127446716617784</v>
      </c>
      <c r="J961" s="4">
        <f>Thiet_ke!$B$8*D961^2</f>
        <v>1792.2781646107023</v>
      </c>
      <c r="K961" s="4">
        <f>Thiet_ke!$B$3*I961+J961</f>
        <v>3386.10950472096</v>
      </c>
      <c r="L961" s="4">
        <f>(H961-J961)/Thiet_ke!$B$3</f>
        <v>0.025847552169745262</v>
      </c>
      <c r="M961" s="4">
        <f>1.05+0.05*B961^2</f>
        <v>1.1</v>
      </c>
      <c r="N961" s="4">
        <f>(MIN(H961,Thiet_ke!$B$16)-K961)/(Thiet_ke!$B$2*M961)</f>
        <v>0.0420947586319823</v>
      </c>
      <c r="O961" s="4">
        <f>IF(N961&gt;0,1/N961,"")</f>
        <v>23.755926687752304</v>
      </c>
    </row>
    <row r="962" spans="1:15">
      <c r="A962">
        <v>5</v>
      </c>
      <c r="B962" s="4">
        <f>Thiet_ke!$B$24</f>
        <v>1.0</v>
      </c>
      <c r="C962" s="4">
        <f>Dau_vao!$B$21+(Dau_vao!$B$19-Dau_vao!$B$21)*156/200</f>
        <v>2204.0</v>
      </c>
      <c r="D962" s="4">
        <f>2*PI()*C962*Thiet_ke!$B$7/(60*Thiet_ke!$B$15*B962)</f>
        <v>24.855175688509018</v>
      </c>
      <c r="E962" s="4">
        <f>D962*3.6</f>
        <v>89.47863247863246</v>
      </c>
      <c r="F962" s="4">
        <f>Thiet_ke!$B$12*(Dau_vao!$B$22*(C962/Dau_vao!$B$19)+Dau_vao!$B$23*(C962/Dau_vao!$B$19)^2-Dau_vao!$B$24*(C962/Dau_vao!$B$19)^3)</f>
        <v>104.44282982570947</v>
      </c>
      <c r="G962" s="4">
        <f>60000*F962/(2*PI()*C962)</f>
        <v>452.52067070600634</v>
      </c>
      <c r="H962" s="4">
        <f>G962*Thiet_ke!$B$15*B962*Dau_vao!$B$10/Thiet_ke!$B$7</f>
        <v>3739.8294709240668</v>
      </c>
      <c r="I962" s="4">
        <f>IF(D962&lt;=Dau_vao!$B$14,Dau_vao!$B$13,Dau_vao!$B$13*(1+D962^2/1500))</f>
        <v>0.021177797585066497</v>
      </c>
      <c r="J962" s="4">
        <f>Thiet_ke!$B$8*D962^2</f>
        <v>1807.0057936319506</v>
      </c>
      <c r="K962" s="4">
        <f>Thiet_ke!$B$3*I962+J962</f>
        <v>3404.635547872024</v>
      </c>
      <c r="L962" s="4">
        <f>(H962-J962)/Thiet_ke!$B$3</f>
        <v>0.025621047991051246</v>
      </c>
      <c r="M962" s="4">
        <f>1.05+0.05*B962^2</f>
        <v>1.1</v>
      </c>
      <c r="N962" s="4">
        <f>(MIN(H962,Thiet_ke!$B$16)-K962)/(Thiet_ke!$B$2*M962)</f>
        <v>0.039625714984282176</v>
      </c>
      <c r="O962" s="4">
        <f>IF(N962&gt;0,1/N962,"")</f>
        <v>25.236137704938756</v>
      </c>
    </row>
    <row r="963" spans="1:15">
      <c r="A963">
        <v>5</v>
      </c>
      <c r="B963" s="4">
        <f>Thiet_ke!$B$24</f>
        <v>1.0</v>
      </c>
      <c r="C963" s="4">
        <f>Dau_vao!$B$21+(Dau_vao!$B$19-Dau_vao!$B$21)*157/200</f>
        <v>2213.0</v>
      </c>
      <c r="D963" s="4">
        <f>2*PI()*C963*Thiet_ke!$B$7/(60*Thiet_ke!$B$15*B963)</f>
        <v>24.956671415004745</v>
      </c>
      <c r="E963" s="4">
        <f>D963*3.6</f>
        <v>89.84401709401709</v>
      </c>
      <c r="F963" s="4">
        <f>Thiet_ke!$B$12*(Dau_vao!$B$22*(C963/Dau_vao!$B$19)+Dau_vao!$B$23*(C963/Dau_vao!$B$19)^2-Dau_vao!$B$24*(C963/Dau_vao!$B$19)^3)</f>
        <v>104.80076782043088</v>
      </c>
      <c r="G963" s="4">
        <f>60000*F963/(2*PI()*C963)</f>
        <v>452.22485960544816</v>
      </c>
      <c r="H963" s="4">
        <f>G963*Thiet_ke!$B$15*B963*Dau_vao!$B$10/Thiet_ke!$B$7</f>
        <v>3737.3847581334485</v>
      </c>
      <c r="I963" s="4">
        <f>IF(D963&lt;=Dau_vao!$B$14,Dau_vao!$B$13,Dau_vao!$B$13*(1+D963^2/1500))</f>
        <v>0.021228354481165147</v>
      </c>
      <c r="J963" s="4">
        <f>Thiet_ke!$B$8*D963^2</f>
        <v>1821.7936857408065</v>
      </c>
      <c r="K963" s="4">
        <f>Thiet_ke!$B$3*I963+J963</f>
        <v>3423.237396609976</v>
      </c>
      <c r="L963" s="4">
        <f>(H963-J963)/Thiet_ke!$B$3</f>
        <v>0.025392616705607343</v>
      </c>
      <c r="M963" s="4">
        <f>1.05+0.05*B963^2</f>
        <v>1.1</v>
      </c>
      <c r="N963" s="4">
        <f>(MIN(H963,Thiet_ke!$B$16)-K963)/(Thiet_ke!$B$2*M963)</f>
        <v>0.0371376476561618</v>
      </c>
      <c r="O963" s="4">
        <f>IF(N963&gt;0,1/N963,"")</f>
        <v>26.926853559990683</v>
      </c>
    </row>
    <row r="964" spans="1:15">
      <c r="A964">
        <v>5</v>
      </c>
      <c r="B964" s="4">
        <f>Thiet_ke!$B$24</f>
        <v>1.0</v>
      </c>
      <c r="C964" s="4">
        <f>Dau_vao!$B$21+(Dau_vao!$B$19-Dau_vao!$B$21)*158/200</f>
        <v>2222.0</v>
      </c>
      <c r="D964" s="4">
        <f>2*PI()*C964*Thiet_ke!$B$7/(60*Thiet_ke!$B$15*B964)</f>
        <v>25.058167141500476</v>
      </c>
      <c r="E964" s="4">
        <f>D964*3.6</f>
        <v>90.20940170940172</v>
      </c>
      <c r="F964" s="4">
        <f>Thiet_ke!$B$12*(Dau_vao!$B$22*(C964/Dau_vao!$B$19)+Dau_vao!$B$23*(C964/Dau_vao!$B$19)^2-Dau_vao!$B$24*(C964/Dau_vao!$B$19)^3)</f>
        <v>105.15575177033813</v>
      </c>
      <c r="G964" s="4">
        <f>60000*F964/(2*PI()*C964)</f>
        <v>451.9187494723755</v>
      </c>
      <c r="H964" s="4">
        <f>G964*Thiet_ke!$B$15*B964*Dau_vao!$B$10/Thiet_ke!$B$7</f>
        <v>3734.8549296170468</v>
      </c>
      <c r="I964" s="4">
        <f>IF(D964&lt;=Dau_vao!$B$14,Dau_vao!$B$13,Dau_vao!$B$13*(1+D964^2/1500))</f>
        <v>0.02127911740491374</v>
      </c>
      <c r="J964" s="4">
        <f>Thiet_ke!$B$8*D964^2</f>
        <v>1836.6418409372698</v>
      </c>
      <c r="K964" s="4">
        <f>Thiet_ke!$B$3*I964+J964</f>
        <v>3441.9150509348174</v>
      </c>
      <c r="L964" s="4">
        <f>(H964-J964)/Thiet_ke!$B$3</f>
        <v>0.025162258313413594</v>
      </c>
      <c r="M964" s="4">
        <f>1.05+0.05*B964^2</f>
        <v>1.1</v>
      </c>
      <c r="N964" s="4">
        <f>(MIN(H964,Thiet_ke!$B$16)-K964)/(Thiet_ke!$B$2*M964)</f>
        <v>0.034630556647621394</v>
      </c>
      <c r="O964" s="4">
        <f>IF(N964&gt;0,1/N964,"")</f>
        <v>28.876232345190594</v>
      </c>
    </row>
    <row r="965" spans="1:15">
      <c r="A965">
        <v>5</v>
      </c>
      <c r="B965" s="4">
        <f>Thiet_ke!$B$24</f>
        <v>1.0</v>
      </c>
      <c r="C965" s="4">
        <f>Dau_vao!$B$21+(Dau_vao!$B$19-Dau_vao!$B$21)*159/200</f>
        <v>2231.0</v>
      </c>
      <c r="D965" s="4">
        <f>2*PI()*C965*Thiet_ke!$B$7/(60*Thiet_ke!$B$15*B965)</f>
        <v>25.159662867996204</v>
      </c>
      <c r="E965" s="4">
        <f>D965*3.6</f>
        <v>90.57478632478633</v>
      </c>
      <c r="F965" s="4">
        <f>Thiet_ke!$B$12*(Dau_vao!$B$22*(C965/Dau_vao!$B$19)+Dau_vao!$B$23*(C965/Dau_vao!$B$19)^2-Dau_vao!$B$24*(C965/Dau_vao!$B$19)^3)</f>
        <v>105.5077525556028</v>
      </c>
      <c r="G965" s="4">
        <f>60000*F965/(2*PI()*C965)</f>
        <v>451.60234030678816</v>
      </c>
      <c r="H965" s="4">
        <f>G965*Thiet_ke!$B$15*B965*Dau_vao!$B$10/Thiet_ke!$B$7</f>
        <v>3732.239985374858</v>
      </c>
      <c r="I965" s="4">
        <f>IF(D965&lt;=Dau_vao!$B$14,Dau_vao!$B$13,Dau_vao!$B$13*(1+D965^2/1500))</f>
        <v>0.02133008635631227</v>
      </c>
      <c r="J965" s="4">
        <f>Thiet_ke!$B$8*D965^2</f>
        <v>1851.550259221339</v>
      </c>
      <c r="K965" s="4">
        <f>Thiet_ke!$B$3*I965+J965</f>
        <v>3460.668510846545</v>
      </c>
      <c r="L965" s="4">
        <f>(H965-J965)/Thiet_ke!$B$3</f>
        <v>0.024929972814469972</v>
      </c>
      <c r="M965" s="4">
        <f>1.05+0.05*B965^2</f>
        <v>1.1</v>
      </c>
      <c r="N965" s="4">
        <f>(MIN(H965,Thiet_ke!$B$16)-K965)/(Thiet_ke!$B$2*M965)</f>
        <v>0.03210444195866096</v>
      </c>
      <c r="O965" s="4">
        <f>IF(N965&gt;0,1/N965,"")</f>
        <v>31.14833770627885</v>
      </c>
    </row>
    <row r="966" spans="1:15">
      <c r="A966">
        <v>5</v>
      </c>
      <c r="B966" s="4">
        <f>Thiet_ke!$B$24</f>
        <v>1.0</v>
      </c>
      <c r="C966" s="4">
        <f>Dau_vao!$B$21+(Dau_vao!$B$19-Dau_vao!$B$21)*160/200</f>
        <v>2240.0</v>
      </c>
      <c r="D966" s="4">
        <f>2*PI()*C966*Thiet_ke!$B$7/(60*Thiet_ke!$B$15*B966)</f>
        <v>25.261158594491928</v>
      </c>
      <c r="E966" s="4">
        <f>D966*3.6</f>
        <v>90.94017094017094</v>
      </c>
      <c r="F966" s="4">
        <f>Thiet_ke!$B$12*(Dau_vao!$B$22*(C966/Dau_vao!$B$19)+Dau_vao!$B$23*(C966/Dau_vao!$B$19)^2-Dau_vao!$B$24*(C966/Dau_vao!$B$19)^3)</f>
        <v>105.85674105639652</v>
      </c>
      <c r="G966" s="4">
        <f>60000*F966/(2*PI()*C966)</f>
        <v>451.2756321086863</v>
      </c>
      <c r="H966" s="4">
        <f>G966*Thiet_ke!$B$15*B966*Dau_vao!$B$10/Thiet_ke!$B$7</f>
        <v>3729.5399254068843</v>
      </c>
      <c r="I966" s="4">
        <f>IF(D966&lt;=Dau_vao!$B$14,Dau_vao!$B$13,Dau_vao!$B$13*(1+D966^2/1500))</f>
        <v>0.021381261335360734</v>
      </c>
      <c r="J966" s="4">
        <f>Thiet_ke!$B$8*D966^2</f>
        <v>1866.518940593015</v>
      </c>
      <c r="K966" s="4">
        <f>Thiet_ke!$B$3*I966+J966</f>
        <v>3479.49777634516</v>
      </c>
      <c r="L966" s="4">
        <f>(H966-J966)/Thiet_ke!$B$3</f>
        <v>0.024695760208776493</v>
      </c>
      <c r="M966" s="4">
        <f>1.05+0.05*B966^2</f>
        <v>1.1</v>
      </c>
      <c r="N966" s="4">
        <f>(MIN(H966,Thiet_ke!$B$16)-K966)/(Thiet_ke!$B$2*M966)</f>
        <v>0.029559303589280543</v>
      </c>
      <c r="O966" s="4">
        <f>IF(N966&gt;0,1/N966,"")</f>
        <v>33.83029633900585</v>
      </c>
    </row>
    <row r="967" spans="1:15">
      <c r="A967">
        <v>5</v>
      </c>
      <c r="B967" s="4">
        <f>Thiet_ke!$B$24</f>
        <v>1.0</v>
      </c>
      <c r="C967" s="4">
        <f>Dau_vao!$B$21+(Dau_vao!$B$19-Dau_vao!$B$21)*161/200</f>
        <v>2249.0</v>
      </c>
      <c r="D967" s="4">
        <f>2*PI()*C967*Thiet_ke!$B$7/(60*Thiet_ke!$B$15*B967)</f>
        <v>25.362654320987655</v>
      </c>
      <c r="E967" s="4">
        <f>D967*3.6</f>
        <v>91.30555555555556</v>
      </c>
      <c r="F967" s="4">
        <f>Thiet_ke!$B$12*(Dau_vao!$B$22*(C967/Dau_vao!$B$19)+Dau_vao!$B$23*(C967/Dau_vao!$B$19)^2-Dau_vao!$B$24*(C967/Dau_vao!$B$19)^3)</f>
        <v>106.20268815289084</v>
      </c>
      <c r="G967" s="4">
        <f>60000*F967/(2*PI()*C967)</f>
        <v>450.9386248780698</v>
      </c>
      <c r="H967" s="4">
        <f>G967*Thiet_ke!$B$15*B967*Dau_vao!$B$10/Thiet_ke!$B$7</f>
        <v>3726.7547497131245</v>
      </c>
      <c r="I967" s="4">
        <f>IF(D967&lt;=Dau_vao!$B$14,Dau_vao!$B$13,Dau_vao!$B$13*(1+D967^2/1500))</f>
        <v>0.021432642342059136</v>
      </c>
      <c r="J967" s="4">
        <f>Thiet_ke!$B$8*D967^2</f>
        <v>1881.547885052298</v>
      </c>
      <c r="K967" s="4">
        <f>Thiet_ke!$B$3*I967+J967</f>
        <v>3498.4028474306633</v>
      </c>
      <c r="L967" s="4">
        <f>(H967-J967)/Thiet_ke!$B$3</f>
        <v>0.024459620496333143</v>
      </c>
      <c r="M967" s="4">
        <f>1.05+0.05*B967^2</f>
        <v>1.1</v>
      </c>
      <c r="N967" s="4">
        <f>(MIN(H967,Thiet_ke!$B$16)-K967)/(Thiet_ke!$B$2*M967)</f>
        <v>0.026995141539479985</v>
      </c>
      <c r="O967" s="4">
        <f>IF(N967&gt;0,1/N967,"")</f>
        <v>37.04370279138989</v>
      </c>
    </row>
    <row r="968" spans="1:15">
      <c r="A968">
        <v>5</v>
      </c>
      <c r="B968" s="4">
        <f>Thiet_ke!$B$24</f>
        <v>1.0</v>
      </c>
      <c r="C968" s="4">
        <f>Dau_vao!$B$21+(Dau_vao!$B$19-Dau_vao!$B$21)*162/200</f>
        <v>2258.0</v>
      </c>
      <c r="D968" s="4">
        <f>2*PI()*C968*Thiet_ke!$B$7/(60*Thiet_ke!$B$15*B968)</f>
        <v>25.464150047483383</v>
      </c>
      <c r="E968" s="4">
        <f>D968*3.6</f>
        <v>91.67094017094018</v>
      </c>
      <c r="F968" s="4">
        <f>Thiet_ke!$B$12*(Dau_vao!$B$22*(C968/Dau_vao!$B$19)+Dau_vao!$B$23*(C968/Dau_vao!$B$19)^2-Dau_vao!$B$24*(C968/Dau_vao!$B$19)^3)</f>
        <v>106.54556472525739</v>
      </c>
      <c r="G968" s="4">
        <f>60000*F968/(2*PI()*C968)</f>
        <v>450.59131861493864</v>
      </c>
      <c r="H968" s="4">
        <f>G968*Thiet_ke!$B$15*B968*Dau_vao!$B$10/Thiet_ke!$B$7</f>
        <v>3723.8844582935794</v>
      </c>
      <c r="I968" s="4">
        <f>IF(D968&lt;=Dau_vao!$B$14,Dau_vao!$B$13,Dau_vao!$B$13*(1+D968^2/1500))</f>
        <v>0.02148422937640748</v>
      </c>
      <c r="J968" s="4">
        <f>Thiet_ke!$B$8*D968^2</f>
        <v>1896.6370925991878</v>
      </c>
      <c r="K968" s="4">
        <f>Thiet_ke!$B$3*I968+J968</f>
        <v>3517.383724103054</v>
      </c>
      <c r="L968" s="4">
        <f>(H968-J968)/Thiet_ke!$B$3</f>
        <v>0.02422155367713993</v>
      </c>
      <c r="M968" s="4">
        <f>1.05+0.05*B968^2</f>
        <v>1.1</v>
      </c>
      <c r="N968" s="4">
        <f>(MIN(H968,Thiet_ke!$B$16)-K968)/(Thiet_ke!$B$2*M968)</f>
        <v>0.024411955809259398</v>
      </c>
      <c r="O968" s="4">
        <f>IF(N968&gt;0,1/N968,"")</f>
        <v>40.96353474557341</v>
      </c>
    </row>
    <row r="969" spans="1:15">
      <c r="A969">
        <v>5</v>
      </c>
      <c r="B969" s="4">
        <f>Thiet_ke!$B$24</f>
        <v>1.0</v>
      </c>
      <c r="C969" s="4">
        <f>Dau_vao!$B$21+(Dau_vao!$B$19-Dau_vao!$B$21)*163/200</f>
        <v>2267.0</v>
      </c>
      <c r="D969" s="4">
        <f>2*PI()*C969*Thiet_ke!$B$7/(60*Thiet_ke!$B$15*B969)</f>
        <v>25.565645773979107</v>
      </c>
      <c r="E969" s="4">
        <f>D969*3.6</f>
        <v>92.03632478632478</v>
      </c>
      <c r="F969" s="4">
        <f>Thiet_ke!$B$12*(Dau_vao!$B$22*(C969/Dau_vao!$B$19)+Dau_vao!$B$23*(C969/Dau_vao!$B$19)^2-Dau_vao!$B$24*(C969/Dau_vao!$B$19)^3)</f>
        <v>106.88534165366778</v>
      </c>
      <c r="G969" s="4">
        <f>60000*F969/(2*PI()*C969)</f>
        <v>450.23371331929303</v>
      </c>
      <c r="H969" s="4">
        <f>G969*Thiet_ke!$B$15*B969*Dau_vao!$B$10/Thiet_ke!$B$7</f>
        <v>3720.9290511482495</v>
      </c>
      <c r="I969" s="4">
        <f>IF(D969&lt;=Dau_vao!$B$14,Dau_vao!$B$13,Dau_vao!$B$13*(1+D969^2/1500))</f>
        <v>0.021536022438405755</v>
      </c>
      <c r="J969" s="4">
        <f>Thiet_ke!$B$8*D969^2</f>
        <v>1911.7865632336843</v>
      </c>
      <c r="K969" s="4">
        <f>Thiet_ke!$B$3*I969+J969</f>
        <v>3536.4404063623324</v>
      </c>
      <c r="L969" s="4">
        <f>(H969-J969)/Thiet_ke!$B$3</f>
        <v>0.02398155975119686</v>
      </c>
      <c r="M969" s="4">
        <f>1.05+0.05*B969^2</f>
        <v>1.1</v>
      </c>
      <c r="N969" s="4">
        <f>(MIN(H969,Thiet_ke!$B$16)-K969)/(Thiet_ke!$B$2*M969)</f>
        <v>0.021809746398618882</v>
      </c>
      <c r="O969" s="4">
        <f>IF(N969&gt;0,1/N969,"")</f>
        <v>45.85106042605455</v>
      </c>
    </row>
    <row r="970" spans="1:15">
      <c r="A970">
        <v>5</v>
      </c>
      <c r="B970" s="4">
        <f>Thiet_ke!$B$24</f>
        <v>1.0</v>
      </c>
      <c r="C970" s="4">
        <f>Dau_vao!$B$21+(Dau_vao!$B$19-Dau_vao!$B$21)*164/200</f>
        <v>2276.0</v>
      </c>
      <c r="D970" s="4">
        <f>2*PI()*C970*Thiet_ke!$B$7/(60*Thiet_ke!$B$15*B970)</f>
        <v>25.66714150047483</v>
      </c>
      <c r="E970" s="4">
        <f>D970*3.6</f>
        <v>92.4017094017094</v>
      </c>
      <c r="F970" s="4">
        <f>Thiet_ke!$B$12*(Dau_vao!$B$22*(C970/Dau_vao!$B$19)+Dau_vao!$B$23*(C970/Dau_vao!$B$19)^2-Dau_vao!$B$24*(C970/Dau_vao!$B$19)^3)</f>
        <v>107.22198981829357</v>
      </c>
      <c r="G970" s="4">
        <f>60000*F970/(2*PI()*C970)</f>
        <v>449.86580899113255</v>
      </c>
      <c r="H970" s="4">
        <f>G970*Thiet_ke!$B$15*B970*Dau_vao!$B$10/Thiet_ke!$B$7</f>
        <v>3717.8885282771334</v>
      </c>
      <c r="I970" s="4">
        <f>IF(D970&lt;=Dau_vao!$B$14,Dau_vao!$B$13,Dau_vao!$B$13*(1+D970^2/1500))</f>
        <v>0.02158802152805397</v>
      </c>
      <c r="J970" s="4">
        <f>Thiet_ke!$B$8*D970^2</f>
        <v>1926.9962969557873</v>
      </c>
      <c r="K970" s="4">
        <f>Thiet_ke!$B$3*I970+J970</f>
        <v>3555.572894208498</v>
      </c>
      <c r="L970" s="4">
        <f>(H970-J970)/Thiet_ke!$B$3</f>
        <v>0.023739638718503927</v>
      </c>
      <c r="M970" s="4">
        <f>1.05+0.05*B970^2</f>
        <v>1.1</v>
      </c>
      <c r="N970" s="4">
        <f>(MIN(H970,Thiet_ke!$B$16)-K970)/(Thiet_ke!$B$2*M970)</f>
        <v>0.01918851330755828</v>
      </c>
      <c r="O970" s="4">
        <f>IF(N970&gt;0,1/N970,"")</f>
        <v>52.11451163369201</v>
      </c>
    </row>
    <row r="971" spans="1:15">
      <c r="A971">
        <v>5</v>
      </c>
      <c r="B971" s="4">
        <f>Thiet_ke!$B$24</f>
        <v>1.0</v>
      </c>
      <c r="C971" s="4">
        <f>Dau_vao!$B$21+(Dau_vao!$B$19-Dau_vao!$B$21)*165/200</f>
        <v>2285.0</v>
      </c>
      <c r="D971" s="4">
        <f>2*PI()*C971*Thiet_ke!$B$7/(60*Thiet_ke!$B$15*B971)</f>
        <v>25.768637226970558</v>
      </c>
      <c r="E971" s="4">
        <f>D971*3.6</f>
        <v>92.76709401709401</v>
      </c>
      <c r="F971" s="4">
        <f>Thiet_ke!$B$12*(Dau_vao!$B$22*(C971/Dau_vao!$B$19)+Dau_vao!$B$23*(C971/Dau_vao!$B$19)^2-Dau_vao!$B$24*(C971/Dau_vao!$B$19)^3)</f>
        <v>107.55548009930645</v>
      </c>
      <c r="G971" s="4">
        <f>60000*F971/(2*PI()*C971)</f>
        <v>449.4876056304578</v>
      </c>
      <c r="H971" s="4">
        <f>G971*Thiet_ke!$B$15*B971*Dau_vao!$B$10/Thiet_ke!$B$7</f>
        <v>3714.7628896802316</v>
      </c>
      <c r="I971" s="4">
        <f>IF(D971&lt;=Dau_vao!$B$14,Dau_vao!$B$13,Dau_vao!$B$13*(1+D971^2/1500))</f>
        <v>0.021640226645352128</v>
      </c>
      <c r="J971" s="4">
        <f>Thiet_ke!$B$8*D971^2</f>
        <v>1942.266293765498</v>
      </c>
      <c r="K971" s="4">
        <f>Thiet_ke!$B$3*I971+J971</f>
        <v>3574.7811876415526</v>
      </c>
      <c r="L971" s="4">
        <f>(H971-J971)/Thiet_ke!$B$3</f>
        <v>0.023495790579061114</v>
      </c>
      <c r="M971" s="4">
        <f>1.05+0.05*B971^2</f>
        <v>1.1</v>
      </c>
      <c r="N971" s="4">
        <f>(MIN(H971,Thiet_ke!$B$16)-K971)/(Thiet_ke!$B$2*M971)</f>
        <v>0.016548256536077437</v>
      </c>
      <c r="O971" s="4">
        <f>IF(N971&gt;0,1/N971,"")</f>
        <v>60.4293266677287</v>
      </c>
    </row>
    <row r="972" spans="1:15">
      <c r="A972">
        <v>5</v>
      </c>
      <c r="B972" s="4">
        <f>Thiet_ke!$B$24</f>
        <v>1.0</v>
      </c>
      <c r="C972" s="4">
        <f>Dau_vao!$B$21+(Dau_vao!$B$19-Dau_vao!$B$21)*166/200</f>
        <v>2294.0</v>
      </c>
      <c r="D972" s="4">
        <f>2*PI()*C972*Thiet_ke!$B$7/(60*Thiet_ke!$B$15*B972)</f>
        <v>25.870132953466285</v>
      </c>
      <c r="E972" s="4">
        <f>D972*3.6</f>
        <v>93.13247863247862</v>
      </c>
      <c r="F972" s="4">
        <f>Thiet_ke!$B$12*(Dau_vao!$B$22*(C972/Dau_vao!$B$19)+Dau_vao!$B$23*(C972/Dau_vao!$B$19)^2-Dau_vao!$B$24*(C972/Dau_vao!$B$19)^3)</f>
        <v>107.88578337687797</v>
      </c>
      <c r="G972" s="4">
        <f>60000*F972/(2*PI()*C972)</f>
        <v>449.09910323726837</v>
      </c>
      <c r="H972" s="4">
        <f>G972*Thiet_ke!$B$15*B972*Dau_vao!$B$10/Thiet_ke!$B$7</f>
        <v>3711.552135357545</v>
      </c>
      <c r="I972" s="4">
        <f>IF(D972&lt;=Dau_vao!$B$14,Dau_vao!$B$13,Dau_vao!$B$13*(1+D972^2/1500))</f>
        <v>0.021692637790300222</v>
      </c>
      <c r="J972" s="4">
        <f>Thiet_ke!$B$8*D972^2</f>
        <v>1957.596553662815</v>
      </c>
      <c r="K972" s="4">
        <f>Thiet_ke!$B$3*I972+J972</f>
        <v>3594.0652866614946</v>
      </c>
      <c r="L972" s="4">
        <f>(H972-J972)/Thiet_ke!$B$3</f>
        <v>0.02325001533286845</v>
      </c>
      <c r="M972" s="4">
        <f>1.05+0.05*B972^2</f>
        <v>1.1</v>
      </c>
      <c r="N972" s="4">
        <f>(MIN(H972,Thiet_ke!$B$16)-K972)/(Thiet_ke!$B$2*M972)</f>
        <v>0.013888976084176665</v>
      </c>
      <c r="O972" s="4">
        <f>IF(N972&gt;0,1/N972,"")</f>
        <v>71.99954798246597</v>
      </c>
    </row>
    <row r="973" spans="1:15">
      <c r="A973">
        <v>5</v>
      </c>
      <c r="B973" s="4">
        <f>Thiet_ke!$B$24</f>
        <v>1.0</v>
      </c>
      <c r="C973" s="4">
        <f>Dau_vao!$B$21+(Dau_vao!$B$19-Dau_vao!$B$21)*167/200</f>
        <v>2303.0</v>
      </c>
      <c r="D973" s="4">
        <f>2*PI()*C973*Thiet_ke!$B$7/(60*Thiet_ke!$B$15*B973)</f>
        <v>25.97162867996201</v>
      </c>
      <c r="E973" s="4">
        <f>D973*3.6</f>
        <v>93.49786324786324</v>
      </c>
      <c r="F973" s="4">
        <f>Thiet_ke!$B$12*(Dau_vao!$B$22*(C973/Dau_vao!$B$19)+Dau_vao!$B$23*(C973/Dau_vao!$B$19)^2-Dau_vao!$B$24*(C973/Dau_vao!$B$19)^3)</f>
        <v>108.21287053117969</v>
      </c>
      <c r="G973" s="4">
        <f>60000*F973/(2*PI()*C973)</f>
        <v>448.7003018115643</v>
      </c>
      <c r="H973" s="4">
        <f>G973*Thiet_ke!$B$15*B973*Dau_vao!$B$10/Thiet_ke!$B$7</f>
        <v>3708.2562653090727</v>
      </c>
      <c r="I973" s="4">
        <f>IF(D973&lt;=Dau_vao!$B$14,Dau_vao!$B$13,Dau_vao!$B$13*(1+D973^2/1500))</f>
        <v>0.02174525496289825</v>
      </c>
      <c r="J973" s="4">
        <f>Thiet_ke!$B$8*D973^2</f>
        <v>1972.9870766477386</v>
      </c>
      <c r="K973" s="4">
        <f>Thiet_ke!$B$3*I973+J973</f>
        <v>3613.4251912683235</v>
      </c>
      <c r="L973" s="4">
        <f>(H973-J973)/Thiet_ke!$B$3</f>
        <v>0.023002312979925926</v>
      </c>
      <c r="M973" s="4">
        <f>1.05+0.05*B973^2</f>
        <v>1.1</v>
      </c>
      <c r="N973" s="4">
        <f>(MIN(H973,Thiet_ke!$B$16)-K973)/(Thiet_ke!$B$2*M973)</f>
        <v>0.011210671951855914</v>
      </c>
      <c r="O973" s="4">
        <f>IF(N973&gt;0,1/N973,"")</f>
        <v>89.20071912678269</v>
      </c>
    </row>
    <row r="974" spans="1:15">
      <c r="A974">
        <v>5</v>
      </c>
      <c r="B974" s="4">
        <f>Thiet_ke!$B$24</f>
        <v>1.0</v>
      </c>
      <c r="C974" s="4">
        <f>Dau_vao!$B$21+(Dau_vao!$B$19-Dau_vao!$B$21)*168/200</f>
        <v>2312.0</v>
      </c>
      <c r="D974" s="4">
        <f>2*PI()*C974*Thiet_ke!$B$7/(60*Thiet_ke!$B$15*B974)</f>
        <v>26.073124406457737</v>
      </c>
      <c r="E974" s="4">
        <f>D974*3.6</f>
        <v>93.86324786324785</v>
      </c>
      <c r="F974" s="4">
        <f>Thiet_ke!$B$12*(Dau_vao!$B$22*(C974/Dau_vao!$B$19)+Dau_vao!$B$23*(C974/Dau_vao!$B$19)^2-Dau_vao!$B$24*(C974/Dau_vao!$B$19)^3)</f>
        <v>108.53671244238325</v>
      </c>
      <c r="G974" s="4">
        <f>60000*F974/(2*PI()*C974)</f>
        <v>448.29120135334557</v>
      </c>
      <c r="H974" s="4">
        <f>G974*Thiet_ke!$B$15*B974*Dau_vao!$B$10/Thiet_ke!$B$7</f>
        <v>3704.8752795348137</v>
      </c>
      <c r="I974" s="4">
        <f>IF(D974&lt;=Dau_vao!$B$14,Dau_vao!$B$13,Dau_vao!$B$13*(1+D974^2/1500))</f>
        <v>0.021798078163146217</v>
      </c>
      <c r="J974" s="4">
        <f>Thiet_ke!$B$8*D974^2</f>
        <v>1988.4378627202698</v>
      </c>
      <c r="K974" s="4">
        <f>Thiet_ke!$B$3*I974+J974</f>
        <v>3632.860901462041</v>
      </c>
      <c r="L974" s="4">
        <f>(H974-J974)/Thiet_ke!$B$3</f>
        <v>0.02275268352023351</v>
      </c>
      <c r="M974" s="4">
        <f>1.05+0.05*B974^2</f>
        <v>1.1</v>
      </c>
      <c r="N974" s="4">
        <f>(MIN(H974,Thiet_ke!$B$16)-K974)/(Thiet_ke!$B$2*M974)</f>
        <v>0.008513344139114861</v>
      </c>
      <c r="O974" s="4">
        <f>IF(N974&gt;0,1/N974,"")</f>
        <v>117.46265435288403</v>
      </c>
    </row>
    <row r="975" spans="1:15">
      <c r="A975">
        <v>5</v>
      </c>
      <c r="B975" s="4">
        <f>Thiet_ke!$B$24</f>
        <v>1.0</v>
      </c>
      <c r="C975" s="4">
        <f>Dau_vao!$B$21+(Dau_vao!$B$19-Dau_vao!$B$21)*169/200</f>
        <v>2321.0</v>
      </c>
      <c r="D975" s="4">
        <f>2*PI()*C975*Thiet_ke!$B$7/(60*Thiet_ke!$B$15*B975)</f>
        <v>26.174620132953464</v>
      </c>
      <c r="E975" s="4">
        <f>D975*3.6</f>
        <v>94.22863247863248</v>
      </c>
      <c r="F975" s="4">
        <f>Thiet_ke!$B$12*(Dau_vao!$B$22*(C975/Dau_vao!$B$19)+Dau_vao!$B$23*(C975/Dau_vao!$B$19)^2-Dau_vao!$B$24*(C975/Dau_vao!$B$19)^3)</f>
        <v>108.8572799906603</v>
      </c>
      <c r="G975" s="4">
        <f>60000*F975/(2*PI()*C975)</f>
        <v>447.8718018626125</v>
      </c>
      <c r="H975" s="4">
        <f>G975*Thiet_ke!$B$15*B975*Dau_vao!$B$10/Thiet_ke!$B$7</f>
        <v>3701.4091780347712</v>
      </c>
      <c r="I975" s="4">
        <f>IF(D975&lt;=Dau_vao!$B$14,Dau_vao!$B$13,Dau_vao!$B$13*(1+D975^2/1500))</f>
        <v>0.02185110739104413</v>
      </c>
      <c r="J975" s="4">
        <f>Thiet_ke!$B$8*D975^2</f>
        <v>2003.9489118804076</v>
      </c>
      <c r="K975" s="4">
        <f>Thiet_ke!$B$3*I975+J975</f>
        <v>3652.372417242647</v>
      </c>
      <c r="L975" s="4">
        <f>(H975-J975)/Thiet_ke!$B$3</f>
        <v>0.022501126953791258</v>
      </c>
      <c r="M975" s="4">
        <f>1.05+0.05*B975^2</f>
        <v>1.1</v>
      </c>
      <c r="N975" s="4">
        <f>(MIN(H975,Thiet_ke!$B$16)-K975)/(Thiet_ke!$B$2*M975)</f>
        <v>0.005796992645953939</v>
      </c>
      <c r="O975" s="4">
        <f>IF(N975&gt;0,1/N975,"")</f>
        <v>172.50323763959898</v>
      </c>
    </row>
    <row r="976" spans="1:15">
      <c r="A976">
        <v>5</v>
      </c>
      <c r="B976" s="4">
        <f>Thiet_ke!$B$24</f>
        <v>1.0</v>
      </c>
      <c r="C976" s="4">
        <f>Dau_vao!$B$21+(Dau_vao!$B$19-Dau_vao!$B$21)*170/200</f>
        <v>2330.0</v>
      </c>
      <c r="D976" s="4">
        <f>2*PI()*C976*Thiet_ke!$B$7/(60*Thiet_ke!$B$15*B976)</f>
        <v>26.276115859449195</v>
      </c>
      <c r="E976" s="4">
        <f>D976*3.6</f>
        <v>94.5940170940171</v>
      </c>
      <c r="F976" s="4">
        <f>Thiet_ke!$B$12*(Dau_vao!$B$22*(C976/Dau_vao!$B$19)+Dau_vao!$B$23*(C976/Dau_vao!$B$19)^2-Dau_vao!$B$24*(C976/Dau_vao!$B$19)^3)</f>
        <v>109.17454405618234</v>
      </c>
      <c r="G976" s="4">
        <f>60000*F976/(2*PI()*C976)</f>
        <v>447.4421033393645</v>
      </c>
      <c r="H976" s="4">
        <f>G976*Thiet_ke!$B$15*B976*Dau_vao!$B$10/Thiet_ke!$B$7</f>
        <v>3697.857960808942</v>
      </c>
      <c r="I976" s="4">
        <f>IF(D976&lt;=Dau_vao!$B$14,Dau_vao!$B$13,Dau_vao!$B$13*(1+D976^2/1500))</f>
        <v>0.021904342646591975</v>
      </c>
      <c r="J976" s="4">
        <f>Thiet_ke!$B$8*D976^2</f>
        <v>2019.520224128153</v>
      </c>
      <c r="K976" s="4">
        <f>Thiet_ke!$B$3*I976+J976</f>
        <v>3671.9597386101404</v>
      </c>
      <c r="L976" s="4">
        <f>(H976-J976)/Thiet_ke!$B$3</f>
        <v>0.02224764328059912</v>
      </c>
      <c r="M976" s="4">
        <f>1.05+0.05*B976^2</f>
        <v>1.1</v>
      </c>
      <c r="N976" s="4">
        <f>(MIN(H976,Thiet_ke!$B$16)-K976)/(Thiet_ke!$B$2*M976)</f>
        <v>0.0030616174723728223</v>
      </c>
      <c r="O976" s="4">
        <f>IF(N976&gt;0,1/N976,"")</f>
        <v>326.62473644200156</v>
      </c>
    </row>
    <row r="977" spans="1:15">
      <c r="A977">
        <v>5</v>
      </c>
      <c r="B977" s="4">
        <f>Thiet_ke!$B$24</f>
        <v>1.0</v>
      </c>
      <c r="C977" s="4">
        <f>Dau_vao!$B$21+(Dau_vao!$B$19-Dau_vao!$B$21)*171/200</f>
        <v>2339.0</v>
      </c>
      <c r="D977" s="4">
        <f>2*PI()*C977*Thiet_ke!$B$7/(60*Thiet_ke!$B$15*B977)</f>
        <v>26.37761158594492</v>
      </c>
      <c r="E977" s="4">
        <f>D977*3.6</f>
        <v>94.95940170940172</v>
      </c>
      <c r="F977" s="4">
        <f>Thiet_ke!$B$12*(Dau_vao!$B$22*(C977/Dau_vao!$B$19)+Dau_vao!$B$23*(C977/Dau_vao!$B$19)^2-Dau_vao!$B$24*(C977/Dau_vao!$B$19)^3)</f>
        <v>109.48847551912104</v>
      </c>
      <c r="G977" s="4">
        <f>60000*F977/(2*PI()*C977)</f>
        <v>447.002105783602</v>
      </c>
      <c r="H977" s="4">
        <f>G977*Thiet_ke!$B$15*B977*Dau_vao!$B$10/Thiet_ke!$B$7</f>
        <v>3694.221627857327</v>
      </c>
      <c r="I977" s="4">
        <f>IF(D977&lt;=Dau_vao!$B$14,Dau_vao!$B$13,Dau_vao!$B$13*(1+D977^2/1500))</f>
        <v>0.021957783929789754</v>
      </c>
      <c r="J977" s="4">
        <f>Thiet_ke!$B$8*D977^2</f>
        <v>2035.1517994635037</v>
      </c>
      <c r="K977" s="4">
        <f>Thiet_ke!$B$3*I977+J977</f>
        <v>3691.62286556452</v>
      </c>
      <c r="L977" s="4">
        <f>(H977-J977)/Thiet_ke!$B$3</f>
        <v>0.021992232500657127</v>
      </c>
      <c r="M977" s="4">
        <f>1.05+0.05*B977^2</f>
        <v>1.1</v>
      </c>
      <c r="N977" s="4">
        <f>(MIN(H977,Thiet_ke!$B$16)-K977)/(Thiet_ke!$B$2*M977)</f>
        <v>0.000307218618371781</v>
      </c>
      <c r="O977" s="4">
        <f>IF(N977&gt;0,1/N977,"")</f>
        <v>3255.011057923087</v>
      </c>
    </row>
    <row r="978" spans="1:15">
      <c r="A978">
        <v>5</v>
      </c>
      <c r="B978" s="4">
        <f>Thiet_ke!$B$24</f>
        <v>1.0</v>
      </c>
      <c r="C978" s="4">
        <f>Dau_vao!$B$21+(Dau_vao!$B$19-Dau_vao!$B$21)*172/200</f>
        <v>2348.0</v>
      </c>
      <c r="D978" s="4">
        <f>2*PI()*C978*Thiet_ke!$B$7/(60*Thiet_ke!$B$15*B978)</f>
        <v>26.479107312440647</v>
      </c>
      <c r="E978" s="4">
        <f>D978*3.6</f>
        <v>95.32478632478633</v>
      </c>
      <c r="F978" s="4">
        <f>Thiet_ke!$B$12*(Dau_vao!$B$22*(C978/Dau_vao!$B$19)+Dau_vao!$B$23*(C978/Dau_vao!$B$19)^2-Dau_vao!$B$24*(C978/Dau_vao!$B$19)^3)</f>
        <v>109.799045259648</v>
      </c>
      <c r="G978" s="4">
        <f>60000*F978/(2*PI()*C978)</f>
        <v>446.551809195325</v>
      </c>
      <c r="H978" s="4">
        <f>G978*Thiet_ke!$B$15*B978*Dau_vao!$B$10/Thiet_ke!$B$7</f>
        <v>3690.500179179927</v>
      </c>
      <c r="I978" s="4">
        <f>IF(D978&lt;=Dau_vao!$B$14,Dau_vao!$B$13,Dau_vao!$B$13*(1+D978^2/1500))</f>
        <v>0.022011431240637477</v>
      </c>
      <c r="J978" s="4">
        <f>Thiet_ke!$B$8*D978^2</f>
        <v>2050.843637886462</v>
      </c>
      <c r="K978" s="4">
        <f>Thiet_ke!$B$3*I978+J978</f>
        <v>3711.3617981057887</v>
      </c>
      <c r="L978" s="4">
        <f>(H978-J978)/Thiet_ke!$B$3</f>
        <v>0.02173489461396527</v>
      </c>
      <c r="M978" s="4">
        <f>1.05+0.05*B978^2</f>
        <v>1.1</v>
      </c>
      <c r="N978" s="4">
        <f>(MIN(H978,Thiet_ke!$B$16)-K978)/(Thiet_ke!$B$2*M978)</f>
        <v>-0.0024662039160494</v>
      </c>
      <c r="O978" s="4">
        <f>IF(N978&gt;0,1/N978,"")</f>
        <v/>
      </c>
    </row>
    <row r="979" spans="1:15">
      <c r="A979">
        <v>5</v>
      </c>
      <c r="B979" s="4">
        <f>Thiet_ke!$B$24</f>
        <v>1.0</v>
      </c>
      <c r="C979" s="4">
        <f>Dau_vao!$B$21+(Dau_vao!$B$19-Dau_vao!$B$21)*173/200</f>
        <v>2357.0</v>
      </c>
      <c r="D979" s="4">
        <f>2*PI()*C979*Thiet_ke!$B$7/(60*Thiet_ke!$B$15*B979)</f>
        <v>26.580603038936374</v>
      </c>
      <c r="E979" s="4">
        <f>D979*3.6</f>
        <v>95.69017094017094</v>
      </c>
      <c r="F979" s="4">
        <f>Thiet_ke!$B$12*(Dau_vao!$B$22*(C979/Dau_vao!$B$19)+Dau_vao!$B$23*(C979/Dau_vao!$B$19)^2-Dau_vao!$B$24*(C979/Dau_vao!$B$19)^3)</f>
        <v>110.1062241579348</v>
      </c>
      <c r="G979" s="4">
        <f>60000*F979/(2*PI()*C979)</f>
        <v>446.0912135745334</v>
      </c>
      <c r="H979" s="4">
        <f>G979*Thiet_ke!$B$15*B979*Dau_vao!$B$10/Thiet_ke!$B$7</f>
        <v>3686.693614776742</v>
      </c>
      <c r="I979" s="4">
        <f>IF(D979&lt;=Dau_vao!$B$14,Dau_vao!$B$13,Dau_vao!$B$13*(1+D979^2/1500))</f>
        <v>0.022065284579135137</v>
      </c>
      <c r="J979" s="4">
        <f>Thiet_ke!$B$8*D979^2</f>
        <v>2066.5957393970275</v>
      </c>
      <c r="K979" s="4">
        <f>Thiet_ke!$B$3*I979+J979</f>
        <v>3731.1765362339456</v>
      </c>
      <c r="L979" s="4">
        <f>(H979-J979)/Thiet_ke!$B$3</f>
        <v>0.021475629620523552</v>
      </c>
      <c r="M979" s="4">
        <f>1.05+0.05*B979^2</f>
        <v>1.1</v>
      </c>
      <c r="N979" s="4">
        <f>(MIN(H979,Thiet_ke!$B$16)-K979)/(Thiet_ke!$B$2*M979)</f>
        <v>-0.005258650130890614</v>
      </c>
      <c r="O979" s="4">
        <f>IF(N979&gt;0,1/N979,"")</f>
        <v/>
      </c>
    </row>
    <row r="980" spans="1:15">
      <c r="A980">
        <v>5</v>
      </c>
      <c r="B980" s="4">
        <f>Thiet_ke!$B$24</f>
        <v>1.0</v>
      </c>
      <c r="C980" s="4">
        <f>Dau_vao!$B$21+(Dau_vao!$B$19-Dau_vao!$B$21)*174/200</f>
        <v>2366.0</v>
      </c>
      <c r="D980" s="4">
        <f>2*PI()*C980*Thiet_ke!$B$7/(60*Thiet_ke!$B$15*B980)</f>
        <v>26.682098765432098</v>
      </c>
      <c r="E980" s="4">
        <f>D980*3.6</f>
        <v>96.05555555555556</v>
      </c>
      <c r="F980" s="4">
        <f>Thiet_ke!$B$12*(Dau_vao!$B$22*(C980/Dau_vao!$B$19)+Dau_vao!$B$23*(C980/Dau_vao!$B$19)^2-Dau_vao!$B$24*(C980/Dau_vao!$B$19)^3)</f>
        <v>110.40998309415305</v>
      </c>
      <c r="G980" s="4">
        <f>60000*F980/(2*PI()*C980)</f>
        <v>445.62031892122707</v>
      </c>
      <c r="H980" s="4">
        <f>G980*Thiet_ke!$B$15*B980*Dau_vao!$B$10/Thiet_ke!$B$7</f>
        <v>3682.80193464777</v>
      </c>
      <c r="I980" s="4">
        <f>IF(D980&lt;=Dau_vao!$B$14,Dau_vao!$B$13,Dau_vao!$B$13*(1+D980^2/1500))</f>
        <v>0.02211934394528273</v>
      </c>
      <c r="J980" s="4">
        <f>Thiet_ke!$B$8*D980^2</f>
        <v>2082.408103995199</v>
      </c>
      <c r="K980" s="4">
        <f>Thiet_ke!$B$3*I980+J980</f>
        <v>3751.0670799489885</v>
      </c>
      <c r="L980" s="4">
        <f>(H980-J980)/Thiet_ke!$B$3</f>
        <v>0.021214437520331964</v>
      </c>
      <c r="M980" s="4">
        <f>1.05+0.05*B980^2</f>
        <v>1.1</v>
      </c>
      <c r="N980" s="4">
        <f>(MIN(H980,Thiet_ke!$B$16)-K980)/(Thiet_ke!$B$2*M980)</f>
        <v>-0.00807012002615186</v>
      </c>
      <c r="O980" s="4">
        <f>IF(N980&gt;0,1/N980,"")</f>
        <v/>
      </c>
    </row>
    <row r="981" spans="1:15">
      <c r="A981">
        <v>5</v>
      </c>
      <c r="B981" s="4">
        <f>Thiet_ke!$B$24</f>
        <v>1.0</v>
      </c>
      <c r="C981" s="4">
        <f>Dau_vao!$B$21+(Dau_vao!$B$19-Dau_vao!$B$21)*175/200</f>
        <v>2375.0</v>
      </c>
      <c r="D981" s="4">
        <f>2*PI()*C981*Thiet_ke!$B$7/(60*Thiet_ke!$B$15*B981)</f>
        <v>26.783594491927825</v>
      </c>
      <c r="E981" s="4">
        <f>D981*3.6</f>
        <v>96.42094017094017</v>
      </c>
      <c r="F981" s="4">
        <f>Thiet_ke!$B$12*(Dau_vao!$B$22*(C981/Dau_vao!$B$19)+Dau_vao!$B$23*(C981/Dau_vao!$B$19)^2-Dau_vao!$B$24*(C981/Dau_vao!$B$19)^3)</f>
        <v>110.71029294847435</v>
      </c>
      <c r="G981" s="4">
        <f>60000*F981/(2*PI()*C981)</f>
        <v>445.1391252354063</v>
      </c>
      <c r="H981" s="4">
        <f>G981*Thiet_ke!$B$15*B981*Dau_vao!$B$10/Thiet_ke!$B$7</f>
        <v>3678.825138793014</v>
      </c>
      <c r="I981" s="4">
        <f>IF(D981&lt;=Dau_vao!$B$14,Dau_vao!$B$13,Dau_vao!$B$13*(1+D981^2/1500))</f>
        <v>0.022173609339080264</v>
      </c>
      <c r="J981" s="4">
        <f>Thiet_ke!$B$8*D981^2</f>
        <v>2098.280731680978</v>
      </c>
      <c r="K981" s="4">
        <f>Thiet_ke!$B$3*I981+J981</f>
        <v>3771.0334292509206</v>
      </c>
      <c r="L981" s="4">
        <f>(H981-J981)/Thiet_ke!$B$3</f>
        <v>0.020951318313390515</v>
      </c>
      <c r="M981" s="4">
        <f>1.05+0.05*B981^2</f>
        <v>1.1</v>
      </c>
      <c r="N981" s="4">
        <f>(MIN(H981,Thiet_ke!$B$16)-K981)/(Thiet_ke!$B$2*M981)</f>
        <v>-0.010900613601833139</v>
      </c>
      <c r="O981" s="4">
        <f>IF(N981&gt;0,1/N981,"")</f>
        <v/>
      </c>
    </row>
    <row r="982" spans="1:15">
      <c r="A982">
        <v>5</v>
      </c>
      <c r="B982" s="4">
        <f>Thiet_ke!$B$24</f>
        <v>1.0</v>
      </c>
      <c r="C982" s="4">
        <f>Dau_vao!$B$21+(Dau_vao!$B$19-Dau_vao!$B$21)*176/200</f>
        <v>2384.0</v>
      </c>
      <c r="D982" s="4">
        <f>2*PI()*C982*Thiet_ke!$B$7/(60*Thiet_ke!$B$15*B982)</f>
        <v>26.88509021842355</v>
      </c>
      <c r="E982" s="4">
        <f>D982*3.6</f>
        <v>96.78632478632478</v>
      </c>
      <c r="F982" s="4">
        <f>Thiet_ke!$B$12*(Dau_vao!$B$22*(C982/Dau_vao!$B$19)+Dau_vao!$B$23*(C982/Dau_vao!$B$19)^2-Dau_vao!$B$24*(C982/Dau_vao!$B$19)^3)</f>
        <v>111.0071246010703</v>
      </c>
      <c r="G982" s="4">
        <f>60000*F982/(2*PI()*C982)</f>
        <v>444.64763251707075</v>
      </c>
      <c r="H982" s="4">
        <f>G982*Thiet_ke!$B$15*B982*Dau_vao!$B$10/Thiet_ke!$B$7</f>
        <v>3674.7632272124706</v>
      </c>
      <c r="I982" s="4">
        <f>IF(D982&lt;=Dau_vao!$B$14,Dau_vao!$B$13,Dau_vao!$B$13*(1+D982^2/1500))</f>
        <v>0.022228080760527735</v>
      </c>
      <c r="J982" s="4">
        <f>Thiet_ke!$B$8*D982^2</f>
        <v>2114.213622454363</v>
      </c>
      <c r="K982" s="4">
        <f>Thiet_ke!$B$3*I982+J982</f>
        <v>3791.0755841397386</v>
      </c>
      <c r="L982" s="4">
        <f>(H982-J982)/Thiet_ke!$B$3</f>
        <v>0.020686271999699194</v>
      </c>
      <c r="M982" s="4">
        <f>1.05+0.05*B982^2</f>
        <v>1.1</v>
      </c>
      <c r="N982" s="4">
        <f>(MIN(H982,Thiet_ke!$B$16)-K982)/(Thiet_ke!$B$2*M982)</f>
        <v>-0.013750130857934502</v>
      </c>
      <c r="O982" s="4">
        <f>IF(N982&gt;0,1/N982,"")</f>
        <v/>
      </c>
    </row>
    <row r="983" spans="1:15">
      <c r="A983">
        <v>5</v>
      </c>
      <c r="B983" s="4">
        <f>Thiet_ke!$B$24</f>
        <v>1.0</v>
      </c>
      <c r="C983" s="4">
        <f>Dau_vao!$B$21+(Dau_vao!$B$19-Dau_vao!$B$21)*177/200</f>
        <v>2393.0</v>
      </c>
      <c r="D983" s="4">
        <f>2*PI()*C983*Thiet_ke!$B$7/(60*Thiet_ke!$B$15*B983)</f>
        <v>26.986585944919277</v>
      </c>
      <c r="E983" s="4">
        <f>D983*3.6</f>
        <v>97.1517094017094</v>
      </c>
      <c r="F983" s="4">
        <f>Thiet_ke!$B$12*(Dau_vao!$B$22*(C983/Dau_vao!$B$19)+Dau_vao!$B$23*(C983/Dau_vao!$B$19)^2-Dau_vao!$B$24*(C983/Dau_vao!$B$19)^3)</f>
        <v>111.30044893211249</v>
      </c>
      <c r="G983" s="4">
        <f>60000*F983/(2*PI()*C983)</f>
        <v>444.14584076622066</v>
      </c>
      <c r="H983" s="4">
        <f>G983*Thiet_ke!$B$15*B983*Dau_vao!$B$10/Thiet_ke!$B$7</f>
        <v>3670.6161999061424</v>
      </c>
      <c r="I983" s="4">
        <f>IF(D983&lt;=Dau_vao!$B$14,Dau_vao!$B$13,Dau_vao!$B$13*(1+D983^2/1500))</f>
        <v>0.022282758209625147</v>
      </c>
      <c r="J983" s="4">
        <f>Thiet_ke!$B$8*D983^2</f>
        <v>2130.2067763153555</v>
      </c>
      <c r="K983" s="4">
        <f>Thiet_ke!$B$3*I983+J983</f>
        <v>3811.193544615446</v>
      </c>
      <c r="L983" s="4">
        <f>(H983-J983)/Thiet_ke!$B$3</f>
        <v>0.020419298579258005</v>
      </c>
      <c r="M983" s="4">
        <f>1.05+0.05*B983^2</f>
        <v>1.1</v>
      </c>
      <c r="N983" s="4">
        <f>(MIN(H983,Thiet_ke!$B$16)-K983)/(Thiet_ke!$B$2*M983)</f>
        <v>-0.01661867179445606</v>
      </c>
      <c r="O983" s="4">
        <f>IF(N983&gt;0,1/N983,"")</f>
        <v/>
      </c>
    </row>
    <row r="984" spans="1:15">
      <c r="A984">
        <v>5</v>
      </c>
      <c r="B984" s="4">
        <f>Thiet_ke!$B$24</f>
        <v>1.0</v>
      </c>
      <c r="C984" s="4">
        <f>Dau_vao!$B$21+(Dau_vao!$B$19-Dau_vao!$B$21)*178/200</f>
        <v>2402.0</v>
      </c>
      <c r="D984" s="4">
        <f>2*PI()*C984*Thiet_ke!$B$7/(60*Thiet_ke!$B$15*B984)</f>
        <v>27.088081671415</v>
      </c>
      <c r="E984" s="4">
        <f>D984*3.6</f>
        <v>97.51709401709401</v>
      </c>
      <c r="F984" s="4">
        <f>Thiet_ke!$B$12*(Dau_vao!$B$22*(C984/Dau_vao!$B$19)+Dau_vao!$B$23*(C984/Dau_vao!$B$19)^2-Dau_vao!$B$24*(C984/Dau_vao!$B$19)^3)</f>
        <v>111.59023682177258</v>
      </c>
      <c r="G984" s="4">
        <f>60000*F984/(2*PI()*C984)</f>
        <v>443.63374998285605</v>
      </c>
      <c r="H984" s="4">
        <f>G984*Thiet_ke!$B$15*B984*Dau_vao!$B$10/Thiet_ke!$B$7</f>
        <v>3666.38405687403</v>
      </c>
      <c r="I984" s="4">
        <f>IF(D984&lt;=Dau_vao!$B$14,Dau_vao!$B$13,Dau_vao!$B$13*(1+D984^2/1500))</f>
        <v>0.022337641686372492</v>
      </c>
      <c r="J984" s="4">
        <f>Thiet_ke!$B$8*D984^2</f>
        <v>2146.2601932639545</v>
      </c>
      <c r="K984" s="4">
        <f>Thiet_ke!$B$3*I984+J984</f>
        <v>3831.38731067804</v>
      </c>
      <c r="L984" s="4">
        <f>(H984-J984)/Thiet_ke!$B$3</f>
        <v>0.020150398052066976</v>
      </c>
      <c r="M984" s="4">
        <f>1.05+0.05*B984^2</f>
        <v>1.1</v>
      </c>
      <c r="N984" s="4">
        <f>(MIN(H984,Thiet_ke!$B$16)-K984)/(Thiet_ke!$B$2*M984)</f>
        <v>-0.01950623641139733</v>
      </c>
      <c r="O984" s="4">
        <f>IF(N984&gt;0,1/N984,"")</f>
        <v/>
      </c>
    </row>
    <row r="985" spans="1:15">
      <c r="A985">
        <v>5</v>
      </c>
      <c r="B985" s="4">
        <f>Thiet_ke!$B$24</f>
        <v>1.0</v>
      </c>
      <c r="C985" s="4">
        <f>Dau_vao!$B$21+(Dau_vao!$B$19-Dau_vao!$B$21)*179/200</f>
        <v>2411.0</v>
      </c>
      <c r="D985" s="4">
        <f>2*PI()*C985*Thiet_ke!$B$7/(60*Thiet_ke!$B$15*B985)</f>
        <v>27.18957739791073</v>
      </c>
      <c r="E985" s="4">
        <f>D985*3.6</f>
        <v>97.88247863247862</v>
      </c>
      <c r="F985" s="4">
        <f>Thiet_ke!$B$12*(Dau_vao!$B$22*(C985/Dau_vao!$B$19)+Dau_vao!$B$23*(C985/Dau_vao!$B$19)^2-Dau_vao!$B$24*(C985/Dau_vao!$B$19)^3)</f>
        <v>111.87645915022212</v>
      </c>
      <c r="G985" s="4">
        <f>60000*F985/(2*PI()*C985)</f>
        <v>443.11136016697697</v>
      </c>
      <c r="H985" s="4">
        <f>G985*Thiet_ke!$B$15*B985*Dau_vao!$B$10/Thiet_ke!$B$7</f>
        <v>3662.066798116132</v>
      </c>
      <c r="I985" s="4">
        <f>IF(D985&lt;=Dau_vao!$B$14,Dau_vao!$B$13,Dau_vao!$B$13*(1+D985^2/1500))</f>
        <v>0.022392731190769777</v>
      </c>
      <c r="J985" s="4">
        <f>Thiet_ke!$B$8*D985^2</f>
        <v>2162.3738733001605</v>
      </c>
      <c r="K985" s="4">
        <f>Thiet_ke!$B$3*I985+J985</f>
        <v>3851.656882327523</v>
      </c>
      <c r="L985" s="4">
        <f>(H985-J985)/Thiet_ke!$B$3</f>
        <v>0.019879570418126075</v>
      </c>
      <c r="M985" s="4">
        <f>1.05+0.05*B985^2</f>
        <v>1.1</v>
      </c>
      <c r="N985" s="4">
        <f>(MIN(H985,Thiet_ke!$B$16)-K985)/(Thiet_ke!$B$2*M985)</f>
        <v>-0.022412824708758845</v>
      </c>
      <c r="O985" s="4">
        <f>IF(N985&gt;0,1/N985,"")</f>
        <v/>
      </c>
    </row>
    <row r="986" spans="1:15">
      <c r="A986">
        <v>5</v>
      </c>
      <c r="B986" s="4">
        <f>Thiet_ke!$B$24</f>
        <v>1.0</v>
      </c>
      <c r="C986" s="4">
        <f>Dau_vao!$B$21+(Dau_vao!$B$19-Dau_vao!$B$21)*180/200</f>
        <v>2420.0</v>
      </c>
      <c r="D986" s="4">
        <f>2*PI()*C986*Thiet_ke!$B$7/(60*Thiet_ke!$B$15*B986)</f>
        <v>27.291073124406456</v>
      </c>
      <c r="E986" s="4">
        <f>D986*3.6</f>
        <v>98.24786324786324</v>
      </c>
      <c r="F986" s="4">
        <f>Thiet_ke!$B$12*(Dau_vao!$B$22*(C986/Dau_vao!$B$19)+Dau_vao!$B$23*(C986/Dau_vao!$B$19)^2-Dau_vao!$B$24*(C986/Dau_vao!$B$19)^3)</f>
        <v>112.1590867976327</v>
      </c>
      <c r="G986" s="4">
        <f>60000*F986/(2*PI()*C986)</f>
        <v>442.5786713185831</v>
      </c>
      <c r="H986" s="4">
        <f>G986*Thiet_ke!$B$15*B986*Dau_vao!$B$10/Thiet_ke!$B$7</f>
        <v>3657.664423632447</v>
      </c>
      <c r="I986" s="4">
        <f>IF(D986&lt;=Dau_vao!$B$14,Dau_vao!$B$13,Dau_vao!$B$13*(1+D986^2/1500))</f>
        <v>0.022448026722817004</v>
      </c>
      <c r="J986" s="4">
        <f>Thiet_ke!$B$8*D986^2</f>
        <v>2178.5478164239735</v>
      </c>
      <c r="K986" s="4">
        <f>Thiet_ke!$B$3*I986+J986</f>
        <v>3872.0022595638934</v>
      </c>
      <c r="L986" s="4">
        <f>(H986-J986)/Thiet_ke!$B$3</f>
        <v>0.01960681567743529</v>
      </c>
      <c r="M986" s="4">
        <f>1.05+0.05*B986^2</f>
        <v>1.1</v>
      </c>
      <c r="N986" s="4">
        <f>(MIN(H986,Thiet_ke!$B$16)-K986)/(Thiet_ke!$B$2*M986)</f>
        <v>-0.025338436686540552</v>
      </c>
      <c r="O986" s="4">
        <f>IF(N986&gt;0,1/N986,"")</f>
        <v/>
      </c>
    </row>
    <row r="987" spans="1:15">
      <c r="A987">
        <v>5</v>
      </c>
      <c r="B987" s="4">
        <f>Thiet_ke!$B$24</f>
        <v>1.0</v>
      </c>
      <c r="C987" s="4">
        <f>Dau_vao!$B$21+(Dau_vao!$B$19-Dau_vao!$B$21)*181/200</f>
        <v>2429.0</v>
      </c>
      <c r="D987" s="4">
        <f>2*PI()*C987*Thiet_ke!$B$7/(60*Thiet_ke!$B$15*B987)</f>
        <v>27.392568850902183</v>
      </c>
      <c r="E987" s="4">
        <f>D987*3.6</f>
        <v>98.61324786324786</v>
      </c>
      <c r="F987" s="4">
        <f>Thiet_ke!$B$12*(Dau_vao!$B$22*(C987/Dau_vao!$B$19)+Dau_vao!$B$23*(C987/Dau_vao!$B$19)^2-Dau_vao!$B$24*(C987/Dau_vao!$B$19)^3)</f>
        <v>112.43809064417597</v>
      </c>
      <c r="G987" s="4">
        <f>60000*F987/(2*PI()*C987)</f>
        <v>442.0356834376747</v>
      </c>
      <c r="H987" s="4">
        <f>G987*Thiet_ke!$B$15*B987*Dau_vao!$B$10/Thiet_ke!$B$7</f>
        <v>3653.176933422978</v>
      </c>
      <c r="I987" s="4">
        <f>IF(D987&lt;=Dau_vao!$B$14,Dau_vao!$B$13,Dau_vao!$B$13*(1+D987^2/1500))</f>
        <v>0.022503528282514167</v>
      </c>
      <c r="J987" s="4">
        <f>Thiet_ke!$B$8*D987^2</f>
        <v>2194.782022635394</v>
      </c>
      <c r="K987" s="4">
        <f>Thiet_ke!$B$3*I987+J987</f>
        <v>3892.423442387152</v>
      </c>
      <c r="L987" s="4">
        <f>(H987-J987)/Thiet_ke!$B$3</f>
        <v>0.019332133829994658</v>
      </c>
      <c r="M987" s="4">
        <f>1.05+0.05*B987^2</f>
        <v>1.1</v>
      </c>
      <c r="N987" s="4">
        <f>(MIN(H987,Thiet_ke!$B$16)-K987)/(Thiet_ke!$B$2*M987)</f>
        <v>-0.028283072344742186</v>
      </c>
      <c r="O987" s="4">
        <f>IF(N987&gt;0,1/N987,"")</f>
        <v/>
      </c>
    </row>
    <row r="988" spans="1:15">
      <c r="A988">
        <v>5</v>
      </c>
      <c r="B988" s="4">
        <f>Thiet_ke!$B$24</f>
        <v>1.0</v>
      </c>
      <c r="C988" s="4">
        <f>Dau_vao!$B$21+(Dau_vao!$B$19-Dau_vao!$B$21)*182/200</f>
        <v>2438.0</v>
      </c>
      <c r="D988" s="4">
        <f>2*PI()*C988*Thiet_ke!$B$7/(60*Thiet_ke!$B$15*B988)</f>
        <v>27.494064577397907</v>
      </c>
      <c r="E988" s="4">
        <f>D988*3.6</f>
        <v>98.97863247863246</v>
      </c>
      <c r="F988" s="4">
        <f>Thiet_ke!$B$12*(Dau_vao!$B$22*(C988/Dau_vao!$B$19)+Dau_vao!$B$23*(C988/Dau_vao!$B$19)^2-Dau_vao!$B$24*(C988/Dau_vao!$B$19)^3)</f>
        <v>112.71344157002348</v>
      </c>
      <c r="G988" s="4">
        <f>60000*F988/(2*PI()*C988)</f>
        <v>441.4823965242516</v>
      </c>
      <c r="H988" s="4">
        <f>G988*Thiet_ke!$B$15*B988*Dau_vao!$B$10/Thiet_ke!$B$7</f>
        <v>3648.6043274877225</v>
      </c>
      <c r="I988" s="4">
        <f>IF(D988&lt;=Dau_vao!$B$14,Dau_vao!$B$13,Dau_vao!$B$13*(1+D988^2/1500))</f>
        <v>0.022559235869861263</v>
      </c>
      <c r="J988" s="4">
        <f>Thiet_ke!$B$8*D988^2</f>
        <v>2211.0764919344197</v>
      </c>
      <c r="K988" s="4">
        <f>Thiet_ke!$B$3*I988+J988</f>
        <v>3912.920430797297</v>
      </c>
      <c r="L988" s="4">
        <f>(H988-J988)/Thiet_ke!$B$3</f>
        <v>0.019055524875804163</v>
      </c>
      <c r="M988" s="4">
        <f>1.05+0.05*B988^2</f>
        <v>1.1</v>
      </c>
      <c r="N988" s="4">
        <f>(MIN(H988,Thiet_ke!$B$16)-K988)/(Thiet_ke!$B$2*M988)</f>
        <v>-0.0312467316833638</v>
      </c>
      <c r="O988" s="4">
        <f>IF(N988&gt;0,1/N988,"")</f>
        <v/>
      </c>
    </row>
    <row r="989" spans="1:15">
      <c r="A989">
        <v>5</v>
      </c>
      <c r="B989" s="4">
        <f>Thiet_ke!$B$24</f>
        <v>1.0</v>
      </c>
      <c r="C989" s="4">
        <f>Dau_vao!$B$21+(Dau_vao!$B$19-Dau_vao!$B$21)*183/200</f>
        <v>2447.0</v>
      </c>
      <c r="D989" s="4">
        <f>2*PI()*C989*Thiet_ke!$B$7/(60*Thiet_ke!$B$15*B989)</f>
        <v>27.595560303893638</v>
      </c>
      <c r="E989" s="4">
        <f>D989*3.6</f>
        <v>99.3440170940171</v>
      </c>
      <c r="F989" s="4">
        <f>Thiet_ke!$B$12*(Dau_vao!$B$22*(C989/Dau_vao!$B$19)+Dau_vao!$B$23*(C989/Dau_vao!$B$19)^2-Dau_vao!$B$24*(C989/Dau_vao!$B$19)^3)</f>
        <v>112.98511045534687</v>
      </c>
      <c r="G989" s="4">
        <f>60000*F989/(2*PI()*C989)</f>
        <v>440.91881057831404</v>
      </c>
      <c r="H989" s="4">
        <f>G989*Thiet_ke!$B$15*B989*Dau_vao!$B$10/Thiet_ke!$B$7</f>
        <v>3643.946605826681</v>
      </c>
      <c r="I989" s="4">
        <f>IF(D989&lt;=Dau_vao!$B$14,Dau_vao!$B$13,Dau_vao!$B$13*(1+D989^2/1500))</f>
        <v>0.022615149484858304</v>
      </c>
      <c r="J989" s="4">
        <f>Thiet_ke!$B$8*D989^2</f>
        <v>2227.431224321054</v>
      </c>
      <c r="K989" s="4">
        <f>Thiet_ke!$B$3*I989+J989</f>
        <v>3933.493224794331</v>
      </c>
      <c r="L989" s="4">
        <f>(H989-J989)/Thiet_ke!$B$3</f>
        <v>0.01877698881486378</v>
      </c>
      <c r="M989" s="4">
        <f>1.05+0.05*B989^2</f>
        <v>1.1</v>
      </c>
      <c r="N989" s="4">
        <f>(MIN(H989,Thiet_ke!$B$16)-K989)/(Thiet_ke!$B$2*M989)</f>
        <v>-0.03422941470240571</v>
      </c>
      <c r="O989" s="4">
        <f>IF(N989&gt;0,1/N989,"")</f>
        <v/>
      </c>
    </row>
    <row r="990" spans="1:15">
      <c r="A990">
        <v>5</v>
      </c>
      <c r="B990" s="4">
        <f>Thiet_ke!$B$24</f>
        <v>1.0</v>
      </c>
      <c r="C990" s="4">
        <f>Dau_vao!$B$21+(Dau_vao!$B$19-Dau_vao!$B$21)*184/200</f>
        <v>2456.0</v>
      </c>
      <c r="D990" s="4">
        <f>2*PI()*C990*Thiet_ke!$B$7/(60*Thiet_ke!$B$15*B990)</f>
        <v>27.697056030389366</v>
      </c>
      <c r="E990" s="4">
        <f>D990*3.6</f>
        <v>99.70940170940172</v>
      </c>
      <c r="F990" s="4">
        <f>Thiet_ke!$B$12*(Dau_vao!$B$22*(C990/Dau_vao!$B$19)+Dau_vao!$B$23*(C990/Dau_vao!$B$19)^2-Dau_vao!$B$24*(C990/Dau_vao!$B$19)^3)</f>
        <v>113.25306818031773</v>
      </c>
      <c r="G990" s="4">
        <f>60000*F990/(2*PI()*C990)</f>
        <v>440.3449255998618</v>
      </c>
      <c r="H990" s="4">
        <f>G990*Thiet_ke!$B$15*B990*Dau_vao!$B$10/Thiet_ke!$B$7</f>
        <v>3639.2037684398547</v>
      </c>
      <c r="I990" s="4">
        <f>IF(D990&lt;=Dau_vao!$B$14,Dau_vao!$B$13,Dau_vao!$B$13*(1+D990^2/1500))</f>
        <v>0.022671269127505278</v>
      </c>
      <c r="J990" s="4">
        <f>Thiet_ke!$B$8*D990^2</f>
        <v>2243.8462197952945</v>
      </c>
      <c r="K990" s="4">
        <f>Thiet_ke!$B$3*I990+J990</f>
        <v>3954.1418243782527</v>
      </c>
      <c r="L990" s="4">
        <f>(H990-J990)/Thiet_ke!$B$3</f>
        <v>0.01849652564717354</v>
      </c>
      <c r="M990" s="4">
        <f>1.05+0.05*B990^2</f>
        <v>1.1</v>
      </c>
      <c r="N990" s="4">
        <f>(MIN(H990,Thiet_ke!$B$16)-K990)/(Thiet_ke!$B$2*M990)</f>
        <v>-0.03723112140186761</v>
      </c>
      <c r="O990" s="4">
        <f>IF(N990&gt;0,1/N990,"")</f>
        <v/>
      </c>
    </row>
    <row r="991" spans="1:15">
      <c r="A991">
        <v>5</v>
      </c>
      <c r="B991" s="4">
        <f>Thiet_ke!$B$24</f>
        <v>1.0</v>
      </c>
      <c r="C991" s="4">
        <f>Dau_vao!$B$21+(Dau_vao!$B$19-Dau_vao!$B$21)*185/200</f>
        <v>2465.0</v>
      </c>
      <c r="D991" s="4">
        <f>2*PI()*C991*Thiet_ke!$B$7/(60*Thiet_ke!$B$15*B991)</f>
        <v>27.798551756885093</v>
      </c>
      <c r="E991" s="4">
        <f>D991*3.6</f>
        <v>100.07478632478633</v>
      </c>
      <c r="F991" s="4">
        <f>Thiet_ke!$B$12*(Dau_vao!$B$22*(C991/Dau_vao!$B$19)+Dau_vao!$B$23*(C991/Dau_vao!$B$19)^2-Dau_vao!$B$24*(C991/Dau_vao!$B$19)^3)</f>
        <v>113.51728562510766</v>
      </c>
      <c r="G991" s="4">
        <f>60000*F991/(2*PI()*C991)</f>
        <v>439.7607415888951</v>
      </c>
      <c r="H991" s="4">
        <f>G991*Thiet_ke!$B$15*B991*Dau_vao!$B$10/Thiet_ke!$B$7</f>
        <v>3634.3758153272433</v>
      </c>
      <c r="I991" s="4">
        <f>IF(D991&lt;=Dau_vao!$B$14,Dau_vao!$B$13,Dau_vao!$B$13*(1+D991^2/1500))</f>
        <v>0.022727594797802193</v>
      </c>
      <c r="J991" s="4">
        <f>Thiet_ke!$B$8*D991^2</f>
        <v>2260.3214783571416</v>
      </c>
      <c r="K991" s="4">
        <f>Thiet_ke!$B$3*I991+J991</f>
        <v>3974.8662295490617</v>
      </c>
      <c r="L991" s="4">
        <f>(H991-J991)/Thiet_ke!$B$3</f>
        <v>0.01821413537273345</v>
      </c>
      <c r="M991" s="4">
        <f>1.05+0.05*B991^2</f>
        <v>1.1</v>
      </c>
      <c r="N991" s="4">
        <f>(MIN(H991,Thiet_ke!$B$16)-K991)/(Thiet_ke!$B$2*M991)</f>
        <v>-0.04025185178174942</v>
      </c>
      <c r="O991" s="4">
        <f>IF(N991&gt;0,1/N991,"")</f>
        <v/>
      </c>
    </row>
    <row r="992" spans="1:15">
      <c r="A992">
        <v>5</v>
      </c>
      <c r="B992" s="4">
        <f>Thiet_ke!$B$24</f>
        <v>1.0</v>
      </c>
      <c r="C992" s="4">
        <f>Dau_vao!$B$21+(Dau_vao!$B$19-Dau_vao!$B$21)*186/200</f>
        <v>2474.0</v>
      </c>
      <c r="D992" s="4">
        <f>2*PI()*C992*Thiet_ke!$B$7/(60*Thiet_ke!$B$15*B992)</f>
        <v>27.900047483380817</v>
      </c>
      <c r="E992" s="4">
        <f>D992*3.6</f>
        <v>100.44017094017094</v>
      </c>
      <c r="F992" s="4">
        <f>Thiet_ke!$B$12*(Dau_vao!$B$22*(C992/Dau_vao!$B$19)+Dau_vao!$B$23*(C992/Dau_vao!$B$19)^2-Dau_vao!$B$24*(C992/Dau_vao!$B$19)^3)</f>
        <v>113.77773366988825</v>
      </c>
      <c r="G992" s="4">
        <f>60000*F992/(2*PI()*C992)</f>
        <v>439.1662585454136</v>
      </c>
      <c r="H992" s="4">
        <f>G992*Thiet_ke!$B$15*B992*Dau_vao!$B$10/Thiet_ke!$B$7</f>
        <v>3629.462746488845</v>
      </c>
      <c r="I992" s="4">
        <f>IF(D992&lt;=Dau_vao!$B$14,Dau_vao!$B$13,Dau_vao!$B$13*(1+D992^2/1500))</f>
        <v>0.022784126495749044</v>
      </c>
      <c r="J992" s="4">
        <f>Thiet_ke!$B$8*D992^2</f>
        <v>2276.857000006595</v>
      </c>
      <c r="K992" s="4">
        <f>Thiet_ke!$B$3*I992+J992</f>
        <v>3995.666440306758</v>
      </c>
      <c r="L992" s="4">
        <f>(H992-J992)/Thiet_ke!$B$3</f>
        <v>0.017929817991543483</v>
      </c>
      <c r="M992" s="4">
        <f>1.05+0.05*B992^2</f>
        <v>1.1</v>
      </c>
      <c r="N992" s="4">
        <f>(MIN(H992,Thiet_ke!$B$16)-K992)/(Thiet_ke!$B$2*M992)</f>
        <v>-0.04329160584205143</v>
      </c>
      <c r="O992" s="4">
        <f>IF(N992&gt;0,1/N992,"")</f>
        <v/>
      </c>
    </row>
    <row r="993" spans="1:15">
      <c r="A993">
        <v>5</v>
      </c>
      <c r="B993" s="4">
        <f>Thiet_ke!$B$24</f>
        <v>1.0</v>
      </c>
      <c r="C993" s="4">
        <f>Dau_vao!$B$21+(Dau_vao!$B$19-Dau_vao!$B$21)*187/200</f>
        <v>2483.0</v>
      </c>
      <c r="D993" s="4">
        <f>2*PI()*C993*Thiet_ke!$B$7/(60*Thiet_ke!$B$15*B993)</f>
        <v>28.00154320987654</v>
      </c>
      <c r="E993" s="4">
        <f>D993*3.6</f>
        <v>100.80555555555554</v>
      </c>
      <c r="F993" s="4">
        <f>Thiet_ke!$B$12*(Dau_vao!$B$22*(C993/Dau_vao!$B$19)+Dau_vao!$B$23*(C993/Dau_vao!$B$19)^2-Dau_vao!$B$24*(C993/Dau_vao!$B$19)^3)</f>
        <v>114.03438319483111</v>
      </c>
      <c r="G993" s="4">
        <f>60000*F993/(2*PI()*C993)</f>
        <v>438.56147646941764</v>
      </c>
      <c r="H993" s="4">
        <f>G993*Thiet_ke!$B$15*B993*Dau_vao!$B$10/Thiet_ke!$B$7</f>
        <v>3624.4645619246626</v>
      </c>
      <c r="I993" s="4">
        <f>IF(D993&lt;=Dau_vao!$B$14,Dau_vao!$B$13,Dau_vao!$B$13*(1+D993^2/1500))</f>
        <v>0.02284086422134583</v>
      </c>
      <c r="J993" s="4">
        <f>Thiet_ke!$B$8*D993^2</f>
        <v>2293.4527847436557</v>
      </c>
      <c r="K993" s="4">
        <f>Thiet_ke!$B$3*I993+J993</f>
        <v>4016.542456651342</v>
      </c>
      <c r="L993" s="4">
        <f>(H993-J993)/Thiet_ke!$B$3</f>
        <v>0.01764357350360367</v>
      </c>
      <c r="M993" s="4">
        <f>1.05+0.05*B993^2</f>
        <v>1.1</v>
      </c>
      <c r="N993" s="4">
        <f>(MIN(H993,Thiet_ke!$B$16)-K993)/(Thiet_ke!$B$2*M993)</f>
        <v>-0.04635038358277331</v>
      </c>
      <c r="O993" s="4">
        <f>IF(N993&gt;0,1/N993,"")</f>
        <v/>
      </c>
    </row>
    <row r="994" spans="1:15">
      <c r="A994">
        <v>5</v>
      </c>
      <c r="B994" s="4">
        <f>Thiet_ke!$B$24</f>
        <v>1.0</v>
      </c>
      <c r="C994" s="4">
        <f>Dau_vao!$B$21+(Dau_vao!$B$19-Dau_vao!$B$21)*188/200</f>
        <v>2492.0</v>
      </c>
      <c r="D994" s="4">
        <f>2*PI()*C994*Thiet_ke!$B$7/(60*Thiet_ke!$B$15*B994)</f>
        <v>28.10303893637227</v>
      </c>
      <c r="E994" s="4">
        <f>D994*3.6</f>
        <v>101.17094017094017</v>
      </c>
      <c r="F994" s="4">
        <f>Thiet_ke!$B$12*(Dau_vao!$B$22*(C994/Dau_vao!$B$19)+Dau_vao!$B$23*(C994/Dau_vao!$B$19)^2-Dau_vao!$B$24*(C994/Dau_vao!$B$19)^3)</f>
        <v>114.28720508010785</v>
      </c>
      <c r="G994" s="4">
        <f>60000*F994/(2*PI()*C994)</f>
        <v>437.94639536090705</v>
      </c>
      <c r="H994" s="4">
        <f>G994*Thiet_ke!$B$15*B994*Dau_vao!$B$10/Thiet_ke!$B$7</f>
        <v>3619.381261634694</v>
      </c>
      <c r="I994" s="4">
        <f>IF(D994&lt;=Dau_vao!$B$14,Dau_vao!$B$13,Dau_vao!$B$13*(1+D994^2/1500))</f>
        <v>0.02289780797459256</v>
      </c>
      <c r="J994" s="4">
        <f>Thiet_ke!$B$8*D994^2</f>
        <v>2310.108832568323</v>
      </c>
      <c r="K994" s="4">
        <f>Thiet_ke!$B$3*I994+J994</f>
        <v>4037.494278582814</v>
      </c>
      <c r="L994" s="4">
        <f>(H994-J994)/Thiet_ke!$B$3</f>
        <v>0.01735540190891398</v>
      </c>
      <c r="M994" s="4">
        <f>1.05+0.05*B994^2</f>
        <v>1.1</v>
      </c>
      <c r="N994" s="4">
        <f>(MIN(H994,Thiet_ke!$B$16)-K994)/(Thiet_ke!$B$2*M994)</f>
        <v>-0.04942818500391533</v>
      </c>
      <c r="O994" s="4">
        <f>IF(N994&gt;0,1/N994,"")</f>
        <v/>
      </c>
    </row>
    <row r="995" spans="1:15">
      <c r="A995">
        <v>5</v>
      </c>
      <c r="B995" s="4">
        <f>Thiet_ke!$B$24</f>
        <v>1.0</v>
      </c>
      <c r="C995" s="4">
        <f>Dau_vao!$B$21+(Dau_vao!$B$19-Dau_vao!$B$21)*189/200</f>
        <v>2501.0</v>
      </c>
      <c r="D995" s="4">
        <f>2*PI()*C995*Thiet_ke!$B$7/(60*Thiet_ke!$B$15*B995)</f>
        <v>28.204534662867992</v>
      </c>
      <c r="E995" s="4">
        <f>D995*3.6</f>
        <v>101.53632478632477</v>
      </c>
      <c r="F995" s="4">
        <f>Thiet_ke!$B$12*(Dau_vao!$B$22*(C995/Dau_vao!$B$19)+Dau_vao!$B$23*(C995/Dau_vao!$B$19)^2-Dau_vao!$B$24*(C995/Dau_vao!$B$19)^3)</f>
        <v>114.5361702058901</v>
      </c>
      <c r="G995" s="4">
        <f>60000*F995/(2*PI()*C995)</f>
        <v>437.32101521988193</v>
      </c>
      <c r="H995" s="4">
        <f>G995*Thiet_ke!$B$15*B995*Dau_vao!$B$10/Thiet_ke!$B$7</f>
        <v>3614.2128456189407</v>
      </c>
      <c r="I995" s="4">
        <f>IF(D995&lt;=Dau_vao!$B$14,Dau_vao!$B$13,Dau_vao!$B$13*(1+D995^2/1500))</f>
        <v>0.022954957755489218</v>
      </c>
      <c r="J995" s="4">
        <f>Thiet_ke!$B$8*D995^2</f>
        <v>2326.8251434805975</v>
      </c>
      <c r="K995" s="4">
        <f>Thiet_ke!$B$3*I995+J995</f>
        <v>4058.521906101173</v>
      </c>
      <c r="L995" s="4">
        <f>(H995-J995)/Thiet_ke!$B$3</f>
        <v>0.017065303207474434</v>
      </c>
      <c r="M995" s="4">
        <f>1.05+0.05*B995^2</f>
        <v>1.1</v>
      </c>
      <c r="N995" s="4">
        <f>(MIN(H995,Thiet_ke!$B$16)-K995)/(Thiet_ke!$B$2*M995)</f>
        <v>-0.052525010105477284</v>
      </c>
      <c r="O995" s="4">
        <f>IF(N995&gt;0,1/N995,"")</f>
        <v/>
      </c>
    </row>
    <row r="996" spans="1:15">
      <c r="A996">
        <v>5</v>
      </c>
      <c r="B996" s="4">
        <f>Thiet_ke!$B$24</f>
        <v>1.0</v>
      </c>
      <c r="C996" s="4">
        <f>Dau_vao!$B$21+(Dau_vao!$B$19-Dau_vao!$B$21)*190/200</f>
        <v>2510.0</v>
      </c>
      <c r="D996" s="4">
        <f>2*PI()*C996*Thiet_ke!$B$7/(60*Thiet_ke!$B$15*B996)</f>
        <v>28.30603038936372</v>
      </c>
      <c r="E996" s="4">
        <f>D996*3.6</f>
        <v>101.9017094017094</v>
      </c>
      <c r="F996" s="4">
        <f>Thiet_ke!$B$12*(Dau_vao!$B$22*(C996/Dau_vao!$B$19)+Dau_vao!$B$23*(C996/Dau_vao!$B$19)^2-Dau_vao!$B$24*(C996/Dau_vao!$B$19)^3)</f>
        <v>114.78124945234941</v>
      </c>
      <c r="G996" s="4">
        <f>60000*F996/(2*PI()*C996)</f>
        <v>436.6853360463422</v>
      </c>
      <c r="H996" s="4">
        <f>G996*Thiet_ke!$B$15*B996*Dau_vao!$B$10/Thiet_ke!$B$7</f>
        <v>3608.9593138774003</v>
      </c>
      <c r="I996" s="4">
        <f>IF(D996&lt;=Dau_vao!$B$14,Dau_vao!$B$13,Dau_vao!$B$13*(1+D996^2/1500))</f>
        <v>0.02301231356403582</v>
      </c>
      <c r="J996" s="4">
        <f>Thiet_ke!$B$8*D996^2</f>
        <v>2343.601717480479</v>
      </c>
      <c r="K996" s="4">
        <f>Thiet_ke!$B$3*I996+J996</f>
        <v>4079.625339206421</v>
      </c>
      <c r="L996" s="4">
        <f>(H996-J996)/Thiet_ke!$B$3</f>
        <v>0.016773277399285004</v>
      </c>
      <c r="M996" s="4">
        <f>1.05+0.05*B996^2</f>
        <v>1.1</v>
      </c>
      <c r="N996" s="4">
        <f>(MIN(H996,Thiet_ke!$B$16)-K996)/(Thiet_ke!$B$2*M996)</f>
        <v>-0.055640858887459586</v>
      </c>
      <c r="O996" s="4">
        <f>IF(N996&gt;0,1/N996,"")</f>
        <v/>
      </c>
    </row>
    <row r="997" spans="1:15">
      <c r="A997">
        <v>5</v>
      </c>
      <c r="B997" s="4">
        <f>Thiet_ke!$B$24</f>
        <v>1.0</v>
      </c>
      <c r="C997" s="4">
        <f>Dau_vao!$B$21+(Dau_vao!$B$19-Dau_vao!$B$21)*191/200</f>
        <v>2519.0</v>
      </c>
      <c r="D997" s="4">
        <f>2*PI()*C997*Thiet_ke!$B$7/(60*Thiet_ke!$B$15*B997)</f>
        <v>28.407526115859447</v>
      </c>
      <c r="E997" s="4">
        <f>D997*3.6</f>
        <v>102.26709401709401</v>
      </c>
      <c r="F997" s="4">
        <f>Thiet_ke!$B$12*(Dau_vao!$B$22*(C997/Dau_vao!$B$19)+Dau_vao!$B$23*(C997/Dau_vao!$B$19)^2-Dau_vao!$B$24*(C997/Dau_vao!$B$19)^3)</f>
        <v>115.02241369965739</v>
      </c>
      <c r="G997" s="4">
        <f>60000*F997/(2*PI()*C997)</f>
        <v>436.03935784028783</v>
      </c>
      <c r="H997" s="4">
        <f>G997*Thiet_ke!$B$15*B997*Dau_vao!$B$10/Thiet_ke!$B$7</f>
        <v>3603.6206664100764</v>
      </c>
      <c r="I997" s="4">
        <f>IF(D997&lt;=Dau_vao!$B$14,Dau_vao!$B$13,Dau_vao!$B$13*(1+D997^2/1500))</f>
        <v>0.023069875400232365</v>
      </c>
      <c r="J997" s="4">
        <f>Thiet_ke!$B$8*D997^2</f>
        <v>2360.438554567967</v>
      </c>
      <c r="K997" s="4">
        <f>Thiet_ke!$B$3*I997+J997</f>
        <v>4100.804577898556</v>
      </c>
      <c r="L997" s="4">
        <f>(H997-J997)/Thiet_ke!$B$3</f>
        <v>0.016479324484345734</v>
      </c>
      <c r="M997" s="4">
        <f>1.05+0.05*B997^2</f>
        <v>1.1</v>
      </c>
      <c r="N997" s="4">
        <f>(MIN(H997,Thiet_ke!$B$16)-K997)/(Thiet_ke!$B$2*M997)</f>
        <v>-0.05877573134986165</v>
      </c>
      <c r="O997" s="4">
        <f>IF(N997&gt;0,1/N997,"")</f>
        <v/>
      </c>
    </row>
    <row r="998" spans="1:15">
      <c r="A998">
        <v>5</v>
      </c>
      <c r="B998" s="4">
        <f>Thiet_ke!$B$24</f>
        <v>1.0</v>
      </c>
      <c r="C998" s="4">
        <f>Dau_vao!$B$21+(Dau_vao!$B$19-Dau_vao!$B$21)*192/200</f>
        <v>2528.0</v>
      </c>
      <c r="D998" s="4">
        <f>2*PI()*C998*Thiet_ke!$B$7/(60*Thiet_ke!$B$15*B998)</f>
        <v>28.509021842355175</v>
      </c>
      <c r="E998" s="4">
        <f>D998*3.6</f>
        <v>102.63247863247864</v>
      </c>
      <c r="F998" s="4">
        <f>Thiet_ke!$B$12*(Dau_vao!$B$22*(C998/Dau_vao!$B$19)+Dau_vao!$B$23*(C998/Dau_vao!$B$19)^2-Dau_vao!$B$24*(C998/Dau_vao!$B$19)^3)</f>
        <v>115.25963382798565</v>
      </c>
      <c r="G998" s="4">
        <f>60000*F998/(2*PI()*C998)</f>
        <v>435.3830806017188</v>
      </c>
      <c r="H998" s="4">
        <f>G998*Thiet_ke!$B$15*B998*Dau_vao!$B$10/Thiet_ke!$B$7</f>
        <v>3598.1969032169673</v>
      </c>
      <c r="I998" s="4">
        <f>IF(D998&lt;=Dau_vao!$B$14,Dau_vao!$B$13,Dau_vao!$B$13*(1+D998^2/1500))</f>
        <v>0.023127643264078842</v>
      </c>
      <c r="J998" s="4">
        <f>Thiet_ke!$B$8*D998^2</f>
        <v>2377.335654743062</v>
      </c>
      <c r="K998" s="4">
        <f>Thiet_ke!$B$3*I998+J998</f>
        <v>4122.0596221775795</v>
      </c>
      <c r="L998" s="4">
        <f>(H998-J998)/Thiet_ke!$B$3</f>
        <v>0.0161834444626566</v>
      </c>
      <c r="M998" s="4">
        <f>1.05+0.05*B998^2</f>
        <v>1.1</v>
      </c>
      <c r="N998" s="4">
        <f>(MIN(H998,Thiet_ke!$B$16)-K998)/(Thiet_ke!$B$2*M998)</f>
        <v>-0.0619296274926838</v>
      </c>
      <c r="O998" s="4">
        <f>IF(N998&gt;0,1/N998,"")</f>
        <v/>
      </c>
    </row>
    <row r="999" spans="1:15">
      <c r="A999">
        <v>5</v>
      </c>
      <c r="B999" s="4">
        <f>Thiet_ke!$B$24</f>
        <v>1.0</v>
      </c>
      <c r="C999" s="4">
        <f>Dau_vao!$B$21+(Dau_vao!$B$19-Dau_vao!$B$21)*193/200</f>
        <v>2537.0</v>
      </c>
      <c r="D999" s="4">
        <f>2*PI()*C999*Thiet_ke!$B$7/(60*Thiet_ke!$B$15*B999)</f>
        <v>28.6105175688509</v>
      </c>
      <c r="E999" s="4">
        <f>D999*3.6</f>
        <v>102.99786324786324</v>
      </c>
      <c r="F999" s="4">
        <f>Thiet_ke!$B$12*(Dau_vao!$B$22*(C999/Dau_vao!$B$19)+Dau_vao!$B$23*(C999/Dau_vao!$B$19)^2-Dau_vao!$B$24*(C999/Dau_vao!$B$19)^3)</f>
        <v>115.49288071750577</v>
      </c>
      <c r="G999" s="4">
        <f>60000*F999/(2*PI()*C999)</f>
        <v>434.71650433063513</v>
      </c>
      <c r="H999" s="4">
        <f>G999*Thiet_ke!$B$15*B999*Dau_vao!$B$10/Thiet_ke!$B$7</f>
        <v>3592.68802429807</v>
      </c>
      <c r="I999" s="4">
        <f>IF(D999&lt;=Dau_vao!$B$14,Dau_vao!$B$13,Dau_vao!$B$13*(1+D999^2/1500))</f>
        <v>0.02318561715557526</v>
      </c>
      <c r="J999" s="4">
        <f>Thiet_ke!$B$8*D999^2</f>
        <v>2394.2930180057638</v>
      </c>
      <c r="K999" s="4">
        <f>Thiet_ke!$B$3*I999+J999</f>
        <v>4143.39047204349</v>
      </c>
      <c r="L999" s="4">
        <f>(H999-J999)/Thiet_ke!$B$3</f>
        <v>0.015885637334217575</v>
      </c>
      <c r="M999" s="4">
        <f>1.05+0.05*B999^2</f>
        <v>1.1</v>
      </c>
      <c r="N999" s="4">
        <f>(MIN(H999,Thiet_ke!$B$16)-K999)/(Thiet_ke!$B$2*M999)</f>
        <v>-0.06510254731592625</v>
      </c>
      <c r="O999" s="4">
        <f>IF(N999&gt;0,1/N999,"")</f>
        <v/>
      </c>
    </row>
    <row r="1000" spans="1:15">
      <c r="A1000">
        <v>5</v>
      </c>
      <c r="B1000" s="4">
        <f>Thiet_ke!$B$24</f>
        <v>1.0</v>
      </c>
      <c r="C1000" s="4">
        <f>Dau_vao!$B$21+(Dau_vao!$B$19-Dau_vao!$B$21)*194/200</f>
        <v>2546.0</v>
      </c>
      <c r="D1000" s="4">
        <f>2*PI()*C1000*Thiet_ke!$B$7/(60*Thiet_ke!$B$15*B1000)</f>
        <v>28.712013295346626</v>
      </c>
      <c r="E1000" s="4">
        <f>D1000*3.6</f>
        <v>103.36324786324785</v>
      </c>
      <c r="F1000" s="4">
        <f>Thiet_ke!$B$12*(Dau_vao!$B$22*(C1000/Dau_vao!$B$19)+Dau_vao!$B$23*(C1000/Dau_vao!$B$19)^2-Dau_vao!$B$24*(C1000/Dau_vao!$B$19)^3)</f>
        <v>115.72212524838945</v>
      </c>
      <c r="G1000" s="4">
        <f>60000*F1000/(2*PI()*C1000)</f>
        <v>434.0396290270371</v>
      </c>
      <c r="H1000" s="4">
        <f>G1000*Thiet_ke!$B$15*B1000*Dau_vao!$B$10/Thiet_ke!$B$7</f>
        <v>3587.094029653389</v>
      </c>
      <c r="I1000" s="4">
        <f>IF(D1000&lt;=Dau_vao!$B$14,Dau_vao!$B$13,Dau_vao!$B$13*(1+D1000^2/1500))</f>
        <v>0.023243797074721614</v>
      </c>
      <c r="J1000" s="4">
        <f>Thiet_ke!$B$8*D1000^2</f>
        <v>2411.3106443560723</v>
      </c>
      <c r="K1000" s="4">
        <f>Thiet_ke!$B$3*I1000+J1000</f>
        <v>4164.797127496289</v>
      </c>
      <c r="L1000" s="4">
        <f>(H1000-J1000)/Thiet_ke!$B$3</f>
        <v>0.015585903099028705</v>
      </c>
      <c r="M1000" s="4">
        <f>1.05+0.05*B1000^2</f>
        <v>1.1</v>
      </c>
      <c r="N1000" s="4">
        <f>(MIN(H1000,Thiet_ke!$B$16)-K1000)/(Thiet_ke!$B$2*M1000)</f>
        <v>-0.06829449081958863</v>
      </c>
      <c r="O1000" s="4">
        <f>IF(N1000&gt;0,1/N1000,"")</f>
        <v/>
      </c>
    </row>
    <row r="1001" spans="1:15">
      <c r="A1001">
        <v>5</v>
      </c>
      <c r="B1001" s="4">
        <f>Thiet_ke!$B$24</f>
        <v>1.0</v>
      </c>
      <c r="C1001" s="4">
        <f>Dau_vao!$B$21+(Dau_vao!$B$19-Dau_vao!$B$21)*195/200</f>
        <v>2555.0</v>
      </c>
      <c r="D1001" s="4">
        <f>2*PI()*C1001*Thiet_ke!$B$7/(60*Thiet_ke!$B$15*B1001)</f>
        <v>28.813509021842357</v>
      </c>
      <c r="E1001" s="4">
        <f>D1001*3.6</f>
        <v>103.72863247863249</v>
      </c>
      <c r="F1001" s="4">
        <f>Thiet_ke!$B$12*(Dau_vao!$B$22*(C1001/Dau_vao!$B$19)+Dau_vao!$B$23*(C1001/Dau_vao!$B$19)^2-Dau_vao!$B$24*(C1001/Dau_vao!$B$19)^3)</f>
        <v>115.94733830080816</v>
      </c>
      <c r="G1001" s="4">
        <f>60000*F1001/(2*PI()*C1001)</f>
        <v>433.3524546909243</v>
      </c>
      <c r="H1001" s="4">
        <f>G1001*Thiet_ke!$B$15*B1001*Dau_vao!$B$10/Thiet_ke!$B$7</f>
        <v>3581.4149192829213</v>
      </c>
      <c r="I1001" s="4">
        <f>IF(D1001&lt;=Dau_vao!$B$14,Dau_vao!$B$13,Dau_vao!$B$13*(1+D1001^2/1500))</f>
        <v>0.02330218302151791</v>
      </c>
      <c r="J1001" s="4">
        <f>Thiet_ke!$B$8*D1001^2</f>
        <v>2428.3885337939887</v>
      </c>
      <c r="K1001" s="4">
        <f>Thiet_ke!$B$3*I1001+J1001</f>
        <v>4186.2795885359765</v>
      </c>
      <c r="L1001" s="4">
        <f>(H1001-J1001)/Thiet_ke!$B$3</f>
        <v>0.015284241757089943</v>
      </c>
      <c r="M1001" s="4">
        <f>1.05+0.05*B1001^2</f>
        <v>1.1</v>
      </c>
      <c r="N1001" s="4">
        <f>(MIN(H1001,Thiet_ke!$B$16)-K1001)/(Thiet_ke!$B$2*M1001)</f>
        <v>-0.07150545800367125</v>
      </c>
      <c r="O1001" s="4">
        <f>IF(N1001&gt;0,1/N1001,"")</f>
        <v/>
      </c>
    </row>
    <row r="1002" spans="1:15">
      <c r="A1002">
        <v>5</v>
      </c>
      <c r="B1002" s="4">
        <f>Thiet_ke!$B$24</f>
        <v>1.0</v>
      </c>
      <c r="C1002" s="4">
        <f>Dau_vao!$B$21+(Dau_vao!$B$19-Dau_vao!$B$21)*196/200</f>
        <v>2564.0</v>
      </c>
      <c r="D1002" s="4">
        <f>2*PI()*C1002*Thiet_ke!$B$7/(60*Thiet_ke!$B$15*B1002)</f>
        <v>28.915004748338085</v>
      </c>
      <c r="E1002" s="4">
        <f>D1002*3.6</f>
        <v>104.0940170940171</v>
      </c>
      <c r="F1002" s="4">
        <f>Thiet_ke!$B$12*(Dau_vao!$B$22*(C1002/Dau_vao!$B$19)+Dau_vao!$B$23*(C1002/Dau_vao!$B$19)^2-Dau_vao!$B$24*(C1002/Dau_vao!$B$19)^3)</f>
        <v>116.16849075493356</v>
      </c>
      <c r="G1002" s="4">
        <f>60000*F1002/(2*PI()*C1002)</f>
        <v>432.654981322297</v>
      </c>
      <c r="H1002" s="4">
        <f>G1002*Thiet_ke!$B$15*B1002*Dau_vao!$B$10/Thiet_ke!$B$7</f>
        <v>3575.650693186669</v>
      </c>
      <c r="I1002" s="4">
        <f>IF(D1002&lt;=Dau_vao!$B$14,Dau_vao!$B$13,Dau_vao!$B$13*(1+D1002^2/1500))</f>
        <v>0.023360774995964142</v>
      </c>
      <c r="J1002" s="4">
        <f>Thiet_ke!$B$8*D1002^2</f>
        <v>2445.526686319511</v>
      </c>
      <c r="K1002" s="4">
        <f>Thiet_ke!$B$3*I1002+J1002</f>
        <v>4207.83785516255</v>
      </c>
      <c r="L1002" s="4">
        <f>(H1002-J1002)/Thiet_ke!$B$3</f>
        <v>0.014980653308401337</v>
      </c>
      <c r="M1002" s="4">
        <f>1.05+0.05*B1002^2</f>
        <v>1.1</v>
      </c>
      <c r="N1002" s="4">
        <f>(MIN(H1002,Thiet_ke!$B$16)-K1002)/(Thiet_ke!$B$2*M1002)</f>
        <v>-0.0747354488681737</v>
      </c>
      <c r="O1002" s="4">
        <f>IF(N1002&gt;0,1/N1002,"")</f>
        <v/>
      </c>
    </row>
    <row r="1003" spans="1:15">
      <c r="A1003">
        <v>5</v>
      </c>
      <c r="B1003" s="4">
        <f>Thiet_ke!$B$24</f>
        <v>1.0</v>
      </c>
      <c r="C1003" s="4">
        <f>Dau_vao!$B$21+(Dau_vao!$B$19-Dau_vao!$B$21)*197/200</f>
        <v>2573.0</v>
      </c>
      <c r="D1003" s="4">
        <f>2*PI()*C1003*Thiet_ke!$B$7/(60*Thiet_ke!$B$15*B1003)</f>
        <v>29.01650047483381</v>
      </c>
      <c r="E1003" s="4">
        <f>D1003*3.6</f>
        <v>104.45940170940172</v>
      </c>
      <c r="F1003" s="4">
        <f>Thiet_ke!$B$12*(Dau_vao!$B$22*(C1003/Dau_vao!$B$19)+Dau_vao!$B$23*(C1003/Dau_vao!$B$19)^2-Dau_vao!$B$24*(C1003/Dau_vao!$B$19)^3)</f>
        <v>116.38555349093728</v>
      </c>
      <c r="G1003" s="4">
        <f>60000*F1003/(2*PI()*C1003)</f>
        <v>431.94720892115504</v>
      </c>
      <c r="H1003" s="4">
        <f>G1003*Thiet_ke!$B$15*B1003*Dau_vao!$B$10/Thiet_ke!$B$7</f>
        <v>3569.801351364631</v>
      </c>
      <c r="I1003" s="4">
        <f>IF(D1003&lt;=Dau_vao!$B$14,Dau_vao!$B$13,Dau_vao!$B$13*(1+D1003^2/1500))</f>
        <v>0.023419572998060304</v>
      </c>
      <c r="J1003" s="4">
        <f>Thiet_ke!$B$8*D1003^2</f>
        <v>2462.72510193264</v>
      </c>
      <c r="K1003" s="4">
        <f>Thiet_ke!$B$3*I1003+J1003</f>
        <v>4229.471927376012</v>
      </c>
      <c r="L1003" s="4">
        <f>(H1003-J1003)/Thiet_ke!$B$3</f>
        <v>0.014675137752962874</v>
      </c>
      <c r="M1003" s="4">
        <f>1.05+0.05*B1003^2</f>
        <v>1.1</v>
      </c>
      <c r="N1003" s="4">
        <f>(MIN(H1003,Thiet_ke!$B$16)-K1003)/(Thiet_ke!$B$2*M1003)</f>
        <v>-0.07798446341309623</v>
      </c>
      <c r="O1003" s="4">
        <f>IF(N1003&gt;0,1/N1003,"")</f>
        <v/>
      </c>
    </row>
    <row r="1004" spans="1:15">
      <c r="A1004">
        <v>5</v>
      </c>
      <c r="B1004" s="4">
        <f>Thiet_ke!$B$24</f>
        <v>1.0</v>
      </c>
      <c r="C1004" s="4">
        <f>Dau_vao!$B$21+(Dau_vao!$B$19-Dau_vao!$B$21)*198/200</f>
        <v>2582.0</v>
      </c>
      <c r="D1004" s="4">
        <f>2*PI()*C1004*Thiet_ke!$B$7/(60*Thiet_ke!$B$15*B1004)</f>
        <v>29.117996201329536</v>
      </c>
      <c r="E1004" s="4">
        <f>D1004*3.6</f>
        <v>104.82478632478633</v>
      </c>
      <c r="F1004" s="4">
        <f>Thiet_ke!$B$12*(Dau_vao!$B$22*(C1004/Dau_vao!$B$19)+Dau_vao!$B$23*(C1004/Dau_vao!$B$19)^2-Dau_vao!$B$24*(C1004/Dau_vao!$B$19)^3)</f>
        <v>116.59849738899089</v>
      </c>
      <c r="G1004" s="4">
        <f>60000*F1004/(2*PI()*C1004)</f>
        <v>431.2291374874985</v>
      </c>
      <c r="H1004" s="4">
        <f>G1004*Thiet_ke!$B$15*B1004*Dau_vao!$B$10/Thiet_ke!$B$7</f>
        <v>3563.8668938168075</v>
      </c>
      <c r="I1004" s="4">
        <f>IF(D1004&lt;=Dau_vao!$B$14,Dau_vao!$B$13,Dau_vao!$B$13*(1+D1004^2/1500))</f>
        <v>0.02347857702780641</v>
      </c>
      <c r="J1004" s="4">
        <f>Thiet_ke!$B$8*D1004^2</f>
        <v>2479.9837806333758</v>
      </c>
      <c r="K1004" s="4">
        <f>Thiet_ke!$B$3*I1004+J1004</f>
        <v>4251.181805176361</v>
      </c>
      <c r="L1004" s="4">
        <f>(H1004-J1004)/Thiet_ke!$B$3</f>
        <v>0.014367695090774542</v>
      </c>
      <c r="M1004" s="4">
        <f>1.05+0.05*B1004^2</f>
        <v>1.1</v>
      </c>
      <c r="N1004" s="4">
        <f>(MIN(H1004,Thiet_ke!$B$16)-K1004)/(Thiet_ke!$B$2*M1004)</f>
        <v>-0.08125250163843878</v>
      </c>
      <c r="O1004" s="4">
        <f>IF(N1004&gt;0,1/N1004,"")</f>
        <v/>
      </c>
    </row>
    <row r="1005" spans="1:15">
      <c r="A1005">
        <v>5</v>
      </c>
      <c r="B1005" s="4">
        <f>Thiet_ke!$B$24</f>
        <v>1.0</v>
      </c>
      <c r="C1005" s="4">
        <f>Dau_vao!$B$21+(Dau_vao!$B$19-Dau_vao!$B$21)*199/200</f>
        <v>2591.0</v>
      </c>
      <c r="D1005" s="4">
        <f>2*PI()*C1005*Thiet_ke!$B$7/(60*Thiet_ke!$B$15*B1005)</f>
        <v>29.21949192782526</v>
      </c>
      <c r="E1005" s="4">
        <f>D1005*3.6</f>
        <v>105.19017094017094</v>
      </c>
      <c r="F1005" s="4">
        <f>Thiet_ke!$B$12*(Dau_vao!$B$22*(C1005/Dau_vao!$B$19)+Dau_vao!$B$23*(C1005/Dau_vao!$B$19)^2-Dau_vao!$B$24*(C1005/Dau_vao!$B$19)^3)</f>
        <v>116.80729332926596</v>
      </c>
      <c r="G1005" s="4">
        <f>60000*F1005/(2*PI()*C1005)</f>
        <v>430.5007670213273</v>
      </c>
      <c r="H1005" s="4">
        <f>G1005*Thiet_ke!$B$15*B1005*Dau_vao!$B$10/Thiet_ke!$B$7</f>
        <v>3557.8473205431987</v>
      </c>
      <c r="I1005" s="4">
        <f>IF(D1005&lt;=Dau_vao!$B$14,Dau_vao!$B$13,Dau_vao!$B$13*(1+D1005^2/1500))</f>
        <v>0.023537787085202454</v>
      </c>
      <c r="J1005" s="4">
        <f>Thiet_ke!$B$8*D1005^2</f>
        <v>2497.3027224217185</v>
      </c>
      <c r="K1005" s="4">
        <f>Thiet_ke!$B$3*I1005+J1005</f>
        <v>4272.967488563598</v>
      </c>
      <c r="L1005" s="4">
        <f>(H1005-J1005)/Thiet_ke!$B$3</f>
        <v>0.01405832532183635</v>
      </c>
      <c r="M1005" s="4">
        <f>1.05+0.05*B1005^2</f>
        <v>1.1</v>
      </c>
      <c r="N1005" s="4">
        <f>(MIN(H1005,Thiet_ke!$B$16)-K1005)/(Thiet_ke!$B$2*M1005)</f>
        <v>-0.08453956354420132</v>
      </c>
      <c r="O1005" s="4">
        <f>IF(N1005&gt;0,1/N1005,"")</f>
        <v/>
      </c>
    </row>
    <row r="1006" spans="1:15">
      <c r="A1006">
        <v>5</v>
      </c>
      <c r="B1006" s="4">
        <f>Thiet_ke!$B$24</f>
        <v>1.0</v>
      </c>
      <c r="C1006" s="4">
        <f>Dau_vao!$B$21+(Dau_vao!$B$19-Dau_vao!$B$21)*200/200</f>
        <v>2600.0</v>
      </c>
      <c r="D1006" s="4">
        <f>2*PI()*C1006*Thiet_ke!$B$7/(60*Thiet_ke!$B$15*B1006)</f>
        <v>29.320987654320984</v>
      </c>
      <c r="E1006" s="4">
        <f>D1006*3.6</f>
        <v>105.55555555555554</v>
      </c>
      <c r="F1006" s="4">
        <f>Thiet_ke!$B$12*(Dau_vao!$B$22*(C1006/Dau_vao!$B$19)+Dau_vao!$B$23*(C1006/Dau_vao!$B$19)^2-Dau_vao!$B$24*(C1006/Dau_vao!$B$19)^3)</f>
        <v>117.01191219193416</v>
      </c>
      <c r="G1006" s="4">
        <f>60000*F1006/(2*PI()*C1006)</f>
        <v>429.7620975226416</v>
      </c>
      <c r="H1006" s="4">
        <f>G1006*Thiet_ke!$B$15*B1006*Dau_vao!$B$10/Thiet_ke!$B$7</f>
        <v>3551.742631543803</v>
      </c>
      <c r="I1006" s="4">
        <f>IF(D1006&lt;=Dau_vao!$B$14,Dau_vao!$B$13,Dau_vao!$B$13*(1+D1006^2/1500))</f>
        <v>0.023597203170248437</v>
      </c>
      <c r="J1006" s="4">
        <f>Thiet_ke!$B$8*D1006^2</f>
        <v>2514.6819272976677</v>
      </c>
      <c r="K1006" s="4">
        <f>Thiet_ke!$B$3*I1006+J1006</f>
        <v>4294.8289775377225</v>
      </c>
      <c r="L1006" s="4">
        <f>(H1006-J1006)/Thiet_ke!$B$3</f>
        <v>0.013747028446148274</v>
      </c>
      <c r="M1006" s="4">
        <f>1.05+0.05*B1006^2</f>
        <v>1.1</v>
      </c>
      <c r="N1006" s="4">
        <f>(MIN(H1006,Thiet_ke!$B$16)-K1006)/(Thiet_ke!$B$2*M1006)</f>
        <v>-0.08784564913038416</v>
      </c>
      <c r="O1006" s="4">
        <f>IF(N1006&gt;0,1/N1006,"")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117"/>
  <sheetViews>
    <sheetView workbookViewId="0"/>
  </sheetViews>
  <sheetFormatPr defaultRowHeight="15"/>
  <cols>
    <col min="1" max="1" width="20.7109375" customWidth="1"/>
    <col min="2" max="7" width="17.7109375" customWidth="1"/>
  </cols>
  <sheetData>
    <row r="1" spans="1:7">
      <c r="A1" s="1" t="s">
        <v>130</v>
      </c>
    </row>
    <row r="3" spans="1:7">
      <c r="A3" s="1" t="s">
        <v>131</v>
      </c>
      <c r="B3" s="1" t="s">
        <v>115</v>
      </c>
      <c r="C3" s="1" t="s">
        <v>132</v>
      </c>
      <c r="D3" s="1" t="s">
        <v>133</v>
      </c>
      <c r="E3" s="1" t="s">
        <v>134</v>
      </c>
      <c r="F3" s="1" t="s">
        <v>110</v>
      </c>
      <c r="G3" s="1" t="s">
        <v>135</v>
      </c>
    </row>
    <row r="4" spans="1:7">
      <c r="A4" t="s">
        <v>136</v>
      </c>
      <c r="B4">
        <v>1</v>
      </c>
      <c r="C4">
        <v>0</v>
      </c>
      <c r="D4">
        <v>1.288834622167955</v>
      </c>
      <c r="E4">
        <v>0</v>
      </c>
      <c r="F4">
        <v>800</v>
      </c>
      <c r="G4">
        <v>0.7585249940957781</v>
      </c>
    </row>
    <row r="5" spans="1:7">
      <c r="A5" t="s">
        <v>137</v>
      </c>
      <c r="B5">
        <v>1</v>
      </c>
      <c r="C5">
        <v>0.008191046086527919</v>
      </c>
      <c r="D5">
        <v>1.295052683941573</v>
      </c>
      <c r="E5">
        <v>0.01058234972016552</v>
      </c>
      <c r="F5">
        <v>803.859649122807</v>
      </c>
      <c r="G5">
        <v>0.7597342495956162</v>
      </c>
    </row>
    <row r="6" spans="1:7">
      <c r="A6" t="s">
        <v>137</v>
      </c>
      <c r="B6">
        <v>1</v>
      </c>
      <c r="C6">
        <v>0.01636908688662351</v>
      </c>
      <c r="D6">
        <v>1.30127074571519</v>
      </c>
      <c r="E6">
        <v>0.02119874903852016</v>
      </c>
      <c r="F6">
        <v>807.7192982456138</v>
      </c>
      <c r="G6">
        <v>0.7609394254762096</v>
      </c>
    </row>
    <row r="7" spans="1:7">
      <c r="A7" t="s">
        <v>137</v>
      </c>
      <c r="B7">
        <v>1</v>
      </c>
      <c r="C7">
        <v>0.0245342073741139</v>
      </c>
      <c r="D7">
        <v>1.307488807488807</v>
      </c>
      <c r="E7">
        <v>0.03184914705690424</v>
      </c>
      <c r="F7">
        <v>811.578947368421</v>
      </c>
      <c r="G7">
        <v>0.7621405217375581</v>
      </c>
    </row>
    <row r="8" spans="1:7">
      <c r="A8" t="s">
        <v>137</v>
      </c>
      <c r="B8">
        <v>1</v>
      </c>
      <c r="C8">
        <v>0.03268649191339155</v>
      </c>
      <c r="D8">
        <v>1.313706869262425</v>
      </c>
      <c r="E8">
        <v>0.04253349366356208</v>
      </c>
      <c r="F8">
        <v>815.4385964912281</v>
      </c>
      <c r="G8">
        <v>0.7633375383796622</v>
      </c>
    </row>
    <row r="9" spans="1:7">
      <c r="A9" t="s">
        <v>137</v>
      </c>
      <c r="B9">
        <v>1</v>
      </c>
      <c r="C9">
        <v>0.04082602426595143</v>
      </c>
      <c r="D9">
        <v>1.319924931036042</v>
      </c>
      <c r="E9">
        <v>0.05325173952659206</v>
      </c>
      <c r="F9">
        <v>819.2982456140351</v>
      </c>
      <c r="G9">
        <v>0.7645304754025205</v>
      </c>
    </row>
    <row r="10" spans="1:7">
      <c r="A10" t="s">
        <v>137</v>
      </c>
      <c r="B10">
        <v>1</v>
      </c>
      <c r="C10">
        <v>0.04895288759684299</v>
      </c>
      <c r="D10">
        <v>1.326142992809659</v>
      </c>
      <c r="E10">
        <v>0.06400383608748733</v>
      </c>
      <c r="F10">
        <v>823.1578947368421</v>
      </c>
      <c r="G10">
        <v>0.7657193328061348</v>
      </c>
    </row>
    <row r="11" spans="1:7">
      <c r="A11" t="s">
        <v>137</v>
      </c>
      <c r="B11">
        <v>1</v>
      </c>
      <c r="C11">
        <v>0.05706716448104188</v>
      </c>
      <c r="D11">
        <v>1.332361054583277</v>
      </c>
      <c r="E11">
        <v>0.07478973555477036</v>
      </c>
      <c r="F11">
        <v>827.0175438596491</v>
      </c>
      <c r="G11">
        <v>0.7669041105905039</v>
      </c>
    </row>
    <row r="12" spans="1:7">
      <c r="A12" t="s">
        <v>137</v>
      </c>
      <c r="B12">
        <v>1</v>
      </c>
      <c r="C12">
        <v>0.06516893690973805</v>
      </c>
      <c r="D12">
        <v>1.338579116356894</v>
      </c>
      <c r="E12">
        <v>0.08560939089771384</v>
      </c>
      <c r="F12">
        <v>830.8771929824561</v>
      </c>
      <c r="G12">
        <v>0.7680848087556279</v>
      </c>
    </row>
    <row r="13" spans="1:7">
      <c r="A13" t="s">
        <v>137</v>
      </c>
      <c r="B13">
        <v>1</v>
      </c>
      <c r="C13">
        <v>0.07325828629654699</v>
      </c>
      <c r="D13">
        <v>1.344797178130511</v>
      </c>
      <c r="E13">
        <v>0.09646275584015414</v>
      </c>
      <c r="F13">
        <v>834.736842105263</v>
      </c>
      <c r="G13">
        <v>0.7692614273015075</v>
      </c>
    </row>
    <row r="14" spans="1:7">
      <c r="A14" t="s">
        <v>137</v>
      </c>
      <c r="B14">
        <v>1</v>
      </c>
      <c r="C14">
        <v>0.08133529348364117</v>
      </c>
      <c r="D14">
        <v>1.351015239904129</v>
      </c>
      <c r="E14">
        <v>0.1073497848543902</v>
      </c>
      <c r="F14">
        <v>838.5964912280701</v>
      </c>
      <c r="G14">
        <v>0.770433966228142</v>
      </c>
    </row>
    <row r="15" spans="1:7">
      <c r="A15" t="s">
        <v>137</v>
      </c>
      <c r="B15">
        <v>1</v>
      </c>
      <c r="C15">
        <v>0.08940003874780597</v>
      </c>
      <c r="D15">
        <v>1.357233301677746</v>
      </c>
      <c r="E15">
        <v>0.1182704331551706</v>
      </c>
      <c r="F15">
        <v>842.4561403508771</v>
      </c>
      <c r="G15">
        <v>0.7716024255355318</v>
      </c>
    </row>
    <row r="16" spans="1:7">
      <c r="A16" t="s">
        <v>137</v>
      </c>
      <c r="B16">
        <v>1</v>
      </c>
      <c r="C16">
        <v>0.09745260180641678</v>
      </c>
      <c r="D16">
        <v>1.363451363451363</v>
      </c>
      <c r="E16">
        <v>0.1292246566937624</v>
      </c>
      <c r="F16">
        <v>846.3157894736842</v>
      </c>
      <c r="G16">
        <v>0.7727668052236768</v>
      </c>
    </row>
    <row r="17" spans="1:7">
      <c r="A17" t="s">
        <v>137</v>
      </c>
      <c r="B17">
        <v>1</v>
      </c>
      <c r="C17">
        <v>0.105493061823344</v>
      </c>
      <c r="D17">
        <v>1.369669425224981</v>
      </c>
      <c r="E17">
        <v>0.1402124121521064</v>
      </c>
      <c r="F17">
        <v>850.1754385964911</v>
      </c>
      <c r="G17">
        <v>0.7739271052925762</v>
      </c>
    </row>
    <row r="18" spans="1:7">
      <c r="A18" t="s">
        <v>137</v>
      </c>
      <c r="B18">
        <v>1</v>
      </c>
      <c r="C18">
        <v>0.1135214974147845</v>
      </c>
      <c r="D18">
        <v>1.375887486998598</v>
      </c>
      <c r="E18">
        <v>0.1512336569370552</v>
      </c>
      <c r="F18">
        <v>854.0350877192982</v>
      </c>
      <c r="G18">
        <v>0.7750833257422319</v>
      </c>
    </row>
    <row r="19" spans="1:7">
      <c r="A19" t="s">
        <v>137</v>
      </c>
      <c r="B19">
        <v>1</v>
      </c>
      <c r="C19">
        <v>0.1215379866550177</v>
      </c>
      <c r="D19">
        <v>1.382105548772215</v>
      </c>
      <c r="E19">
        <v>0.1622883491746895</v>
      </c>
      <c r="F19">
        <v>857.8947368421052</v>
      </c>
      <c r="G19">
        <v>0.7762354665726419</v>
      </c>
    </row>
    <row r="20" spans="1:7">
      <c r="A20" t="s">
        <v>137</v>
      </c>
      <c r="B20">
        <v>1</v>
      </c>
      <c r="C20">
        <v>0.1295426070820936</v>
      </c>
      <c r="D20">
        <v>1.388323610545833</v>
      </c>
      <c r="E20">
        <v>0.1733764477047179</v>
      </c>
      <c r="F20">
        <v>861.7543859649123</v>
      </c>
      <c r="G20">
        <v>0.7773835277838073</v>
      </c>
    </row>
    <row r="21" spans="1:7">
      <c r="A21" t="s">
        <v>137</v>
      </c>
      <c r="B21">
        <v>1</v>
      </c>
      <c r="C21">
        <v>0.1375354357034483</v>
      </c>
      <c r="D21">
        <v>1.39454167231945</v>
      </c>
      <c r="E21">
        <v>0.1844979120749533</v>
      </c>
      <c r="F21">
        <v>865.6140350877192</v>
      </c>
      <c r="G21">
        <v>0.7785275093757282</v>
      </c>
    </row>
    <row r="22" spans="1:7">
      <c r="A22" t="s">
        <v>137</v>
      </c>
      <c r="B22">
        <v>1</v>
      </c>
      <c r="C22">
        <v>0.1455165490014523</v>
      </c>
      <c r="D22">
        <v>1.400759734093067</v>
      </c>
      <c r="E22">
        <v>0.1956527025358699</v>
      </c>
      <c r="F22">
        <v>869.4736842105262</v>
      </c>
      <c r="G22">
        <v>0.7796674113484039</v>
      </c>
    </row>
    <row r="23" spans="1:7">
      <c r="A23" t="s">
        <v>137</v>
      </c>
      <c r="B23">
        <v>1</v>
      </c>
      <c r="C23">
        <v>0.1534860229388878</v>
      </c>
      <c r="D23">
        <v>1.406977795866685</v>
      </c>
      <c r="E23">
        <v>0.2068407800352328</v>
      </c>
      <c r="F23">
        <v>873.3333333333334</v>
      </c>
      <c r="G23">
        <v>0.7808032337018345</v>
      </c>
    </row>
    <row r="24" spans="1:7">
      <c r="A24" t="s">
        <v>137</v>
      </c>
      <c r="B24">
        <v>1</v>
      </c>
      <c r="C24">
        <v>0.1614439329643614</v>
      </c>
      <c r="D24">
        <v>1.413195857640302</v>
      </c>
      <c r="E24">
        <v>0.2180621062128072</v>
      </c>
      <c r="F24">
        <v>877.1929824561403</v>
      </c>
      <c r="G24">
        <v>0.7819349764360206</v>
      </c>
    </row>
    <row r="25" spans="1:7">
      <c r="A25" t="s">
        <v>137</v>
      </c>
      <c r="B25">
        <v>1</v>
      </c>
      <c r="C25">
        <v>0.1693903540176492</v>
      </c>
      <c r="D25">
        <v>1.419413919413919</v>
      </c>
      <c r="E25">
        <v>0.2293166433951395</v>
      </c>
      <c r="F25">
        <v>881.0526315789473</v>
      </c>
      <c r="G25">
        <v>0.7830626395509617</v>
      </c>
    </row>
    <row r="26" spans="1:7">
      <c r="A26" t="s">
        <v>137</v>
      </c>
      <c r="B26">
        <v>1</v>
      </c>
      <c r="C26">
        <v>0.177325360534978</v>
      </c>
      <c r="D26">
        <v>1.425631981187537</v>
      </c>
      <c r="E26">
        <v>0.2406043545904147</v>
      </c>
      <c r="F26">
        <v>884.9122807017544</v>
      </c>
      <c r="G26">
        <v>0.784186223046658</v>
      </c>
    </row>
    <row r="27" spans="1:7">
      <c r="A27" t="s">
        <v>137</v>
      </c>
      <c r="B27">
        <v>1</v>
      </c>
      <c r="C27">
        <v>0.1852490264542407</v>
      </c>
      <c r="D27">
        <v>1.431850042961154</v>
      </c>
      <c r="E27">
        <v>0.2519252034833823</v>
      </c>
      <c r="F27">
        <v>888.7719298245613</v>
      </c>
      <c r="G27">
        <v>0.7853057269231096</v>
      </c>
    </row>
    <row r="28" spans="1:7">
      <c r="A28" t="s">
        <v>137</v>
      </c>
      <c r="B28">
        <v>1</v>
      </c>
      <c r="C28">
        <v>0.1931614252201491</v>
      </c>
      <c r="D28">
        <v>1.438068104734771</v>
      </c>
      <c r="E28">
        <v>0.263279154430357</v>
      </c>
      <c r="F28">
        <v>892.6315789473684</v>
      </c>
      <c r="G28">
        <v>0.7864211511803162</v>
      </c>
    </row>
    <row r="29" spans="1:7">
      <c r="A29" t="s">
        <v>137</v>
      </c>
      <c r="B29">
        <v>1</v>
      </c>
      <c r="C29">
        <v>0.2010626297893255</v>
      </c>
      <c r="D29">
        <v>1.444286166508389</v>
      </c>
      <c r="E29">
        <v>0.2746661724542884</v>
      </c>
      <c r="F29">
        <v>896.4912280701752</v>
      </c>
      <c r="G29">
        <v>0.787532495818278</v>
      </c>
    </row>
    <row r="30" spans="1:7">
      <c r="A30" t="s">
        <v>137</v>
      </c>
      <c r="B30">
        <v>1</v>
      </c>
      <c r="C30">
        <v>0.2089527126353319</v>
      </c>
      <c r="D30">
        <v>1.450504228282006</v>
      </c>
      <c r="E30">
        <v>0.2860862232399017</v>
      </c>
      <c r="F30">
        <v>900.3508771929824</v>
      </c>
      <c r="G30">
        <v>0.7886397608369949</v>
      </c>
    </row>
    <row r="31" spans="1:7">
      <c r="A31" t="s">
        <v>137</v>
      </c>
      <c r="B31">
        <v>1</v>
      </c>
      <c r="C31">
        <v>0.216831745753638</v>
      </c>
      <c r="D31">
        <v>1.456722290055623</v>
      </c>
      <c r="E31">
        <v>0.2975392731289034</v>
      </c>
      <c r="F31">
        <v>904.2105263157895</v>
      </c>
      <c r="G31">
        <v>0.7897429462364666</v>
      </c>
    </row>
    <row r="32" spans="1:7">
      <c r="A32" t="s">
        <v>137</v>
      </c>
      <c r="B32">
        <v>1</v>
      </c>
      <c r="C32">
        <v>0.2246998006665311</v>
      </c>
      <c r="D32">
        <v>1.462940351829241</v>
      </c>
      <c r="E32">
        <v>0.3090252891152582</v>
      </c>
      <c r="F32">
        <v>908.0701754385963</v>
      </c>
      <c r="G32">
        <v>0.790842052016694</v>
      </c>
    </row>
    <row r="33" spans="1:7">
      <c r="A33" t="s">
        <v>137</v>
      </c>
      <c r="B33">
        <v>1</v>
      </c>
      <c r="C33">
        <v>0.2325569484279676</v>
      </c>
      <c r="D33">
        <v>1.469158413602858</v>
      </c>
      <c r="E33">
        <v>0.3205442388405318</v>
      </c>
      <c r="F33">
        <v>911.9298245614034</v>
      </c>
      <c r="G33">
        <v>0.7919370781776764</v>
      </c>
    </row>
    <row r="34" spans="1:7">
      <c r="A34" t="s">
        <v>137</v>
      </c>
      <c r="B34">
        <v>1</v>
      </c>
      <c r="C34">
        <v>0.2404032596283644</v>
      </c>
      <c r="D34">
        <v>1.475376475376475</v>
      </c>
      <c r="E34">
        <v>0.3320960905892968</v>
      </c>
      <c r="F34">
        <v>915.7894736842105</v>
      </c>
      <c r="G34">
        <v>0.7930280247194136</v>
      </c>
    </row>
    <row r="35" spans="1:7">
      <c r="A35" t="s">
        <v>137</v>
      </c>
      <c r="B35">
        <v>1</v>
      </c>
      <c r="C35">
        <v>0.2482388043993355</v>
      </c>
      <c r="D35">
        <v>1.481594537150093</v>
      </c>
      <c r="E35">
        <v>0.3436808132846069</v>
      </c>
      <c r="F35">
        <v>919.6491228070173</v>
      </c>
      <c r="G35">
        <v>0.7941148916419064</v>
      </c>
    </row>
    <row r="36" spans="1:7">
      <c r="A36" t="s">
        <v>137</v>
      </c>
      <c r="B36">
        <v>1</v>
      </c>
      <c r="C36">
        <v>0.2560636524183718</v>
      </c>
      <c r="D36">
        <v>1.48781259892371</v>
      </c>
      <c r="E36">
        <v>0.3552983764835322</v>
      </c>
      <c r="F36">
        <v>923.5087719298244</v>
      </c>
      <c r="G36">
        <v>0.7951976789451541</v>
      </c>
    </row>
    <row r="37" spans="1:7">
      <c r="A37" t="s">
        <v>137</v>
      </c>
      <c r="B37">
        <v>1</v>
      </c>
      <c r="C37">
        <v>0.263877872913466</v>
      </c>
      <c r="D37">
        <v>1.494030660697327</v>
      </c>
      <c r="E37">
        <v>0.366948750372761</v>
      </c>
      <c r="F37">
        <v>927.3684210526316</v>
      </c>
      <c r="G37">
        <v>0.7962763866291571</v>
      </c>
    </row>
    <row r="38" spans="1:7">
      <c r="A38" t="s">
        <v>137</v>
      </c>
      <c r="B38">
        <v>1</v>
      </c>
      <c r="C38">
        <v>0.2716815346676816</v>
      </c>
      <c r="D38">
        <v>1.500248722470945</v>
      </c>
      <c r="E38">
        <v>0.3786319057642586</v>
      </c>
      <c r="F38">
        <v>931.2280701754383</v>
      </c>
      <c r="G38">
        <v>0.7973510146939149</v>
      </c>
    </row>
    <row r="39" spans="1:7">
      <c r="A39" t="s">
        <v>137</v>
      </c>
      <c r="B39">
        <v>1</v>
      </c>
      <c r="C39">
        <v>0.2794747060236698</v>
      </c>
      <c r="D39">
        <v>1.506466784244562</v>
      </c>
      <c r="E39">
        <v>0.3903478140909925</v>
      </c>
      <c r="F39">
        <v>935.0877192982457</v>
      </c>
      <c r="G39">
        <v>0.7984215631394284</v>
      </c>
    </row>
    <row r="40" spans="1:7">
      <c r="A40" t="s">
        <v>137</v>
      </c>
      <c r="B40">
        <v>1</v>
      </c>
      <c r="C40">
        <v>0.2872574548881323</v>
      </c>
      <c r="D40">
        <v>1.512684846018179</v>
      </c>
      <c r="E40">
        <v>0.4020964474027147</v>
      </c>
      <c r="F40">
        <v>938.9473684210526</v>
      </c>
      <c r="G40">
        <v>0.7994880319656968</v>
      </c>
    </row>
    <row r="41" spans="1:7">
      <c r="A41" t="s">
        <v>137</v>
      </c>
      <c r="B41">
        <v>1</v>
      </c>
      <c r="C41">
        <v>0.2950298487362341</v>
      </c>
      <c r="D41">
        <v>1.518902907791797</v>
      </c>
      <c r="E41">
        <v>0.4138777783618073</v>
      </c>
      <c r="F41">
        <v>942.8070175438594</v>
      </c>
      <c r="G41">
        <v>0.8005504211727198</v>
      </c>
    </row>
    <row r="42" spans="1:7">
      <c r="A42" t="s">
        <v>137</v>
      </c>
      <c r="B42">
        <v>1</v>
      </c>
      <c r="C42">
        <v>0.3027919546159612</v>
      </c>
      <c r="D42">
        <v>1.525120969565414</v>
      </c>
      <c r="E42">
        <v>0.425691780239182</v>
      </c>
      <c r="F42">
        <v>946.6666666666667</v>
      </c>
      <c r="G42">
        <v>0.8016087307604987</v>
      </c>
    </row>
    <row r="43" spans="1:7">
      <c r="A43" t="s">
        <v>137</v>
      </c>
      <c r="B43">
        <v>1</v>
      </c>
      <c r="C43">
        <v>0.3105438391524309</v>
      </c>
      <c r="D43">
        <v>1.531339031339031</v>
      </c>
      <c r="E43">
        <v>0.4375384269102421</v>
      </c>
      <c r="F43">
        <v>950.5263157894739</v>
      </c>
      <c r="G43">
        <v>0.8026629607290325</v>
      </c>
    </row>
    <row r="44" spans="1:7">
      <c r="A44" t="s">
        <v>137</v>
      </c>
      <c r="B44">
        <v>1</v>
      </c>
      <c r="C44">
        <v>0.3182855685521508</v>
      </c>
      <c r="D44">
        <v>1.537557093112649</v>
      </c>
      <c r="E44">
        <v>0.4494176928508999</v>
      </c>
      <c r="F44">
        <v>954.3859649122804</v>
      </c>
      <c r="G44">
        <v>0.8037131110783213</v>
      </c>
    </row>
    <row r="45" spans="1:7">
      <c r="A45" t="s">
        <v>137</v>
      </c>
      <c r="B45">
        <v>1</v>
      </c>
      <c r="C45">
        <v>0.3260172086072295</v>
      </c>
      <c r="D45">
        <v>1.543775154886266</v>
      </c>
      <c r="E45">
        <v>0.461329553133652</v>
      </c>
      <c r="F45">
        <v>958.2456140350876</v>
      </c>
      <c r="G45">
        <v>0.8047591818083655</v>
      </c>
    </row>
    <row r="46" spans="1:7">
      <c r="A46" t="s">
        <v>137</v>
      </c>
      <c r="B46">
        <v>1</v>
      </c>
      <c r="C46">
        <v>0.3337388246995368</v>
      </c>
      <c r="D46">
        <v>1.549993216659883</v>
      </c>
      <c r="E46">
        <v>0.473273983423708</v>
      </c>
      <c r="F46">
        <v>962.1052631578947</v>
      </c>
      <c r="G46">
        <v>0.8058011729191649</v>
      </c>
    </row>
    <row r="47" spans="1:7">
      <c r="A47" t="s">
        <v>137</v>
      </c>
      <c r="B47">
        <v>1</v>
      </c>
      <c r="C47">
        <v>0.341450481804818</v>
      </c>
      <c r="D47">
        <v>1.5562112784335</v>
      </c>
      <c r="E47">
        <v>0.4852509599751764</v>
      </c>
      <c r="F47">
        <v>965.9649122807015</v>
      </c>
      <c r="G47">
        <v>0.8068390844107185</v>
      </c>
    </row>
    <row r="48" spans="1:7">
      <c r="A48" t="s">
        <v>137</v>
      </c>
      <c r="B48">
        <v>1</v>
      </c>
      <c r="C48">
        <v>0.3491522444967617</v>
      </c>
      <c r="D48">
        <v>1.562429340207118</v>
      </c>
      <c r="E48">
        <v>0.4972604596273063</v>
      </c>
      <c r="F48">
        <v>969.8245614035086</v>
      </c>
      <c r="G48">
        <v>0.8078729162830284</v>
      </c>
    </row>
    <row r="49" spans="1:7">
      <c r="A49" t="s">
        <v>137</v>
      </c>
      <c r="B49">
        <v>1</v>
      </c>
      <c r="C49">
        <v>0.3568441769510179</v>
      </c>
      <c r="D49">
        <v>1.568647401980735</v>
      </c>
      <c r="E49">
        <v>0.5093024598007778</v>
      </c>
      <c r="F49">
        <v>973.684210526316</v>
      </c>
      <c r="G49">
        <v>0.8089026685360931</v>
      </c>
    </row>
    <row r="50" spans="1:7">
      <c r="A50" t="s">
        <v>137</v>
      </c>
      <c r="B50">
        <v>1</v>
      </c>
      <c r="C50">
        <v>0.3645263429491737</v>
      </c>
      <c r="D50">
        <v>1.574865463754353</v>
      </c>
      <c r="E50">
        <v>0.521376938494051</v>
      </c>
      <c r="F50">
        <v>977.5438596491227</v>
      </c>
      <c r="G50">
        <v>0.8099283411699129</v>
      </c>
    </row>
    <row r="51" spans="1:7">
      <c r="A51" t="s">
        <v>137</v>
      </c>
      <c r="B51">
        <v>1</v>
      </c>
      <c r="C51">
        <v>0.3721988058826819</v>
      </c>
      <c r="D51">
        <v>1.58108352552797</v>
      </c>
      <c r="E51">
        <v>0.5334838742797634</v>
      </c>
      <c r="F51">
        <v>981.4035087719296</v>
      </c>
      <c r="G51">
        <v>0.8109499341844878</v>
      </c>
    </row>
    <row r="52" spans="1:7">
      <c r="A52" t="s">
        <v>137</v>
      </c>
      <c r="B52">
        <v>1</v>
      </c>
      <c r="C52">
        <v>0.3798616287567469</v>
      </c>
      <c r="D52">
        <v>1.587301587301587</v>
      </c>
      <c r="E52">
        <v>0.5456232463011829</v>
      </c>
      <c r="F52">
        <v>985.2631578947369</v>
      </c>
      <c r="G52">
        <v>0.8119674475798178</v>
      </c>
    </row>
    <row r="53" spans="1:7">
      <c r="A53" t="s">
        <v>137</v>
      </c>
      <c r="B53">
        <v>1</v>
      </c>
      <c r="C53">
        <v>0.3875148741941641</v>
      </c>
      <c r="D53">
        <v>1.593519649075205</v>
      </c>
      <c r="E53">
        <v>0.5577950342687059</v>
      </c>
      <c r="F53">
        <v>989.1228070175438</v>
      </c>
      <c r="G53">
        <v>0.8129808813559031</v>
      </c>
    </row>
    <row r="54" spans="1:7">
      <c r="A54" t="s">
        <v>137</v>
      </c>
      <c r="B54">
        <v>1</v>
      </c>
      <c r="C54">
        <v>0.3951586044391177</v>
      </c>
      <c r="D54">
        <v>1.599737710848822</v>
      </c>
      <c r="E54">
        <v>0.5699992184564117</v>
      </c>
      <c r="F54">
        <v>992.9824561403507</v>
      </c>
      <c r="G54">
        <v>0.8139902355127435</v>
      </c>
    </row>
    <row r="55" spans="1:7">
      <c r="A55" t="s">
        <v>137</v>
      </c>
      <c r="B55">
        <v>1</v>
      </c>
      <c r="C55">
        <v>0.4027928813609372</v>
      </c>
      <c r="D55">
        <v>1.605955772622439</v>
      </c>
      <c r="E55">
        <v>0.5822357796986642</v>
      </c>
      <c r="F55">
        <v>996.8421052631579</v>
      </c>
      <c r="G55">
        <v>0.8149955100503392</v>
      </c>
    </row>
    <row r="56" spans="1:7">
      <c r="A56" t="s">
        <v>137</v>
      </c>
      <c r="B56">
        <v>1</v>
      </c>
      <c r="C56">
        <v>0.4104177664578086</v>
      </c>
      <c r="D56">
        <v>1.612173834396057</v>
      </c>
      <c r="E56">
        <v>0.5945046993867616</v>
      </c>
      <c r="F56">
        <v>1000.701754385965</v>
      </c>
      <c r="G56">
        <v>0.8159967049686895</v>
      </c>
    </row>
    <row r="57" spans="1:7">
      <c r="A57" t="s">
        <v>137</v>
      </c>
      <c r="B57">
        <v>1</v>
      </c>
      <c r="C57">
        <v>0.4180333208604465</v>
      </c>
      <c r="D57">
        <v>1.618391896169674</v>
      </c>
      <c r="E57">
        <v>0.6068059594656361</v>
      </c>
      <c r="F57">
        <v>1004.561403508772</v>
      </c>
      <c r="G57">
        <v>0.8169938202677957</v>
      </c>
    </row>
    <row r="58" spans="1:7">
      <c r="A58" t="s">
        <v>137</v>
      </c>
      <c r="B58">
        <v>1</v>
      </c>
      <c r="C58">
        <v>0.4256396053357251</v>
      </c>
      <c r="D58">
        <v>1.624609957943291</v>
      </c>
      <c r="E58">
        <v>0.6191395424306013</v>
      </c>
      <c r="F58">
        <v>1008.421052631579</v>
      </c>
      <c r="G58">
        <v>0.8179868559476565</v>
      </c>
    </row>
    <row r="59" spans="1:7">
      <c r="A59" t="s">
        <v>137</v>
      </c>
      <c r="B59">
        <v>1</v>
      </c>
      <c r="C59">
        <v>0.4332366802902679</v>
      </c>
      <c r="D59">
        <v>1.630828019716908</v>
      </c>
      <c r="E59">
        <v>0.631505431324146</v>
      </c>
      <c r="F59">
        <v>1012.280701754386</v>
      </c>
      <c r="G59">
        <v>0.8189758120082725</v>
      </c>
    </row>
    <row r="60" spans="1:7">
      <c r="A60" t="s">
        <v>137</v>
      </c>
      <c r="B60">
        <v>1</v>
      </c>
      <c r="C60">
        <v>0.4408246057739993</v>
      </c>
      <c r="D60">
        <v>1.637046081490526</v>
      </c>
      <c r="E60">
        <v>0.6439036097327776</v>
      </c>
      <c r="F60">
        <v>1016.140350877193</v>
      </c>
      <c r="G60">
        <v>0.8199606884496435</v>
      </c>
    </row>
    <row r="61" spans="1:7">
      <c r="A61" t="s">
        <v>137</v>
      </c>
      <c r="B61">
        <v>1</v>
      </c>
      <c r="C61">
        <v>0.4484034414836547</v>
      </c>
      <c r="D61">
        <v>1.643264143264143</v>
      </c>
      <c r="E61">
        <v>0.6563340617839059</v>
      </c>
      <c r="F61">
        <v>1020</v>
      </c>
      <c r="G61">
        <v>0.82094148527177</v>
      </c>
    </row>
    <row r="62" spans="1:7">
      <c r="A62" t="s">
        <v>137</v>
      </c>
      <c r="B62">
        <v>1</v>
      </c>
      <c r="C62">
        <v>0.4559732467662539</v>
      </c>
      <c r="D62">
        <v>1.64948220503776</v>
      </c>
      <c r="E62">
        <v>0.6687967721427778</v>
      </c>
      <c r="F62">
        <v>1023.859649122807</v>
      </c>
      <c r="G62">
        <v>0.8219182024746514</v>
      </c>
    </row>
    <row r="63" spans="1:7">
      <c r="A63" t="s">
        <v>137</v>
      </c>
      <c r="B63">
        <v>1</v>
      </c>
      <c r="C63">
        <v>0.4635340806225368</v>
      </c>
      <c r="D63">
        <v>1.655700266811378</v>
      </c>
      <c r="E63">
        <v>0.6812917260094568</v>
      </c>
      <c r="F63">
        <v>1027.719298245614</v>
      </c>
      <c r="G63">
        <v>0.8228908400582884</v>
      </c>
    </row>
    <row r="64" spans="1:7">
      <c r="A64" t="s">
        <v>137</v>
      </c>
      <c r="B64">
        <v>1</v>
      </c>
      <c r="C64">
        <v>0.4710860017103586</v>
      </c>
      <c r="D64">
        <v>1.661918328584995</v>
      </c>
      <c r="E64">
        <v>0.6938189091158419</v>
      </c>
      <c r="F64">
        <v>1031.578947368421</v>
      </c>
      <c r="G64">
        <v>0.82385939802268</v>
      </c>
    </row>
    <row r="65" spans="1:7">
      <c r="A65" t="s">
        <v>137</v>
      </c>
      <c r="B65">
        <v>1</v>
      </c>
      <c r="C65">
        <v>0.478629068348051</v>
      </c>
      <c r="D65">
        <v>1.668136390358613</v>
      </c>
      <c r="E65">
        <v>0.7063783077227364</v>
      </c>
      <c r="F65">
        <v>1035.438596491228</v>
      </c>
      <c r="G65">
        <v>0.8248238763678266</v>
      </c>
    </row>
    <row r="66" spans="1:7">
      <c r="A66" t="s">
        <v>137</v>
      </c>
      <c r="B66">
        <v>1</v>
      </c>
      <c r="C66">
        <v>0.4861633385177455</v>
      </c>
      <c r="D66">
        <v>1.67435445213223</v>
      </c>
      <c r="E66">
        <v>0.7189699086169559</v>
      </c>
      <c r="F66">
        <v>1039.298245614035</v>
      </c>
      <c r="G66">
        <v>0.8257842750937292</v>
      </c>
    </row>
    <row r="67" spans="1:7">
      <c r="A67" t="s">
        <v>137</v>
      </c>
      <c r="B67">
        <v>1</v>
      </c>
      <c r="C67">
        <v>0.4936888698686616</v>
      </c>
      <c r="D67">
        <v>1.680572513905847</v>
      </c>
      <c r="E67">
        <v>0.7315936991084833</v>
      </c>
      <c r="F67">
        <v>1043.157894736842</v>
      </c>
      <c r="G67">
        <v>0.8267405942003866</v>
      </c>
    </row>
    <row r="68" spans="1:7">
      <c r="A68" t="s">
        <v>137</v>
      </c>
      <c r="B68">
        <v>1</v>
      </c>
      <c r="C68">
        <v>0.5012057197203571</v>
      </c>
      <c r="D68">
        <v>1.686790575679465</v>
      </c>
      <c r="E68">
        <v>0.7442496670276605</v>
      </c>
      <c r="F68">
        <v>1047.017543859649</v>
      </c>
      <c r="G68">
        <v>0.8276928336877987</v>
      </c>
    </row>
    <row r="69" spans="1:7">
      <c r="A69" t="s">
        <v>137</v>
      </c>
      <c r="B69">
        <v>1</v>
      </c>
      <c r="C69">
        <v>0.5087139450659464</v>
      </c>
      <c r="D69">
        <v>1.693008637453082</v>
      </c>
      <c r="E69">
        <v>0.7569378007224268</v>
      </c>
      <c r="F69">
        <v>1050.877192982456</v>
      </c>
      <c r="G69">
        <v>0.8286409935559661</v>
      </c>
    </row>
    <row r="70" spans="1:7">
      <c r="A70" t="s">
        <v>137</v>
      </c>
      <c r="B70">
        <v>1</v>
      </c>
      <c r="C70">
        <v>0.5162136025752826</v>
      </c>
      <c r="D70">
        <v>1.699226699226699</v>
      </c>
      <c r="E70">
        <v>0.7696580890555983</v>
      </c>
      <c r="F70">
        <v>1054.736842105263</v>
      </c>
      <c r="G70">
        <v>0.8295850738048887</v>
      </c>
    </row>
    <row r="71" spans="1:7">
      <c r="A71" t="s">
        <v>137</v>
      </c>
      <c r="B71">
        <v>1</v>
      </c>
      <c r="C71">
        <v>0.5237047485981051</v>
      </c>
      <c r="D71">
        <v>1.705444761000317</v>
      </c>
      <c r="E71">
        <v>0.782410521402184</v>
      </c>
      <c r="F71">
        <v>1058.59649122807</v>
      </c>
      <c r="G71">
        <v>0.8305250744345664</v>
      </c>
    </row>
    <row r="72" spans="1:7">
      <c r="A72" t="s">
        <v>137</v>
      </c>
      <c r="B72">
        <v>1</v>
      </c>
      <c r="C72">
        <v>0.5311874391671547</v>
      </c>
      <c r="D72">
        <v>1.711662822773934</v>
      </c>
      <c r="E72">
        <v>0.7951950876467475</v>
      </c>
      <c r="F72">
        <v>1062.456140350877</v>
      </c>
      <c r="G72">
        <v>0.8314609954449995</v>
      </c>
    </row>
    <row r="73" spans="1:7">
      <c r="A73" t="s">
        <v>137</v>
      </c>
      <c r="B73">
        <v>1</v>
      </c>
      <c r="C73">
        <v>0.5386617300012546</v>
      </c>
      <c r="D73">
        <v>1.717880884547551</v>
      </c>
      <c r="E73">
        <v>0.8080117781808053</v>
      </c>
      <c r="F73">
        <v>1066.315789473684</v>
      </c>
      <c r="G73">
        <v>0.8323928368361877</v>
      </c>
    </row>
    <row r="74" spans="1:7">
      <c r="A74" t="s">
        <v>137</v>
      </c>
      <c r="B74">
        <v>1</v>
      </c>
      <c r="C74">
        <v>0.5461276765083591</v>
      </c>
      <c r="D74">
        <v>1.724098946321168</v>
      </c>
      <c r="E74">
        <v>0.8208605839002655</v>
      </c>
      <c r="F74">
        <v>1070.175438596491</v>
      </c>
      <c r="G74">
        <v>0.833320598608131</v>
      </c>
    </row>
    <row r="75" spans="1:7">
      <c r="A75" t="s">
        <v>137</v>
      </c>
      <c r="B75">
        <v>1</v>
      </c>
      <c r="C75">
        <v>0.5535853337885712</v>
      </c>
      <c r="D75">
        <v>1.730317008094786</v>
      </c>
      <c r="E75">
        <v>0.8337414962029076</v>
      </c>
      <c r="F75">
        <v>1074.035087719298</v>
      </c>
      <c r="G75">
        <v>0.8342442807608296</v>
      </c>
    </row>
    <row r="76" spans="1:7">
      <c r="A76" t="s">
        <v>137</v>
      </c>
      <c r="B76">
        <v>1</v>
      </c>
      <c r="C76">
        <v>0.5610347566371247</v>
      </c>
      <c r="D76">
        <v>1.736535069868403</v>
      </c>
      <c r="E76">
        <v>0.8466545069858956</v>
      </c>
      <c r="F76">
        <v>1077.894736842105</v>
      </c>
      <c r="G76">
        <v>0.8351638832942829</v>
      </c>
    </row>
    <row r="77" spans="1:7">
      <c r="A77" t="s">
        <v>137</v>
      </c>
      <c r="B77">
        <v>1</v>
      </c>
      <c r="C77">
        <v>0.5684759995473398</v>
      </c>
      <c r="D77">
        <v>1.74275313164202</v>
      </c>
      <c r="E77">
        <v>0.8595996086433361</v>
      </c>
      <c r="F77">
        <v>1081.754385964912</v>
      </c>
      <c r="G77">
        <v>0.8360794062084916</v>
      </c>
    </row>
    <row r="78" spans="1:7">
      <c r="A78" t="s">
        <v>137</v>
      </c>
      <c r="B78">
        <v>1</v>
      </c>
      <c r="C78">
        <v>0.5759091167135436</v>
      </c>
      <c r="D78">
        <v>1.748971193415638</v>
      </c>
      <c r="E78">
        <v>0.8725767940638675</v>
      </c>
      <c r="F78">
        <v>1085.614035087719</v>
      </c>
      <c r="G78">
        <v>0.8369908495034555</v>
      </c>
    </row>
    <row r="79" spans="1:7">
      <c r="A79" t="s">
        <v>137</v>
      </c>
      <c r="B79">
        <v>1</v>
      </c>
      <c r="C79">
        <v>0.583334162033962</v>
      </c>
      <c r="D79">
        <v>1.755189255189255</v>
      </c>
      <c r="E79">
        <v>0.8855860566282914</v>
      </c>
      <c r="F79">
        <v>1089.473684210526</v>
      </c>
      <c r="G79">
        <v>0.8378982131791745</v>
      </c>
    </row>
    <row r="80" spans="1:7">
      <c r="A80" t="s">
        <v>137</v>
      </c>
      <c r="B80">
        <v>1</v>
      </c>
      <c r="C80">
        <v>0.5907511891135817</v>
      </c>
      <c r="D80">
        <v>1.761407316962873</v>
      </c>
      <c r="E80">
        <v>0.8986273902072387</v>
      </c>
      <c r="F80">
        <v>1093.333333333333</v>
      </c>
      <c r="G80">
        <v>0.8388014972356487</v>
      </c>
    </row>
    <row r="81" spans="1:7">
      <c r="A81" t="s">
        <v>137</v>
      </c>
      <c r="B81">
        <v>1</v>
      </c>
      <c r="C81">
        <v>0.5981602512669807</v>
      </c>
      <c r="D81">
        <v>1.76762537873649</v>
      </c>
      <c r="E81">
        <v>0.9117007891588716</v>
      </c>
      <c r="F81">
        <v>1097.19298245614</v>
      </c>
      <c r="G81">
        <v>0.8397007016728777</v>
      </c>
    </row>
    <row r="82" spans="1:7">
      <c r="A82" t="s">
        <v>137</v>
      </c>
      <c r="B82">
        <v>1</v>
      </c>
      <c r="C82">
        <v>0.6055614015211322</v>
      </c>
      <c r="D82">
        <v>1.773843440510107</v>
      </c>
      <c r="E82">
        <v>0.9248062483266248</v>
      </c>
      <c r="F82">
        <v>1101.052631578947</v>
      </c>
      <c r="G82">
        <v>0.8405958264908624</v>
      </c>
    </row>
    <row r="83" spans="1:7">
      <c r="A83" t="s">
        <v>137</v>
      </c>
      <c r="B83">
        <v>1</v>
      </c>
      <c r="C83">
        <v>0.6129546926181764</v>
      </c>
      <c r="D83">
        <v>1.780061502283725</v>
      </c>
      <c r="E83">
        <v>0.9379437630369771</v>
      </c>
      <c r="F83">
        <v>1104.912280701754</v>
      </c>
      <c r="G83">
        <v>0.8414868716896019</v>
      </c>
    </row>
    <row r="84" spans="1:7">
      <c r="A84" t="s">
        <v>137</v>
      </c>
      <c r="B84">
        <v>1</v>
      </c>
      <c r="C84">
        <v>0.6203401770181652</v>
      </c>
      <c r="D84">
        <v>1.786279564057342</v>
      </c>
      <c r="E84">
        <v>0.9511133290972626</v>
      </c>
      <c r="F84">
        <v>1108.771929824561</v>
      </c>
      <c r="G84">
        <v>0.8423738372690964</v>
      </c>
    </row>
    <row r="85" spans="1:7">
      <c r="A85" t="s">
        <v>137</v>
      </c>
      <c r="B85">
        <v>1</v>
      </c>
      <c r="C85">
        <v>0.6277179069017808</v>
      </c>
      <c r="D85">
        <v>1.792497625830959</v>
      </c>
      <c r="E85">
        <v>0.9643149427935171</v>
      </c>
      <c r="F85">
        <v>1112.631578947369</v>
      </c>
      <c r="G85">
        <v>0.8432567232293463</v>
      </c>
    </row>
    <row r="86" spans="1:7">
      <c r="A86" t="s">
        <v>137</v>
      </c>
      <c r="B86">
        <v>1</v>
      </c>
      <c r="C86">
        <v>0.6350879341730213</v>
      </c>
      <c r="D86">
        <v>1.798715687604576</v>
      </c>
      <c r="E86">
        <v>0.9775486008883542</v>
      </c>
      <c r="F86">
        <v>1116.491228070175</v>
      </c>
      <c r="G86">
        <v>0.8441355295703513</v>
      </c>
    </row>
    <row r="87" spans="1:7">
      <c r="A87" t="s">
        <v>137</v>
      </c>
      <c r="B87">
        <v>1</v>
      </c>
      <c r="C87">
        <v>0.6424503104618646</v>
      </c>
      <c r="D87">
        <v>1.804933749378194</v>
      </c>
      <c r="E87">
        <v>0.9908143006188804</v>
      </c>
      <c r="F87">
        <v>1120.350877192983</v>
      </c>
      <c r="G87">
        <v>0.8450102562921115</v>
      </c>
    </row>
    <row r="88" spans="1:7">
      <c r="A88" t="s">
        <v>137</v>
      </c>
      <c r="B88">
        <v>1</v>
      </c>
      <c r="C88">
        <v>0.6498050871269012</v>
      </c>
      <c r="D88">
        <v>1.811151811151811</v>
      </c>
      <c r="E88">
        <v>1.004112039694643</v>
      </c>
      <c r="F88">
        <v>1124.21052631579</v>
      </c>
      <c r="G88">
        <v>0.8458809033946267</v>
      </c>
    </row>
    <row r="89" spans="1:7">
      <c r="A89" t="s">
        <v>137</v>
      </c>
      <c r="B89">
        <v>1</v>
      </c>
      <c r="C89">
        <v>0.6571523152579416</v>
      </c>
      <c r="D89">
        <v>1.817369872925428</v>
      </c>
      <c r="E89">
        <v>1.017441816295607</v>
      </c>
      <c r="F89">
        <v>1128.070175438596</v>
      </c>
      <c r="G89">
        <v>0.8467474708778971</v>
      </c>
    </row>
    <row r="90" spans="1:7">
      <c r="A90" t="s">
        <v>137</v>
      </c>
      <c r="B90">
        <v>1</v>
      </c>
      <c r="C90">
        <v>0.6644920456785985</v>
      </c>
      <c r="D90">
        <v>1.823587934699046</v>
      </c>
      <c r="E90">
        <v>1.030803629070175</v>
      </c>
      <c r="F90">
        <v>1131.929824561403</v>
      </c>
      <c r="G90">
        <v>0.8476099587419226</v>
      </c>
    </row>
    <row r="91" spans="1:7">
      <c r="A91" t="s">
        <v>137</v>
      </c>
      <c r="B91">
        <v>1</v>
      </c>
      <c r="C91">
        <v>0.6718243289488405</v>
      </c>
      <c r="D91">
        <v>1.829805996472663</v>
      </c>
      <c r="E91">
        <v>1.044197477133228</v>
      </c>
      <c r="F91">
        <v>1135.78947368421</v>
      </c>
      <c r="G91">
        <v>0.8484683669867035</v>
      </c>
    </row>
    <row r="92" spans="1:7">
      <c r="A92" t="s">
        <v>137</v>
      </c>
      <c r="B92">
        <v>1</v>
      </c>
      <c r="C92">
        <v>0.6791492153675225</v>
      </c>
      <c r="D92">
        <v>1.83602405824628</v>
      </c>
      <c r="E92">
        <v>1.057623360064206</v>
      </c>
      <c r="F92">
        <v>1139.649122807017</v>
      </c>
      <c r="G92">
        <v>0.8493226956122395</v>
      </c>
    </row>
    <row r="93" spans="1:7">
      <c r="A93" t="s">
        <v>137</v>
      </c>
      <c r="B93">
        <v>1</v>
      </c>
      <c r="C93">
        <v>0.6864667549748887</v>
      </c>
      <c r="D93">
        <v>1.842242120019898</v>
      </c>
      <c r="E93">
        <v>1.071081277905217</v>
      </c>
      <c r="F93">
        <v>1143.508771929824</v>
      </c>
      <c r="G93">
        <v>0.8501729446185305</v>
      </c>
    </row>
    <row r="94" spans="1:7">
      <c r="A94" t="s">
        <v>137</v>
      </c>
      <c r="B94">
        <v>1</v>
      </c>
      <c r="C94">
        <v>0.6937769975550527</v>
      </c>
      <c r="D94">
        <v>1.848460181793515</v>
      </c>
      <c r="E94">
        <v>1.084571231159185</v>
      </c>
      <c r="F94">
        <v>1147.368421052631</v>
      </c>
      <c r="G94">
        <v>0.8510191140055762</v>
      </c>
    </row>
    <row r="95" spans="1:7">
      <c r="A95" t="s">
        <v>137</v>
      </c>
      <c r="B95">
        <v>1</v>
      </c>
      <c r="C95">
        <v>0.7010799926384511</v>
      </c>
      <c r="D95">
        <v>1.854678243567133</v>
      </c>
      <c r="E95">
        <v>1.098093220788015</v>
      </c>
      <c r="F95">
        <v>1151.228070175439</v>
      </c>
      <c r="G95">
        <v>0.8518612037733777</v>
      </c>
    </row>
    <row r="96" spans="1:7">
      <c r="A96" t="s">
        <v>137</v>
      </c>
      <c r="B96">
        <v>1</v>
      </c>
      <c r="C96">
        <v>0.7083757895042734</v>
      </c>
      <c r="D96">
        <v>1.86089630534075</v>
      </c>
      <c r="E96">
        <v>1.111647248210806</v>
      </c>
      <c r="F96">
        <v>1155.087719298245</v>
      </c>
      <c r="G96">
        <v>0.8526992139219342</v>
      </c>
    </row>
    <row r="97" spans="1:7">
      <c r="A97" t="s">
        <v>137</v>
      </c>
      <c r="B97">
        <v>1</v>
      </c>
      <c r="C97">
        <v>0.715664437182869</v>
      </c>
      <c r="D97">
        <v>1.867114367114367</v>
      </c>
      <c r="E97">
        <v>1.125233315302081</v>
      </c>
      <c r="F97">
        <v>1158.947368421053</v>
      </c>
      <c r="G97">
        <v>0.853533144451246</v>
      </c>
    </row>
    <row r="98" spans="1:7">
      <c r="A98" t="s">
        <v>137</v>
      </c>
      <c r="B98">
        <v>1</v>
      </c>
      <c r="C98">
        <v>0.7229459844581277</v>
      </c>
      <c r="D98">
        <v>1.873332428887984</v>
      </c>
      <c r="E98">
        <v>1.138851424390058</v>
      </c>
      <c r="F98">
        <v>1162.80701754386</v>
      </c>
      <c r="G98">
        <v>0.8543629953613123</v>
      </c>
    </row>
    <row r="99" spans="1:7">
      <c r="A99" t="s">
        <v>137</v>
      </c>
      <c r="B99">
        <v>1</v>
      </c>
      <c r="C99">
        <v>0.7302204798698406</v>
      </c>
      <c r="D99">
        <v>1.879550490661602</v>
      </c>
      <c r="E99">
        <v>1.15250157825494</v>
      </c>
      <c r="F99">
        <v>1166.666666666667</v>
      </c>
      <c r="G99">
        <v>0.8551887666521347</v>
      </c>
    </row>
    <row r="100" spans="1:7">
      <c r="A100" t="s">
        <v>137</v>
      </c>
      <c r="B100">
        <v>1</v>
      </c>
      <c r="C100">
        <v>0.7374879717160336</v>
      </c>
      <c r="D100">
        <v>1.885768552435219</v>
      </c>
      <c r="E100">
        <v>1.166183780127246</v>
      </c>
      <c r="F100">
        <v>1170.526315789474</v>
      </c>
      <c r="G100">
        <v>0.8560104583237114</v>
      </c>
    </row>
    <row r="101" spans="1:7">
      <c r="A101" t="s">
        <v>137</v>
      </c>
      <c r="B101">
        <v>1</v>
      </c>
      <c r="C101">
        <v>0.7447485080552818</v>
      </c>
      <c r="D101">
        <v>1.891986614208836</v>
      </c>
      <c r="E101">
        <v>1.179898033686166</v>
      </c>
      <c r="F101">
        <v>1174.385964912281</v>
      </c>
      <c r="G101">
        <v>0.8568280703760436</v>
      </c>
    </row>
    <row r="102" spans="1:7">
      <c r="A102" t="s">
        <v>137</v>
      </c>
      <c r="B102">
        <v>1</v>
      </c>
      <c r="C102">
        <v>0.7520021367089994</v>
      </c>
      <c r="D102">
        <v>1.898204675982454</v>
      </c>
      <c r="E102">
        <v>1.193644343057941</v>
      </c>
      <c r="F102">
        <v>1178.245614035088</v>
      </c>
      <c r="G102">
        <v>0.8576416028091309</v>
      </c>
    </row>
    <row r="103" spans="1:7">
      <c r="A103" t="s">
        <v>137</v>
      </c>
      <c r="B103">
        <v>1</v>
      </c>
      <c r="C103">
        <v>0.7592489052637079</v>
      </c>
      <c r="D103">
        <v>1.904422737756071</v>
      </c>
      <c r="E103">
        <v>1.207422712814283</v>
      </c>
      <c r="F103">
        <v>1182.105263157895</v>
      </c>
      <c r="G103">
        <v>0.8584510556229733</v>
      </c>
    </row>
    <row r="104" spans="1:7">
      <c r="A104" t="s">
        <v>137</v>
      </c>
      <c r="B104">
        <v>1</v>
      </c>
      <c r="C104">
        <v>0.7664888610732821</v>
      </c>
      <c r="D104">
        <v>1.910640799529688</v>
      </c>
      <c r="E104">
        <v>1.221233147970815</v>
      </c>
      <c r="F104">
        <v>1185.964912280702</v>
      </c>
      <c r="G104">
        <v>0.8592564288175709</v>
      </c>
    </row>
    <row r="105" spans="1:7">
      <c r="A105" t="s">
        <v>137</v>
      </c>
      <c r="B105">
        <v>1</v>
      </c>
      <c r="C105">
        <v>0.7737220512611757</v>
      </c>
      <c r="D105">
        <v>1.916858861303306</v>
      </c>
      <c r="E105">
        <v>1.235075653985542</v>
      </c>
      <c r="F105">
        <v>1189.824561403509</v>
      </c>
      <c r="G105">
        <v>0.8600577223929234</v>
      </c>
    </row>
    <row r="106" spans="1:7">
      <c r="A106" t="s">
        <v>137</v>
      </c>
      <c r="B106">
        <v>1</v>
      </c>
      <c r="C106">
        <v>0.7809485227226228</v>
      </c>
      <c r="D106">
        <v>1.923076923076923</v>
      </c>
      <c r="E106">
        <v>1.248950236757346</v>
      </c>
      <c r="F106">
        <v>1193.684210526316</v>
      </c>
      <c r="G106">
        <v>0.8608549363490315</v>
      </c>
    </row>
    <row r="107" spans="1:7">
      <c r="A107" t="s">
        <v>137</v>
      </c>
      <c r="B107">
        <v>1</v>
      </c>
      <c r="C107">
        <v>0.7881683221268221</v>
      </c>
      <c r="D107">
        <v>1.92929498485054</v>
      </c>
      <c r="E107">
        <v>1.262856902624521</v>
      </c>
      <c r="F107">
        <v>1197.543859649123</v>
      </c>
      <c r="G107">
        <v>0.8616480706858943</v>
      </c>
    </row>
    <row r="108" spans="1:7">
      <c r="A108" t="s">
        <v>137</v>
      </c>
      <c r="B108">
        <v>1</v>
      </c>
      <c r="C108">
        <v>0.7953814959190962</v>
      </c>
      <c r="D108">
        <v>1.935513046624158</v>
      </c>
      <c r="E108">
        <v>1.27679565836332</v>
      </c>
      <c r="F108">
        <v>1201.40350877193</v>
      </c>
      <c r="G108">
        <v>0.8624371254035127</v>
      </c>
    </row>
    <row r="109" spans="1:7">
      <c r="A109" t="s">
        <v>137</v>
      </c>
      <c r="B109">
        <v>1</v>
      </c>
      <c r="C109">
        <v>0.8025880903230339</v>
      </c>
      <c r="D109">
        <v>1.941731108397775</v>
      </c>
      <c r="E109">
        <v>1.290766511186542</v>
      </c>
      <c r="F109">
        <v>1205.263157894737</v>
      </c>
      <c r="G109">
        <v>0.8632221005018861</v>
      </c>
    </row>
    <row r="110" spans="1:7">
      <c r="A110" t="s">
        <v>137</v>
      </c>
      <c r="B110">
        <v>1</v>
      </c>
      <c r="C110">
        <v>0.8097881513426101</v>
      </c>
      <c r="D110">
        <v>1.947949170171392</v>
      </c>
      <c r="E110">
        <v>1.304769468742137</v>
      </c>
      <c r="F110">
        <v>1209.122807017544</v>
      </c>
      <c r="G110">
        <v>0.8640029959810149</v>
      </c>
    </row>
    <row r="111" spans="1:7">
      <c r="A111" t="s">
        <v>137</v>
      </c>
      <c r="B111">
        <v>1</v>
      </c>
      <c r="C111">
        <v>0.816981724764286</v>
      </c>
      <c r="D111">
        <v>1.95416723194501</v>
      </c>
      <c r="E111">
        <v>1.318804539111845</v>
      </c>
      <c r="F111">
        <v>1212.982456140351</v>
      </c>
      <c r="G111">
        <v>0.8647798118408984</v>
      </c>
    </row>
    <row r="112" spans="1:7">
      <c r="A112" t="s">
        <v>137</v>
      </c>
      <c r="B112">
        <v>1</v>
      </c>
      <c r="C112">
        <v>0.8241688561590911</v>
      </c>
      <c r="D112">
        <v>1.960385293718627</v>
      </c>
      <c r="E112">
        <v>1.332871730809857</v>
      </c>
      <c r="F112">
        <v>1216.842105263158</v>
      </c>
      <c r="G112">
        <v>0.8655525480815368</v>
      </c>
    </row>
    <row r="113" spans="1:7">
      <c r="A113" t="s">
        <v>137</v>
      </c>
      <c r="B113">
        <v>1</v>
      </c>
      <c r="C113">
        <v>0.8313495908846824</v>
      </c>
      <c r="D113">
        <v>1.966603355492244</v>
      </c>
      <c r="E113">
        <v>1.346971052781504</v>
      </c>
      <c r="F113">
        <v>1220.701754385965</v>
      </c>
      <c r="G113">
        <v>0.8663212047029308</v>
      </c>
    </row>
    <row r="114" spans="1:7">
      <c r="A114" t="s">
        <v>137</v>
      </c>
      <c r="B114">
        <v>1</v>
      </c>
      <c r="C114">
        <v>0.8385239740873889</v>
      </c>
      <c r="D114">
        <v>1.972821417265862</v>
      </c>
      <c r="E114">
        <v>1.361102514401972</v>
      </c>
      <c r="F114">
        <v>1224.561403508772</v>
      </c>
      <c r="G114">
        <v>0.8670857817050801</v>
      </c>
    </row>
    <row r="115" spans="1:7">
      <c r="A115" t="s">
        <v>137</v>
      </c>
      <c r="B115">
        <v>1</v>
      </c>
      <c r="C115">
        <v>0.8456920507042318</v>
      </c>
      <c r="D115">
        <v>1.979039479039479</v>
      </c>
      <c r="E115">
        <v>1.375266125475045</v>
      </c>
      <c r="F115">
        <v>1228.421052631579</v>
      </c>
      <c r="G115">
        <v>0.8678462790879841</v>
      </c>
    </row>
    <row r="116" spans="1:7">
      <c r="A116" t="s">
        <v>137</v>
      </c>
      <c r="B116">
        <v>1</v>
      </c>
      <c r="C116">
        <v>0.8528538654649309</v>
      </c>
      <c r="D116">
        <v>1.985257540813096</v>
      </c>
      <c r="E116">
        <v>1.389461896231867</v>
      </c>
      <c r="F116">
        <v>1232.280701754386</v>
      </c>
      <c r="G116">
        <v>0.8686026968516436</v>
      </c>
    </row>
    <row r="117" spans="1:7">
      <c r="A117" t="s">
        <v>137</v>
      </c>
      <c r="B117">
        <v>1</v>
      </c>
      <c r="C117">
        <v>0.8600094628938891</v>
      </c>
      <c r="D117">
        <v>1.991475602586714</v>
      </c>
      <c r="E117">
        <v>1.403689837329739</v>
      </c>
      <c r="F117">
        <v>1236.140350877193</v>
      </c>
      <c r="G117">
        <v>0.869355034996058</v>
      </c>
    </row>
    <row r="118" spans="1:7">
      <c r="A118" t="s">
        <v>137</v>
      </c>
      <c r="B118">
        <v>1</v>
      </c>
      <c r="C118">
        <v>0.8671588873121604</v>
      </c>
      <c r="D118">
        <v>1.997693664360331</v>
      </c>
      <c r="E118">
        <v>1.417949959850933</v>
      </c>
      <c r="F118">
        <v>1240</v>
      </c>
      <c r="G118">
        <v>0.8701032935212276</v>
      </c>
    </row>
    <row r="119" spans="1:7">
      <c r="A119" t="s">
        <v>137</v>
      </c>
      <c r="B119">
        <v>1</v>
      </c>
      <c r="C119">
        <v>0.8743021828393981</v>
      </c>
      <c r="D119">
        <v>2.003911726133948</v>
      </c>
      <c r="E119">
        <v>1.432242275301535</v>
      </c>
      <c r="F119">
        <v>1243.859649122807</v>
      </c>
      <c r="G119">
        <v>0.8708474724271523</v>
      </c>
    </row>
    <row r="120" spans="1:7">
      <c r="A120" t="s">
        <v>137</v>
      </c>
      <c r="B120">
        <v>1</v>
      </c>
      <c r="C120">
        <v>0.8814393933957888</v>
      </c>
      <c r="D120">
        <v>2.010129787907565</v>
      </c>
      <c r="E120">
        <v>1.446566795610318</v>
      </c>
      <c r="F120">
        <v>1247.719298245614</v>
      </c>
      <c r="G120">
        <v>0.8715875717138322</v>
      </c>
    </row>
    <row r="121" spans="1:7">
      <c r="A121" t="s">
        <v>137</v>
      </c>
      <c r="B121">
        <v>1</v>
      </c>
      <c r="C121">
        <v>0.8885705627039632</v>
      </c>
      <c r="D121">
        <v>2.016347849681183</v>
      </c>
      <c r="E121">
        <v>1.460923533127623</v>
      </c>
      <c r="F121">
        <v>1251.578947368421</v>
      </c>
      <c r="G121">
        <v>0.8723235913812672</v>
      </c>
    </row>
    <row r="122" spans="1:7">
      <c r="A122" t="s">
        <v>137</v>
      </c>
      <c r="B122">
        <v>1</v>
      </c>
      <c r="C122">
        <v>0.8956957342908944</v>
      </c>
      <c r="D122">
        <v>2.0225659114548</v>
      </c>
      <c r="E122">
        <v>1.475312500624285</v>
      </c>
      <c r="F122">
        <v>1255.438596491228</v>
      </c>
      <c r="G122">
        <v>0.8730555314294574</v>
      </c>
    </row>
    <row r="123" spans="1:7">
      <c r="A123" t="s">
        <v>137</v>
      </c>
      <c r="B123">
        <v>1</v>
      </c>
      <c r="C123">
        <v>0.9028149514897773</v>
      </c>
      <c r="D123">
        <v>2.028783973228418</v>
      </c>
      <c r="E123">
        <v>1.489733711290567</v>
      </c>
      <c r="F123">
        <v>1259.298245614035</v>
      </c>
      <c r="G123">
        <v>0.8737833918584029</v>
      </c>
    </row>
    <row r="124" spans="1:7">
      <c r="A124" t="s">
        <v>137</v>
      </c>
      <c r="B124">
        <v>1</v>
      </c>
      <c r="C124">
        <v>0.9099282574418903</v>
      </c>
      <c r="D124">
        <v>2.035002035002035</v>
      </c>
      <c r="E124">
        <v>1.50418717873513</v>
      </c>
      <c r="F124">
        <v>1263.157894736842</v>
      </c>
      <c r="G124">
        <v>0.8745071726681034</v>
      </c>
    </row>
    <row r="125" spans="1:7">
      <c r="A125" t="s">
        <v>137</v>
      </c>
      <c r="B125">
        <v>1</v>
      </c>
      <c r="C125">
        <v>0.9170356950984416</v>
      </c>
      <c r="D125">
        <v>2.041220096775652</v>
      </c>
      <c r="E125">
        <v>1.518672916984017</v>
      </c>
      <c r="F125">
        <v>1267.017543859649</v>
      </c>
      <c r="G125">
        <v>0.8752268738585589</v>
      </c>
    </row>
    <row r="126" spans="1:7">
      <c r="A126" t="s">
        <v>137</v>
      </c>
      <c r="B126">
        <v>1</v>
      </c>
      <c r="C126">
        <v>0.9241373072223977</v>
      </c>
      <c r="D126">
        <v>2.047438158549269</v>
      </c>
      <c r="E126">
        <v>1.533190940479666</v>
      </c>
      <c r="F126">
        <v>1270.877192982456</v>
      </c>
      <c r="G126">
        <v>0.8759424954297695</v>
      </c>
    </row>
    <row r="127" spans="1:7">
      <c r="A127" t="s">
        <v>137</v>
      </c>
      <c r="B127">
        <v>1</v>
      </c>
      <c r="C127">
        <v>0.9312331363902989</v>
      </c>
      <c r="D127">
        <v>2.053656220322887</v>
      </c>
      <c r="E127">
        <v>1.54774126407995</v>
      </c>
      <c r="F127">
        <v>1274.736842105263</v>
      </c>
      <c r="G127">
        <v>0.8766540373817358</v>
      </c>
    </row>
    <row r="128" spans="1:7">
      <c r="A128" t="s">
        <v>137</v>
      </c>
      <c r="B128">
        <v>1</v>
      </c>
      <c r="C128">
        <v>0.9383232249940505</v>
      </c>
      <c r="D128">
        <v>2.059874282096504</v>
      </c>
      <c r="E128">
        <v>1.562323903057227</v>
      </c>
      <c r="F128">
        <v>1278.59649122807</v>
      </c>
      <c r="G128">
        <v>0.8773614997144566</v>
      </c>
    </row>
    <row r="129" spans="1:7">
      <c r="A129" t="s">
        <v>137</v>
      </c>
      <c r="B129">
        <v>1</v>
      </c>
      <c r="C129">
        <v>0.9454076152427109</v>
      </c>
      <c r="D129">
        <v>2.066092343870122</v>
      </c>
      <c r="E129">
        <v>1.576938873097431</v>
      </c>
      <c r="F129">
        <v>1282.456140350877</v>
      </c>
      <c r="G129">
        <v>0.8780648824279331</v>
      </c>
    </row>
    <row r="130" spans="1:7">
      <c r="A130" t="s">
        <v>137</v>
      </c>
      <c r="B130">
        <v>1</v>
      </c>
      <c r="C130">
        <v>0.9524863491642512</v>
      </c>
      <c r="D130">
        <v>2.072310405643739</v>
      </c>
      <c r="E130">
        <v>1.591586190299169</v>
      </c>
      <c r="F130">
        <v>1286.315789473684</v>
      </c>
      <c r="G130">
        <v>0.8787641855221645</v>
      </c>
    </row>
    <row r="131" spans="1:7">
      <c r="A131" t="s">
        <v>137</v>
      </c>
      <c r="B131">
        <v>1</v>
      </c>
      <c r="C131">
        <v>0.9595594686073078</v>
      </c>
      <c r="D131">
        <v>2.078528467417356</v>
      </c>
      <c r="E131">
        <v>1.606265871172855</v>
      </c>
      <c r="F131">
        <v>1290.175438596491</v>
      </c>
      <c r="G131">
        <v>0.8794594089971506</v>
      </c>
    </row>
    <row r="132" spans="1:7">
      <c r="A132" t="s">
        <v>137</v>
      </c>
      <c r="B132">
        <v>1</v>
      </c>
      <c r="C132">
        <v>0.9666270152429158</v>
      </c>
      <c r="D132">
        <v>2.084746529190974</v>
      </c>
      <c r="E132">
        <v>1.620977932639855</v>
      </c>
      <c r="F132">
        <v>1294.035087719298</v>
      </c>
      <c r="G132">
        <v>0.8801505528528927</v>
      </c>
    </row>
    <row r="133" spans="1:7">
      <c r="A133" t="s">
        <v>137</v>
      </c>
      <c r="B133">
        <v>1</v>
      </c>
      <c r="C133">
        <v>0.9736890305662286</v>
      </c>
      <c r="D133">
        <v>2.090964590964591</v>
      </c>
      <c r="E133">
        <v>1.635722392031663</v>
      </c>
      <c r="F133">
        <v>1297.894736842105</v>
      </c>
      <c r="G133">
        <v>0.8808376170893893</v>
      </c>
    </row>
    <row r="134" spans="1:7">
      <c r="A134" t="s">
        <v>137</v>
      </c>
      <c r="B134">
        <v>1</v>
      </c>
      <c r="C134">
        <v>0.9807455558982242</v>
      </c>
      <c r="D134">
        <v>2.097182652738208</v>
      </c>
      <c r="E134">
        <v>1.650499267089094</v>
      </c>
      <c r="F134">
        <v>1301.754385964912</v>
      </c>
      <c r="G134">
        <v>0.8815206017066413</v>
      </c>
    </row>
    <row r="135" spans="1:7">
      <c r="A135" t="s">
        <v>137</v>
      </c>
      <c r="B135">
        <v>1</v>
      </c>
      <c r="C135">
        <v>0.98779663238739</v>
      </c>
      <c r="D135">
        <v>2.103400714511825</v>
      </c>
      <c r="E135">
        <v>1.665308575961499</v>
      </c>
      <c r="F135">
        <v>1305.614035087719</v>
      </c>
      <c r="G135">
        <v>0.8821995067046484</v>
      </c>
    </row>
    <row r="136" spans="1:7">
      <c r="A136" t="s">
        <v>137</v>
      </c>
      <c r="B136">
        <v>1</v>
      </c>
      <c r="C136">
        <v>0.9948423010114047</v>
      </c>
      <c r="D136">
        <v>2.109618776285443</v>
      </c>
      <c r="E136">
        <v>1.68015033720601</v>
      </c>
      <c r="F136">
        <v>1309.473684210526</v>
      </c>
      <c r="G136">
        <v>0.8828743320834106</v>
      </c>
    </row>
    <row r="137" spans="1:7">
      <c r="A137" t="s">
        <v>137</v>
      </c>
      <c r="B137">
        <v>1</v>
      </c>
      <c r="C137">
        <v>1.001882602578794</v>
      </c>
      <c r="D137">
        <v>2.11583683805906</v>
      </c>
      <c r="E137">
        <v>1.695024569786792</v>
      </c>
      <c r="F137">
        <v>1313.333333333333</v>
      </c>
      <c r="G137">
        <v>0.8835450778429277</v>
      </c>
    </row>
    <row r="138" spans="1:7">
      <c r="A138" t="s">
        <v>137</v>
      </c>
      <c r="B138">
        <v>1</v>
      </c>
      <c r="C138">
        <v>1.008917577730579</v>
      </c>
      <c r="D138">
        <v>2.122054899832678</v>
      </c>
      <c r="E138">
        <v>1.709931293074333</v>
      </c>
      <c r="F138">
        <v>1317.19298245614</v>
      </c>
      <c r="G138">
        <v>0.8842117439832003</v>
      </c>
    </row>
    <row r="139" spans="1:7">
      <c r="A139" t="s">
        <v>137</v>
      </c>
      <c r="B139">
        <v>1</v>
      </c>
      <c r="C139">
        <v>1.01594726694191</v>
      </c>
      <c r="D139">
        <v>2.128272961606295</v>
      </c>
      <c r="E139">
        <v>1.724870526844741</v>
      </c>
      <c r="F139">
        <v>1321.052631578947</v>
      </c>
      <c r="G139">
        <v>0.8848743305042284</v>
      </c>
    </row>
    <row r="140" spans="1:7">
      <c r="A140" t="s">
        <v>137</v>
      </c>
      <c r="B140">
        <v>1</v>
      </c>
      <c r="C140">
        <v>1.022971710523684</v>
      </c>
      <c r="D140">
        <v>2.134491023379912</v>
      </c>
      <c r="E140">
        <v>1.739842291279074</v>
      </c>
      <c r="F140">
        <v>1324.912280701754</v>
      </c>
      <c r="G140">
        <v>0.885532837406011</v>
      </c>
    </row>
    <row r="141" spans="1:7">
      <c r="A141" t="s">
        <v>137</v>
      </c>
      <c r="B141">
        <v>1</v>
      </c>
      <c r="C141">
        <v>1.02999094862415</v>
      </c>
      <c r="D141">
        <v>2.14070908515353</v>
      </c>
      <c r="E141">
        <v>1.754846606962683</v>
      </c>
      <c r="F141">
        <v>1328.771929824561</v>
      </c>
      <c r="G141">
        <v>0.8861872646885487</v>
      </c>
    </row>
    <row r="142" spans="1:7">
      <c r="A142" t="s">
        <v>137</v>
      </c>
      <c r="B142">
        <v>1</v>
      </c>
      <c r="C142">
        <v>1.037005021230502</v>
      </c>
      <c r="D142">
        <v>2.146927146927147</v>
      </c>
      <c r="E142">
        <v>1.76988349488458</v>
      </c>
      <c r="F142">
        <v>1332.631578947368</v>
      </c>
      <c r="G142">
        <v>0.886837612351842</v>
      </c>
    </row>
    <row r="143" spans="1:7">
      <c r="A143" t="s">
        <v>137</v>
      </c>
      <c r="B143">
        <v>1</v>
      </c>
      <c r="C143">
        <v>1.044013968170457</v>
      </c>
      <c r="D143">
        <v>2.153145208700764</v>
      </c>
      <c r="E143">
        <v>1.784952976436828</v>
      </c>
      <c r="F143">
        <v>1336.491228070175</v>
      </c>
      <c r="G143">
        <v>0.8874838803958902</v>
      </c>
    </row>
    <row r="144" spans="1:7">
      <c r="A144" t="s">
        <v>137</v>
      </c>
      <c r="B144">
        <v>1</v>
      </c>
      <c r="C144">
        <v>1.051017829113818</v>
      </c>
      <c r="D144">
        <v>2.159363270474381</v>
      </c>
      <c r="E144">
        <v>1.800055073413946</v>
      </c>
      <c r="F144">
        <v>1340.350877192982</v>
      </c>
      <c r="G144">
        <v>0.8881260688206937</v>
      </c>
    </row>
    <row r="145" spans="1:7">
      <c r="A145" t="s">
        <v>137</v>
      </c>
      <c r="B145">
        <v>1</v>
      </c>
      <c r="C145">
        <v>1.058016643574033</v>
      </c>
      <c r="D145">
        <v>2.165581332247999</v>
      </c>
      <c r="E145">
        <v>1.815189808012341</v>
      </c>
      <c r="F145">
        <v>1344.21052631579</v>
      </c>
      <c r="G145">
        <v>0.8887641776262525</v>
      </c>
    </row>
    <row r="146" spans="1:7">
      <c r="A146" t="s">
        <v>137</v>
      </c>
      <c r="B146">
        <v>1</v>
      </c>
      <c r="C146">
        <v>1.065010450909725</v>
      </c>
      <c r="D146">
        <v>2.171799394021616</v>
      </c>
      <c r="E146">
        <v>1.830357202829757</v>
      </c>
      <c r="F146">
        <v>1348.070175438596</v>
      </c>
      <c r="G146">
        <v>0.8893982068125658</v>
      </c>
    </row>
    <row r="147" spans="1:7">
      <c r="A147" t="s">
        <v>137</v>
      </c>
      <c r="B147">
        <v>1</v>
      </c>
      <c r="C147">
        <v>1.071999290326227</v>
      </c>
      <c r="D147">
        <v>2.178017455795234</v>
      </c>
      <c r="E147">
        <v>1.845557280864747</v>
      </c>
      <c r="F147">
        <v>1351.929824561403</v>
      </c>
      <c r="G147">
        <v>0.8900281563796347</v>
      </c>
    </row>
    <row r="148" spans="1:7">
      <c r="A148" t="s">
        <v>137</v>
      </c>
      <c r="B148">
        <v>1</v>
      </c>
      <c r="C148">
        <v>1.078983200877095</v>
      </c>
      <c r="D148">
        <v>2.184235517568851</v>
      </c>
      <c r="E148">
        <v>1.860790065516162</v>
      </c>
      <c r="F148">
        <v>1355.789473684211</v>
      </c>
      <c r="G148">
        <v>0.890654026327459</v>
      </c>
    </row>
    <row r="149" spans="1:7">
      <c r="A149" t="s">
        <v>137</v>
      </c>
      <c r="B149">
        <v>1</v>
      </c>
      <c r="C149">
        <v>1.085962221465606</v>
      </c>
      <c r="D149">
        <v>2.190453579342468</v>
      </c>
      <c r="E149">
        <v>1.876055580582658</v>
      </c>
      <c r="F149">
        <v>1359.649122807017</v>
      </c>
      <c r="G149">
        <v>0.8912758166560377</v>
      </c>
    </row>
    <row r="150" spans="1:7">
      <c r="A150" t="s">
        <v>137</v>
      </c>
      <c r="B150">
        <v>1</v>
      </c>
      <c r="C150">
        <v>1.092936390846253</v>
      </c>
      <c r="D150">
        <v>2.196671641116085</v>
      </c>
      <c r="E150">
        <v>1.891353850262239</v>
      </c>
      <c r="F150">
        <v>1363.508771929824</v>
      </c>
      <c r="G150">
        <v>0.8918935273653724</v>
      </c>
    </row>
    <row r="151" spans="1:7">
      <c r="A151" t="s">
        <v>137</v>
      </c>
      <c r="B151">
        <v>1</v>
      </c>
      <c r="C151">
        <v>1.099905747626221</v>
      </c>
      <c r="D151">
        <v>2.202889702889703</v>
      </c>
      <c r="E151">
        <v>1.906684899151793</v>
      </c>
      <c r="F151">
        <v>1367.368421052631</v>
      </c>
      <c r="G151">
        <v>0.8925071584554618</v>
      </c>
    </row>
    <row r="152" spans="1:7">
      <c r="A152" t="s">
        <v>137</v>
      </c>
      <c r="B152">
        <v>1</v>
      </c>
      <c r="C152">
        <v>1.106870330266851</v>
      </c>
      <c r="D152">
        <v>2.20910776466332</v>
      </c>
      <c r="E152">
        <v>1.92204875224667</v>
      </c>
      <c r="F152">
        <v>1371.228070175438</v>
      </c>
      <c r="G152">
        <v>0.8931167099263055</v>
      </c>
    </row>
    <row r="153" spans="1:7">
      <c r="A153" t="s">
        <v>137</v>
      </c>
      <c r="B153">
        <v>1</v>
      </c>
      <c r="C153">
        <v>1.113830177085099</v>
      </c>
      <c r="D153">
        <v>2.215325826436938</v>
      </c>
      <c r="E153">
        <v>1.937445434940271</v>
      </c>
      <c r="F153">
        <v>1375.087719298245</v>
      </c>
      <c r="G153">
        <v>0.8937221817779057</v>
      </c>
    </row>
    <row r="154" spans="1:7">
      <c r="A154" t="s">
        <v>137</v>
      </c>
      <c r="B154">
        <v>1</v>
      </c>
      <c r="C154">
        <v>1.120785326254975</v>
      </c>
      <c r="D154">
        <v>2.221543888210555</v>
      </c>
      <c r="E154">
        <v>1.95287497302366</v>
      </c>
      <c r="F154">
        <v>1378.947368421052</v>
      </c>
      <c r="G154">
        <v>0.8943235740102604</v>
      </c>
    </row>
    <row r="155" spans="1:7">
      <c r="A155" t="s">
        <v>137</v>
      </c>
      <c r="B155">
        <v>1</v>
      </c>
      <c r="C155">
        <v>1.127735815808977</v>
      </c>
      <c r="D155">
        <v>2.227761949984172</v>
      </c>
      <c r="E155">
        <v>1.968337392685187</v>
      </c>
      <c r="F155">
        <v>1382.80701754386</v>
      </c>
      <c r="G155">
        <v>0.8949208866233708</v>
      </c>
    </row>
    <row r="156" spans="1:7">
      <c r="A156" t="s">
        <v>137</v>
      </c>
      <c r="B156">
        <v>1</v>
      </c>
      <c r="C156">
        <v>1.134681683639509</v>
      </c>
      <c r="D156">
        <v>2.233980011757789</v>
      </c>
      <c r="E156">
        <v>1.983832720510142</v>
      </c>
      <c r="F156">
        <v>1386.666666666667</v>
      </c>
      <c r="G156">
        <v>0.8955141196172359</v>
      </c>
    </row>
    <row r="157" spans="1:7">
      <c r="A157" t="s">
        <v>137</v>
      </c>
      <c r="B157">
        <v>1</v>
      </c>
      <c r="C157">
        <v>1.141622967500292</v>
      </c>
      <c r="D157">
        <v>2.240198073531407</v>
      </c>
      <c r="E157">
        <v>1.999360983480425</v>
      </c>
      <c r="F157">
        <v>1390.526315789474</v>
      </c>
      <c r="G157">
        <v>0.8961032729918561</v>
      </c>
    </row>
    <row r="158" spans="1:7">
      <c r="A158" t="s">
        <v>137</v>
      </c>
      <c r="B158">
        <v>1</v>
      </c>
      <c r="C158">
        <v>1.148559705007759</v>
      </c>
      <c r="D158">
        <v>2.246416135305024</v>
      </c>
      <c r="E158">
        <v>2.01492220897422</v>
      </c>
      <c r="F158">
        <v>1394.385964912281</v>
      </c>
      <c r="G158">
        <v>0.8966883467472316</v>
      </c>
    </row>
    <row r="159" spans="1:7">
      <c r="A159" t="s">
        <v>137</v>
      </c>
      <c r="B159">
        <v>1</v>
      </c>
      <c r="C159">
        <v>1.155491933642449</v>
      </c>
      <c r="D159">
        <v>2.252634197078641</v>
      </c>
      <c r="E159">
        <v>2.030516424765717</v>
      </c>
      <c r="F159">
        <v>1398.245614035088</v>
      </c>
      <c r="G159">
        <v>0.8972693408833619</v>
      </c>
    </row>
    <row r="160" spans="1:7">
      <c r="A160" t="s">
        <v>137</v>
      </c>
      <c r="B160">
        <v>1</v>
      </c>
      <c r="C160">
        <v>1.162419690750375</v>
      </c>
      <c r="D160">
        <v>2.258852258852259</v>
      </c>
      <c r="E160">
        <v>2.046143659024829</v>
      </c>
      <c r="F160">
        <v>1402.105263157895</v>
      </c>
      <c r="G160">
        <v>0.8978462554002479</v>
      </c>
    </row>
    <row r="161" spans="1:7">
      <c r="A161" t="s">
        <v>137</v>
      </c>
      <c r="B161">
        <v>1</v>
      </c>
      <c r="C161">
        <v>1.169343013544395</v>
      </c>
      <c r="D161">
        <v>2.265070320625876</v>
      </c>
      <c r="E161">
        <v>2.061803940316933</v>
      </c>
      <c r="F161">
        <v>1405.964912280702</v>
      </c>
      <c r="G161">
        <v>0.8984190902978885</v>
      </c>
    </row>
    <row r="162" spans="1:7">
      <c r="A162" t="s">
        <v>137</v>
      </c>
      <c r="B162">
        <v>1</v>
      </c>
      <c r="C162">
        <v>1.176261939105566</v>
      </c>
      <c r="D162">
        <v>2.271288382399494</v>
      </c>
      <c r="E162">
        <v>2.077497297602639</v>
      </c>
      <c r="F162">
        <v>1409.824561403509</v>
      </c>
      <c r="G162">
        <v>0.8989878455762844</v>
      </c>
    </row>
    <row r="163" spans="1:7">
      <c r="A163" t="s">
        <v>137</v>
      </c>
      <c r="B163">
        <v>1</v>
      </c>
      <c r="C163">
        <v>1.18317650438449</v>
      </c>
      <c r="D163">
        <v>2.277506444173111</v>
      </c>
      <c r="E163">
        <v>2.093223760237567</v>
      </c>
      <c r="F163">
        <v>1413.684210526315</v>
      </c>
      <c r="G163">
        <v>0.8995525212354357</v>
      </c>
    </row>
    <row r="164" spans="1:7">
      <c r="A164" t="s">
        <v>137</v>
      </c>
      <c r="B164">
        <v>1</v>
      </c>
      <c r="C164">
        <v>1.19008674620265</v>
      </c>
      <c r="D164">
        <v>2.283724505946728</v>
      </c>
      <c r="E164">
        <v>2.10898335797215</v>
      </c>
      <c r="F164">
        <v>1417.543859649123</v>
      </c>
      <c r="G164">
        <v>0.900113117275342</v>
      </c>
    </row>
    <row r="165" spans="1:7">
      <c r="A165" t="s">
        <v>137</v>
      </c>
      <c r="B165">
        <v>1</v>
      </c>
      <c r="C165">
        <v>1.196992701253728</v>
      </c>
      <c r="D165">
        <v>2.289942567720345</v>
      </c>
      <c r="E165">
        <v>2.124776120951447</v>
      </c>
      <c r="F165">
        <v>1421.40350877193</v>
      </c>
      <c r="G165">
        <v>0.9006696336960034</v>
      </c>
    </row>
    <row r="166" spans="1:7">
      <c r="A166" t="s">
        <v>137</v>
      </c>
      <c r="B166">
        <v>1</v>
      </c>
      <c r="C166">
        <v>1.203894406104933</v>
      </c>
      <c r="D166">
        <v>2.296160629493963</v>
      </c>
      <c r="E166">
        <v>2.140602079714988</v>
      </c>
      <c r="F166">
        <v>1425.263157894737</v>
      </c>
      <c r="G166">
        <v>0.90122207049742</v>
      </c>
    </row>
    <row r="167" spans="1:7">
      <c r="A167" t="s">
        <v>137</v>
      </c>
      <c r="B167">
        <v>1</v>
      </c>
      <c r="C167">
        <v>1.210791897198292</v>
      </c>
      <c r="D167">
        <v>2.30237869126758</v>
      </c>
      <c r="E167">
        <v>2.156461265196621</v>
      </c>
      <c r="F167">
        <v>1429.122807017544</v>
      </c>
      <c r="G167">
        <v>0.9017704276795918</v>
      </c>
    </row>
    <row r="168" spans="1:7">
      <c r="A168" t="s">
        <v>137</v>
      </c>
      <c r="B168">
        <v>1</v>
      </c>
      <c r="C168">
        <v>1.217685210851956</v>
      </c>
      <c r="D168">
        <v>2.308596753041197</v>
      </c>
      <c r="E168">
        <v>2.172353708724389</v>
      </c>
      <c r="F168">
        <v>1432.982456140351</v>
      </c>
      <c r="G168">
        <v>0.9023147052425188</v>
      </c>
    </row>
    <row r="169" spans="1:7">
      <c r="A169" t="s">
        <v>137</v>
      </c>
      <c r="B169">
        <v>1</v>
      </c>
      <c r="C169">
        <v>1.224574383261482</v>
      </c>
      <c r="D169">
        <v>2.314814814814815</v>
      </c>
      <c r="E169">
        <v>2.188279442020424</v>
      </c>
      <c r="F169">
        <v>1436.842105263158</v>
      </c>
      <c r="G169">
        <v>0.9028549031862009</v>
      </c>
    </row>
    <row r="170" spans="1:7">
      <c r="A170" t="s">
        <v>137</v>
      </c>
      <c r="B170">
        <v>1</v>
      </c>
      <c r="C170">
        <v>1.231459450501106</v>
      </c>
      <c r="D170">
        <v>2.321032876588432</v>
      </c>
      <c r="E170">
        <v>2.20423849720085</v>
      </c>
      <c r="F170">
        <v>1440.701754385965</v>
      </c>
      <c r="G170">
        <v>0.9033910215106379</v>
      </c>
    </row>
    <row r="171" spans="1:7">
      <c r="A171" t="s">
        <v>137</v>
      </c>
      <c r="B171">
        <v>1</v>
      </c>
      <c r="C171">
        <v>1.23834044852502</v>
      </c>
      <c r="D171">
        <v>2.32725093836205</v>
      </c>
      <c r="E171">
        <v>2.220230906775723</v>
      </c>
      <c r="F171">
        <v>1444.561403508772</v>
      </c>
      <c r="G171">
        <v>0.90392306021583</v>
      </c>
    </row>
    <row r="172" spans="1:7">
      <c r="A172" t="s">
        <v>137</v>
      </c>
      <c r="B172">
        <v>1</v>
      </c>
      <c r="C172">
        <v>1.245217413168618</v>
      </c>
      <c r="D172">
        <v>2.333469000135667</v>
      </c>
      <c r="E172">
        <v>2.236256703648959</v>
      </c>
      <c r="F172">
        <v>1448.421052631579</v>
      </c>
      <c r="G172">
        <v>0.9044510193017776</v>
      </c>
    </row>
    <row r="173" spans="1:7">
      <c r="A173" t="s">
        <v>137</v>
      </c>
      <c r="B173">
        <v>1</v>
      </c>
      <c r="C173">
        <v>1.252090380149755</v>
      </c>
      <c r="D173">
        <v>2.339687061909284</v>
      </c>
      <c r="E173">
        <v>2.252315921118316</v>
      </c>
      <c r="F173">
        <v>1452.280701754386</v>
      </c>
      <c r="G173">
        <v>0.9049748987684801</v>
      </c>
    </row>
    <row r="174" spans="1:7">
      <c r="A174" t="s">
        <v>137</v>
      </c>
      <c r="B174">
        <v>1</v>
      </c>
      <c r="C174">
        <v>1.258959385069982</v>
      </c>
      <c r="D174">
        <v>2.345905123682901</v>
      </c>
      <c r="E174">
        <v>2.268408592875363</v>
      </c>
      <c r="F174">
        <v>1456.140350877193</v>
      </c>
      <c r="G174">
        <v>0.9054946986159376</v>
      </c>
    </row>
    <row r="175" spans="1:7">
      <c r="A175" t="s">
        <v>137</v>
      </c>
      <c r="B175">
        <v>1</v>
      </c>
      <c r="C175">
        <v>1.265824463415778</v>
      </c>
      <c r="D175">
        <v>2.352123185456519</v>
      </c>
      <c r="E175">
        <v>2.284534753005485</v>
      </c>
      <c r="F175">
        <v>1460</v>
      </c>
      <c r="G175">
        <v>0.9060104188441507</v>
      </c>
    </row>
    <row r="176" spans="1:7">
      <c r="A176" t="s">
        <v>137</v>
      </c>
      <c r="B176">
        <v>1</v>
      </c>
      <c r="C176">
        <v>1.272685650559773</v>
      </c>
      <c r="D176">
        <v>2.358341247230136</v>
      </c>
      <c r="E176">
        <v>2.300694435987898</v>
      </c>
      <c r="F176">
        <v>1463.859649122807</v>
      </c>
      <c r="G176">
        <v>0.9065220594531188</v>
      </c>
    </row>
    <row r="177" spans="1:7">
      <c r="A177" t="s">
        <v>137</v>
      </c>
      <c r="B177">
        <v>1</v>
      </c>
      <c r="C177">
        <v>1.27954298176196</v>
      </c>
      <c r="D177">
        <v>2.364559309003753</v>
      </c>
      <c r="E177">
        <v>2.316887676695685</v>
      </c>
      <c r="F177">
        <v>1467.719298245614</v>
      </c>
      <c r="G177">
        <v>0.907029620442842</v>
      </c>
    </row>
    <row r="178" spans="1:7">
      <c r="A178" t="s">
        <v>137</v>
      </c>
      <c r="B178">
        <v>1</v>
      </c>
      <c r="C178">
        <v>1.286396492170906</v>
      </c>
      <c r="D178">
        <v>2.370777370777371</v>
      </c>
      <c r="E178">
        <v>2.333114510395851</v>
      </c>
      <c r="F178">
        <v>1471.578947368421</v>
      </c>
      <c r="G178">
        <v>0.9075331018133201</v>
      </c>
    </row>
    <row r="179" spans="1:7">
      <c r="A179" t="s">
        <v>137</v>
      </c>
      <c r="B179">
        <v>1</v>
      </c>
      <c r="C179">
        <v>1.29324621682494</v>
      </c>
      <c r="D179">
        <v>2.376995432550988</v>
      </c>
      <c r="E179">
        <v>2.349374972749382</v>
      </c>
      <c r="F179">
        <v>1475.438596491228</v>
      </c>
      <c r="G179">
        <v>0.9080325035645535</v>
      </c>
    </row>
    <row r="180" spans="1:7">
      <c r="A180" t="s">
        <v>137</v>
      </c>
      <c r="B180">
        <v>1</v>
      </c>
      <c r="C180">
        <v>1.30009219065335</v>
      </c>
      <c r="D180">
        <v>2.383213494324606</v>
      </c>
      <c r="E180">
        <v>2.365669099811351</v>
      </c>
      <c r="F180">
        <v>1479.298245614035</v>
      </c>
      <c r="G180">
        <v>0.9085278256965423</v>
      </c>
    </row>
    <row r="181" spans="1:7">
      <c r="A181" t="s">
        <v>137</v>
      </c>
      <c r="B181">
        <v>1</v>
      </c>
      <c r="C181">
        <v>1.306934448477559</v>
      </c>
      <c r="D181">
        <v>2.389431556098223</v>
      </c>
      <c r="E181">
        <v>2.381996928031002</v>
      </c>
      <c r="F181">
        <v>1483.157894736842</v>
      </c>
      <c r="G181">
        <v>0.9090190682092861</v>
      </c>
    </row>
    <row r="182" spans="1:7">
      <c r="A182" t="s">
        <v>137</v>
      </c>
      <c r="B182">
        <v>1</v>
      </c>
      <c r="C182">
        <v>1.313773025012299</v>
      </c>
      <c r="D182">
        <v>2.39564961787184</v>
      </c>
      <c r="E182">
        <v>2.398358494251892</v>
      </c>
      <c r="F182">
        <v>1487.017543859649</v>
      </c>
      <c r="G182">
        <v>0.9095062311027849</v>
      </c>
    </row>
    <row r="183" spans="1:7">
      <c r="A183" t="s">
        <v>137</v>
      </c>
      <c r="B183">
        <v>1</v>
      </c>
      <c r="C183">
        <v>1.320607954866776</v>
      </c>
      <c r="D183">
        <v>2.401867679645457</v>
      </c>
      <c r="E183">
        <v>2.414753835712014</v>
      </c>
      <c r="F183">
        <v>1490.877192982456</v>
      </c>
      <c r="G183">
        <v>0.909989314377039</v>
      </c>
    </row>
    <row r="184" spans="1:7">
      <c r="A184" t="s">
        <v>137</v>
      </c>
      <c r="B184">
        <v>1</v>
      </c>
      <c r="C184">
        <v>1.327439272545822</v>
      </c>
      <c r="D184">
        <v>2.408085741419074</v>
      </c>
      <c r="E184">
        <v>2.431182990043964</v>
      </c>
      <c r="F184">
        <v>1494.736842105263</v>
      </c>
      <c r="G184">
        <v>0.910468318032048</v>
      </c>
    </row>
    <row r="185" spans="1:7">
      <c r="A185" t="s">
        <v>137</v>
      </c>
      <c r="B185">
        <v>1</v>
      </c>
      <c r="C185">
        <v>1.334267012451053</v>
      </c>
      <c r="D185">
        <v>2.414303803192692</v>
      </c>
      <c r="E185">
        <v>2.447645995275115</v>
      </c>
      <c r="F185">
        <v>1498.59649122807</v>
      </c>
      <c r="G185">
        <v>0.9109432420678124</v>
      </c>
    </row>
    <row r="186" spans="1:7">
      <c r="A186" t="s">
        <v>137</v>
      </c>
      <c r="B186">
        <v>1</v>
      </c>
      <c r="C186">
        <v>1.341091208881999</v>
      </c>
      <c r="D186">
        <v>2.420521864966309</v>
      </c>
      <c r="E186">
        <v>2.4641428898278</v>
      </c>
      <c r="F186">
        <v>1502.456140350877</v>
      </c>
      <c r="G186">
        <v>0.9114140864843316</v>
      </c>
    </row>
    <row r="187" spans="1:7">
      <c r="A187" t="s">
        <v>137</v>
      </c>
      <c r="B187">
        <v>1</v>
      </c>
      <c r="C187">
        <v>1.34791189603725</v>
      </c>
      <c r="D187">
        <v>2.426739926739927</v>
      </c>
      <c r="E187">
        <v>2.480673712519533</v>
      </c>
      <c r="F187">
        <v>1506.315789473684</v>
      </c>
      <c r="G187">
        <v>0.9118808512816068</v>
      </c>
    </row>
    <row r="188" spans="1:7">
      <c r="A188" t="s">
        <v>137</v>
      </c>
      <c r="B188">
        <v>1</v>
      </c>
      <c r="C188">
        <v>1.354729108015569</v>
      </c>
      <c r="D188">
        <v>2.432957988513544</v>
      </c>
      <c r="E188">
        <v>2.497238502563222</v>
      </c>
      <c r="F188">
        <v>1510.175438596491</v>
      </c>
      <c r="G188">
        <v>0.9123435364596365</v>
      </c>
    </row>
    <row r="189" spans="1:7">
      <c r="A189" t="s">
        <v>137</v>
      </c>
      <c r="B189">
        <v>1</v>
      </c>
      <c r="C189">
        <v>1.361542878817023</v>
      </c>
      <c r="D189">
        <v>2.439176050287161</v>
      </c>
      <c r="E189">
        <v>2.513837299567423</v>
      </c>
      <c r="F189">
        <v>1514.035087719298</v>
      </c>
      <c r="G189">
        <v>0.9128021420184212</v>
      </c>
    </row>
    <row r="190" spans="1:7">
      <c r="A190" t="s">
        <v>137</v>
      </c>
      <c r="B190">
        <v>1</v>
      </c>
      <c r="C190">
        <v>1.368353242344086</v>
      </c>
      <c r="D190">
        <v>2.445394112060779</v>
      </c>
      <c r="E190">
        <v>2.530470143536593</v>
      </c>
      <c r="F190">
        <v>1517.894736842105</v>
      </c>
      <c r="G190">
        <v>0.9132566679579615</v>
      </c>
    </row>
    <row r="191" spans="1:7">
      <c r="A191" t="s">
        <v>137</v>
      </c>
      <c r="B191">
        <v>1</v>
      </c>
      <c r="C191">
        <v>1.375160232402747</v>
      </c>
      <c r="D191">
        <v>2.451612173834396</v>
      </c>
      <c r="E191">
        <v>2.547137074871368</v>
      </c>
      <c r="F191">
        <v>1521.754385964912</v>
      </c>
      <c r="G191">
        <v>0.9137071142782565</v>
      </c>
    </row>
    <row r="192" spans="1:7">
      <c r="A192" t="s">
        <v>137</v>
      </c>
      <c r="B192">
        <v>1</v>
      </c>
      <c r="C192">
        <v>1.381963882703609</v>
      </c>
      <c r="D192">
        <v>2.457830235608014</v>
      </c>
      <c r="E192">
        <v>2.56383813436886</v>
      </c>
      <c r="F192">
        <v>1525.614035087719</v>
      </c>
      <c r="G192">
        <v>0.9141534809793067</v>
      </c>
    </row>
    <row r="193" spans="1:7">
      <c r="A193" t="s">
        <v>137</v>
      </c>
      <c r="B193">
        <v>1</v>
      </c>
      <c r="C193">
        <v>1.388764226862973</v>
      </c>
      <c r="D193">
        <v>2.46404829738163</v>
      </c>
      <c r="E193">
        <v>2.580573363222962</v>
      </c>
      <c r="F193">
        <v>1529.473684210526</v>
      </c>
      <c r="G193">
        <v>0.9145957680611124</v>
      </c>
    </row>
    <row r="194" spans="1:7">
      <c r="A194" t="s">
        <v>137</v>
      </c>
      <c r="B194">
        <v>1</v>
      </c>
      <c r="C194">
        <v>1.395561298403931</v>
      </c>
      <c r="D194">
        <v>2.470266359155248</v>
      </c>
      <c r="E194">
        <v>2.597342803024687</v>
      </c>
      <c r="F194">
        <v>1533.333333333334</v>
      </c>
      <c r="G194">
        <v>0.9150339755236732</v>
      </c>
    </row>
    <row r="195" spans="1:7">
      <c r="A195" t="s">
        <v>137</v>
      </c>
      <c r="B195">
        <v>1</v>
      </c>
      <c r="C195">
        <v>1.402355130757434</v>
      </c>
      <c r="D195">
        <v>2.476484420928865</v>
      </c>
      <c r="E195">
        <v>2.614146495762494</v>
      </c>
      <c r="F195">
        <v>1537.19298245614</v>
      </c>
      <c r="G195">
        <v>0.9154681033669888</v>
      </c>
    </row>
    <row r="196" spans="1:7">
      <c r="A196" t="s">
        <v>137</v>
      </c>
      <c r="B196">
        <v>1</v>
      </c>
      <c r="C196">
        <v>1.409145757263367</v>
      </c>
      <c r="D196">
        <v>2.482702482702483</v>
      </c>
      <c r="E196">
        <v>2.630984483822671</v>
      </c>
      <c r="F196">
        <v>1541.052631578947</v>
      </c>
      <c r="G196">
        <v>0.9158981515910596</v>
      </c>
    </row>
    <row r="197" spans="1:7">
      <c r="A197" t="s">
        <v>137</v>
      </c>
      <c r="B197">
        <v>1</v>
      </c>
      <c r="C197">
        <v>1.415933211171611</v>
      </c>
      <c r="D197">
        <v>2.4889205444761</v>
      </c>
      <c r="E197">
        <v>2.647856809989697</v>
      </c>
      <c r="F197">
        <v>1544.912280701754</v>
      </c>
      <c r="G197">
        <v>0.9163241201958858</v>
      </c>
    </row>
    <row r="198" spans="1:7">
      <c r="A198" t="s">
        <v>137</v>
      </c>
      <c r="B198">
        <v>1</v>
      </c>
      <c r="C198">
        <v>1.4227175256431</v>
      </c>
      <c r="D198">
        <v>2.495138606249717</v>
      </c>
      <c r="E198">
        <v>2.664763517446647</v>
      </c>
      <c r="F198">
        <v>1548.771929824562</v>
      </c>
      <c r="G198">
        <v>0.916746009181467</v>
      </c>
    </row>
    <row r="199" spans="1:7">
      <c r="A199" t="s">
        <v>137</v>
      </c>
      <c r="B199">
        <v>1</v>
      </c>
      <c r="C199">
        <v>1.429498733750871</v>
      </c>
      <c r="D199">
        <v>2.501356668023335</v>
      </c>
      <c r="E199">
        <v>2.681704649775599</v>
      </c>
      <c r="F199">
        <v>1552.631578947368</v>
      </c>
      <c r="G199">
        <v>0.9171638185478034</v>
      </c>
    </row>
    <row r="200" spans="1:7">
      <c r="A200" t="s">
        <v>137</v>
      </c>
      <c r="B200">
        <v>1</v>
      </c>
      <c r="C200">
        <v>1.436276868481109</v>
      </c>
      <c r="D200">
        <v>2.507574729796952</v>
      </c>
      <c r="E200">
        <v>2.698680250958063</v>
      </c>
      <c r="F200">
        <v>1556.491228070175</v>
      </c>
      <c r="G200">
        <v>0.9175775482948949</v>
      </c>
    </row>
    <row r="201" spans="1:7">
      <c r="A201" t="s">
        <v>137</v>
      </c>
      <c r="B201">
        <v>1</v>
      </c>
      <c r="C201">
        <v>1.443051962734186</v>
      </c>
      <c r="D201">
        <v>2.51379279157057</v>
      </c>
      <c r="E201">
        <v>2.715690365375435</v>
      </c>
      <c r="F201">
        <v>1560.350877192983</v>
      </c>
      <c r="G201">
        <v>0.9179871984227415</v>
      </c>
    </row>
    <row r="202" spans="1:7">
      <c r="A202" t="s">
        <v>137</v>
      </c>
      <c r="B202">
        <v>1</v>
      </c>
      <c r="C202">
        <v>1.449824049325687</v>
      </c>
      <c r="D202">
        <v>2.520010853344187</v>
      </c>
      <c r="E202">
        <v>2.732735037809441</v>
      </c>
      <c r="F202">
        <v>1564.210526315789</v>
      </c>
      <c r="G202">
        <v>0.9183927689313433</v>
      </c>
    </row>
    <row r="203" spans="1:7">
      <c r="A203" t="s">
        <v>137</v>
      </c>
      <c r="B203">
        <v>1</v>
      </c>
      <c r="C203">
        <v>1.456593160987446</v>
      </c>
      <c r="D203">
        <v>2.526228915117804</v>
      </c>
      <c r="E203">
        <v>2.749814313442638</v>
      </c>
      <c r="F203">
        <v>1568.070175438596</v>
      </c>
      <c r="G203">
        <v>0.9187942598207005</v>
      </c>
    </row>
    <row r="204" spans="1:7">
      <c r="A204" t="s">
        <v>137</v>
      </c>
      <c r="B204">
        <v>1</v>
      </c>
      <c r="C204">
        <v>1.463359330368555</v>
      </c>
      <c r="D204">
        <v>2.532446976891421</v>
      </c>
      <c r="E204">
        <v>2.766928237858896</v>
      </c>
      <c r="F204">
        <v>1571.929824561404</v>
      </c>
      <c r="G204">
        <v>0.9191916710908122</v>
      </c>
    </row>
    <row r="205" spans="1:7">
      <c r="A205" t="s">
        <v>137</v>
      </c>
      <c r="B205">
        <v>1</v>
      </c>
      <c r="C205">
        <v>1.470122590036385</v>
      </c>
      <c r="D205">
        <v>2.538665038665039</v>
      </c>
      <c r="E205">
        <v>2.784076857043914</v>
      </c>
      <c r="F205">
        <v>1575.78947368421</v>
      </c>
      <c r="G205">
        <v>0.9195850027416795</v>
      </c>
    </row>
    <row r="206" spans="1:7">
      <c r="A206" t="s">
        <v>137</v>
      </c>
      <c r="B206">
        <v>1</v>
      </c>
      <c r="C206">
        <v>1.47688297247759</v>
      </c>
      <c r="D206">
        <v>2.544883100438656</v>
      </c>
      <c r="E206">
        <v>2.801260217385749</v>
      </c>
      <c r="F206">
        <v>1579.649122807018</v>
      </c>
      <c r="G206">
        <v>0.9199742547733019</v>
      </c>
    </row>
    <row r="207" spans="1:7">
      <c r="A207" t="s">
        <v>137</v>
      </c>
      <c r="B207">
        <v>1</v>
      </c>
      <c r="C207">
        <v>1.483640510099111</v>
      </c>
      <c r="D207">
        <v>2.551101162212273</v>
      </c>
      <c r="E207">
        <v>2.818478365675362</v>
      </c>
      <c r="F207">
        <v>1583.508771929824</v>
      </c>
      <c r="G207">
        <v>0.9203594271856795</v>
      </c>
    </row>
    <row r="208" spans="1:7">
      <c r="A208" t="s">
        <v>137</v>
      </c>
      <c r="B208">
        <v>1</v>
      </c>
      <c r="C208">
        <v>1.490395235229173</v>
      </c>
      <c r="D208">
        <v>2.557319223985891</v>
      </c>
      <c r="E208">
        <v>2.835731349107187</v>
      </c>
      <c r="F208">
        <v>1587.368421052631</v>
      </c>
      <c r="G208">
        <v>0.9207405199788118</v>
      </c>
    </row>
    <row r="209" spans="1:7">
      <c r="A209" t="s">
        <v>137</v>
      </c>
      <c r="B209">
        <v>1</v>
      </c>
      <c r="C209">
        <v>1.497147180118275</v>
      </c>
      <c r="D209">
        <v>2.563537285759508</v>
      </c>
      <c r="E209">
        <v>2.853019215279695</v>
      </c>
      <c r="F209">
        <v>1591.228070175438</v>
      </c>
      <c r="G209">
        <v>0.9211175331526998</v>
      </c>
    </row>
    <row r="210" spans="1:7">
      <c r="A210" t="s">
        <v>137</v>
      </c>
      <c r="B210">
        <v>1</v>
      </c>
      <c r="C210">
        <v>1.503896376940174</v>
      </c>
      <c r="D210">
        <v>2.569755347533125</v>
      </c>
      <c r="E210">
        <v>2.870342012196009</v>
      </c>
      <c r="F210">
        <v>1595.087719298245</v>
      </c>
      <c r="G210">
        <v>0.9214904667073429</v>
      </c>
    </row>
    <row r="211" spans="1:7">
      <c r="A211" t="s">
        <v>137</v>
      </c>
      <c r="B211">
        <v>1</v>
      </c>
      <c r="C211">
        <v>1.510642857792869</v>
      </c>
      <c r="D211">
        <v>2.575973409306743</v>
      </c>
      <c r="E211">
        <v>2.887699788264502</v>
      </c>
      <c r="F211">
        <v>1598.947368421052</v>
      </c>
      <c r="G211">
        <v>0.9218593206427408</v>
      </c>
    </row>
    <row r="212" spans="1:7">
      <c r="A212" t="s">
        <v>137</v>
      </c>
      <c r="B212">
        <v>1</v>
      </c>
      <c r="C212">
        <v>1.517386654699571</v>
      </c>
      <c r="D212">
        <v>2.58219147108036</v>
      </c>
      <c r="E212">
        <v>2.905092592299436</v>
      </c>
      <c r="F212">
        <v>1602.80701754386</v>
      </c>
      <c r="G212">
        <v>0.9222240949588946</v>
      </c>
    </row>
    <row r="213" spans="1:7">
      <c r="A213" t="s">
        <v>137</v>
      </c>
      <c r="B213">
        <v>1</v>
      </c>
      <c r="C213">
        <v>1.524127799609676</v>
      </c>
      <c r="D213">
        <v>2.588409532853977</v>
      </c>
      <c r="E213">
        <v>2.922520473521599</v>
      </c>
      <c r="F213">
        <v>1606.666666666667</v>
      </c>
      <c r="G213">
        <v>0.9225847896558022</v>
      </c>
    </row>
    <row r="214" spans="1:7">
      <c r="A214" t="s">
        <v>137</v>
      </c>
      <c r="B214">
        <v>1</v>
      </c>
      <c r="C214">
        <v>1.530866324399728</v>
      </c>
      <c r="D214">
        <v>2.594627594627594</v>
      </c>
      <c r="E214">
        <v>2.939983481558977</v>
      </c>
      <c r="F214">
        <v>1610.526315789473</v>
      </c>
      <c r="G214">
        <v>0.9229414047334663</v>
      </c>
    </row>
    <row r="215" spans="1:7">
      <c r="A215" t="s">
        <v>137</v>
      </c>
      <c r="B215">
        <v>1</v>
      </c>
      <c r="C215">
        <v>1.537602260874379</v>
      </c>
      <c r="D215">
        <v>2.600845656401212</v>
      </c>
      <c r="E215">
        <v>2.957481666447432</v>
      </c>
      <c r="F215">
        <v>1614.385964912281</v>
      </c>
      <c r="G215">
        <v>0.9232939401918849</v>
      </c>
    </row>
    <row r="216" spans="1:7">
      <c r="A216" t="s">
        <v>137</v>
      </c>
      <c r="B216">
        <v>1</v>
      </c>
      <c r="C216">
        <v>1.544335640767339</v>
      </c>
      <c r="D216">
        <v>2.607063718174829</v>
      </c>
      <c r="E216">
        <v>2.975015078631388</v>
      </c>
      <c r="F216">
        <v>1618.245614035088</v>
      </c>
      <c r="G216">
        <v>0.9236423960310581</v>
      </c>
    </row>
    <row r="217" spans="1:7">
      <c r="A217" t="s">
        <v>137</v>
      </c>
      <c r="B217">
        <v>1</v>
      </c>
      <c r="C217">
        <v>1.551066495742332</v>
      </c>
      <c r="D217">
        <v>2.613281779948447</v>
      </c>
      <c r="E217">
        <v>2.992583768964561</v>
      </c>
      <c r="F217">
        <v>1622.105263157895</v>
      </c>
      <c r="G217">
        <v>0.9239867722509875</v>
      </c>
    </row>
    <row r="218" spans="1:7">
      <c r="A218" t="s">
        <v>137</v>
      </c>
      <c r="B218">
        <v>1</v>
      </c>
      <c r="C218">
        <v>1.557794857394033</v>
      </c>
      <c r="D218">
        <v>2.619499841722064</v>
      </c>
      <c r="E218">
        <v>3.010187788710669</v>
      </c>
      <c r="F218">
        <v>1625.964912280702</v>
      </c>
      <c r="G218">
        <v>0.9243270688516719</v>
      </c>
    </row>
    <row r="219" spans="1:7">
      <c r="A219" t="s">
        <v>137</v>
      </c>
      <c r="B219">
        <v>1</v>
      </c>
      <c r="C219">
        <v>1.564520757249015</v>
      </c>
      <c r="D219">
        <v>2.625717903495681</v>
      </c>
      <c r="E219">
        <v>3.027827189544199</v>
      </c>
      <c r="F219">
        <v>1629.824561403509</v>
      </c>
      <c r="G219">
        <v>0.9246632858331113</v>
      </c>
    </row>
    <row r="220" spans="1:7">
      <c r="A220" t="s">
        <v>137</v>
      </c>
      <c r="B220">
        <v>1</v>
      </c>
      <c r="C220">
        <v>1.571244226766675</v>
      </c>
      <c r="D220">
        <v>2.631935965269299</v>
      </c>
      <c r="E220">
        <v>3.045502023551155</v>
      </c>
      <c r="F220">
        <v>1633.684210526316</v>
      </c>
      <c r="G220">
        <v>0.9249954231953054</v>
      </c>
    </row>
    <row r="221" spans="1:7">
      <c r="A221" t="s">
        <v>137</v>
      </c>
      <c r="B221">
        <v>1</v>
      </c>
      <c r="C221">
        <v>1.577965297340173</v>
      </c>
      <c r="D221">
        <v>2.638154027042916</v>
      </c>
      <c r="E221">
        <v>3.063212343229841</v>
      </c>
      <c r="F221">
        <v>1637.543859649123</v>
      </c>
      <c r="G221">
        <v>0.925323480938255</v>
      </c>
    </row>
    <row r="222" spans="1:7">
      <c r="A222" t="s">
        <v>137</v>
      </c>
      <c r="B222">
        <v>1</v>
      </c>
      <c r="C222">
        <v>1.58468400029735</v>
      </c>
      <c r="D222">
        <v>2.644372088816533</v>
      </c>
      <c r="E222">
        <v>3.080958201491665</v>
      </c>
      <c r="F222">
        <v>1641.40350877193</v>
      </c>
      <c r="G222">
        <v>0.9256474590619598</v>
      </c>
    </row>
    <row r="223" spans="1:7">
      <c r="A223" t="s">
        <v>137</v>
      </c>
      <c r="B223">
        <v>1</v>
      </c>
      <c r="C223">
        <v>1.591400366901652</v>
      </c>
      <c r="D223">
        <v>2.65059015059015</v>
      </c>
      <c r="E223">
        <v>3.098739651661939</v>
      </c>
      <c r="F223">
        <v>1645.263157894737</v>
      </c>
      <c r="G223">
        <v>0.9259673575664195</v>
      </c>
    </row>
    <row r="224" spans="1:7">
      <c r="A224" t="s">
        <v>137</v>
      </c>
      <c r="B224">
        <v>1</v>
      </c>
      <c r="C224">
        <v>1.598114428353049</v>
      </c>
      <c r="D224">
        <v>2.656808212363768</v>
      </c>
      <c r="E224">
        <v>3.116556747480728</v>
      </c>
      <c r="F224">
        <v>1649.122807017544</v>
      </c>
      <c r="G224">
        <v>0.9262831764516347</v>
      </c>
    </row>
    <row r="225" spans="1:7">
      <c r="A225" t="s">
        <v>137</v>
      </c>
      <c r="B225">
        <v>1</v>
      </c>
      <c r="C225">
        <v>1.604826215788941</v>
      </c>
      <c r="D225">
        <v>2.663026274137385</v>
      </c>
      <c r="E225">
        <v>3.134409543103672</v>
      </c>
      <c r="F225">
        <v>1652.982456140351</v>
      </c>
      <c r="G225">
        <v>0.9265949157176043</v>
      </c>
    </row>
    <row r="226" spans="1:7">
      <c r="A226" t="s">
        <v>137</v>
      </c>
      <c r="B226">
        <v>1</v>
      </c>
      <c r="C226">
        <v>1.61153576028507</v>
      </c>
      <c r="D226">
        <v>2.669244335911003</v>
      </c>
      <c r="E226">
        <v>3.152298093102879</v>
      </c>
      <c r="F226">
        <v>1656.842105263158</v>
      </c>
      <c r="G226">
        <v>0.9269025753643299</v>
      </c>
    </row>
    <row r="227" spans="1:7">
      <c r="A227" t="s">
        <v>137</v>
      </c>
      <c r="B227">
        <v>1</v>
      </c>
      <c r="C227">
        <v>1.618243092856423</v>
      </c>
      <c r="D227">
        <v>2.67546239768462</v>
      </c>
      <c r="E227">
        <v>3.17022245246778</v>
      </c>
      <c r="F227">
        <v>1660.701754385965</v>
      </c>
      <c r="G227">
        <v>0.9272061553918104</v>
      </c>
    </row>
    <row r="228" spans="1:7">
      <c r="A228" t="s">
        <v>137</v>
      </c>
      <c r="B228">
        <v>1</v>
      </c>
      <c r="C228">
        <v>1.624948244458131</v>
      </c>
      <c r="D228">
        <v>2.681680459458237</v>
      </c>
      <c r="E228">
        <v>3.188182676606041</v>
      </c>
      <c r="F228">
        <v>1664.561403508772</v>
      </c>
      <c r="G228">
        <v>0.9275056558000455</v>
      </c>
    </row>
    <row r="229" spans="1:7">
      <c r="A229" t="s">
        <v>137</v>
      </c>
      <c r="B229">
        <v>1</v>
      </c>
      <c r="C229">
        <v>1.631651245986363</v>
      </c>
      <c r="D229">
        <v>2.687898521231855</v>
      </c>
      <c r="E229">
        <v>3.206178821344474</v>
      </c>
      <c r="F229">
        <v>1668.421052631579</v>
      </c>
      <c r="G229">
        <v>0.9278010765890362</v>
      </c>
    </row>
    <row r="230" spans="1:7">
      <c r="A230" t="s">
        <v>137</v>
      </c>
      <c r="B230">
        <v>1</v>
      </c>
      <c r="C230">
        <v>1.638352128279218</v>
      </c>
      <c r="D230">
        <v>2.694116583005472</v>
      </c>
      <c r="E230">
        <v>3.224210942929968</v>
      </c>
      <c r="F230">
        <v>1672.280701754386</v>
      </c>
      <c r="G230">
        <v>0.9280924177587823</v>
      </c>
    </row>
    <row r="231" spans="1:7">
      <c r="A231" t="s">
        <v>137</v>
      </c>
      <c r="B231">
        <v>1</v>
      </c>
      <c r="C231">
        <v>1.645050922117614</v>
      </c>
      <c r="D231">
        <v>2.700334644779089</v>
      </c>
      <c r="E231">
        <v>3.242279098030441</v>
      </c>
      <c r="F231">
        <v>1676.140350877193</v>
      </c>
      <c r="G231">
        <v>0.9283796793092831</v>
      </c>
    </row>
    <row r="232" spans="1:7">
      <c r="A232" t="s">
        <v>137</v>
      </c>
      <c r="B232">
        <v>1</v>
      </c>
      <c r="C232">
        <v>1.651747658226166</v>
      </c>
      <c r="D232">
        <v>2.706552706552706</v>
      </c>
      <c r="E232">
        <v>3.260383343735795</v>
      </c>
      <c r="F232">
        <v>1680</v>
      </c>
      <c r="G232">
        <v>0.9286628612405395</v>
      </c>
    </row>
    <row r="233" spans="1:7">
      <c r="A233" t="s">
        <v>137</v>
      </c>
      <c r="B233">
        <v>1</v>
      </c>
      <c r="C233">
        <v>1.658442367274072</v>
      </c>
      <c r="D233">
        <v>2.712770768326324</v>
      </c>
      <c r="E233">
        <v>3.278523737558915</v>
      </c>
      <c r="F233">
        <v>1683.859649122807</v>
      </c>
      <c r="G233">
        <v>0.9289419635525508</v>
      </c>
    </row>
    <row r="234" spans="1:7">
      <c r="A234" t="s">
        <v>137</v>
      </c>
      <c r="B234">
        <v>1</v>
      </c>
      <c r="C234">
        <v>1.665135079875983</v>
      </c>
      <c r="D234">
        <v>2.718988830099941</v>
      </c>
      <c r="E234">
        <v>3.296700337436652</v>
      </c>
      <c r="F234">
        <v>1687.719298245614</v>
      </c>
      <c r="G234">
        <v>0.929216986245317</v>
      </c>
    </row>
    <row r="235" spans="1:7">
      <c r="A235" t="s">
        <v>137</v>
      </c>
      <c r="B235">
        <v>1</v>
      </c>
      <c r="C235">
        <v>1.671825826592878</v>
      </c>
      <c r="D235">
        <v>2.725206891873559</v>
      </c>
      <c r="E235">
        <v>3.314913201730851</v>
      </c>
      <c r="F235">
        <v>1691.578947368421</v>
      </c>
      <c r="G235">
        <v>0.9294879293188387</v>
      </c>
    </row>
    <row r="236" spans="1:7">
      <c r="A236" t="s">
        <v>137</v>
      </c>
      <c r="B236">
        <v>1</v>
      </c>
      <c r="C236">
        <v>1.678514637932932</v>
      </c>
      <c r="D236">
        <v>2.731424953647176</v>
      </c>
      <c r="E236">
        <v>3.33316238922938</v>
      </c>
      <c r="F236">
        <v>1695.438596491228</v>
      </c>
      <c r="G236">
        <v>0.9297547927731153</v>
      </c>
    </row>
    <row r="237" spans="1:7">
      <c r="A237" t="s">
        <v>137</v>
      </c>
      <c r="B237">
        <v>1</v>
      </c>
      <c r="C237">
        <v>1.685201544352379</v>
      </c>
      <c r="D237">
        <v>2.737643015420793</v>
      </c>
      <c r="E237">
        <v>3.35144795914718</v>
      </c>
      <c r="F237">
        <v>1699.298245614035</v>
      </c>
      <c r="G237">
        <v>0.9300175766081472</v>
      </c>
    </row>
    <row r="238" spans="1:7">
      <c r="A238" t="s">
        <v>137</v>
      </c>
      <c r="B238">
        <v>1</v>
      </c>
      <c r="C238">
        <v>1.691886576256376</v>
      </c>
      <c r="D238">
        <v>2.743861077194411</v>
      </c>
      <c r="E238">
        <v>3.369769971127341</v>
      </c>
      <c r="F238">
        <v>1703.157894736842</v>
      </c>
      <c r="G238">
        <v>0.9302762808239347</v>
      </c>
    </row>
    <row r="239" spans="1:7">
      <c r="A239" t="s">
        <v>137</v>
      </c>
      <c r="B239">
        <v>1</v>
      </c>
      <c r="C239">
        <v>1.698569763999856</v>
      </c>
      <c r="D239">
        <v>2.750079138968028</v>
      </c>
      <c r="E239">
        <v>3.388128485242173</v>
      </c>
      <c r="F239">
        <v>1707.017543859649</v>
      </c>
      <c r="G239">
        <v>0.9305309054204766</v>
      </c>
    </row>
    <row r="240" spans="1:7">
      <c r="A240" t="s">
        <v>137</v>
      </c>
      <c r="B240">
        <v>1</v>
      </c>
      <c r="C240">
        <v>1.705251137888387</v>
      </c>
      <c r="D240">
        <v>2.756297200741645</v>
      </c>
      <c r="E240">
        <v>3.406523561994324</v>
      </c>
      <c r="F240">
        <v>1710.877192982456</v>
      </c>
      <c r="G240">
        <v>0.9307814503977736</v>
      </c>
    </row>
    <row r="241" spans="1:7">
      <c r="A241" t="s">
        <v>137</v>
      </c>
      <c r="B241">
        <v>1</v>
      </c>
      <c r="C241">
        <v>1.71193072817902</v>
      </c>
      <c r="D241">
        <v>2.762515262515262</v>
      </c>
      <c r="E241">
        <v>3.424955262317891</v>
      </c>
      <c r="F241">
        <v>1714.736842105263</v>
      </c>
      <c r="G241">
        <v>0.9310279157558261</v>
      </c>
    </row>
    <row r="242" spans="1:7">
      <c r="A242" t="s">
        <v>137</v>
      </c>
      <c r="B242">
        <v>1</v>
      </c>
      <c r="C242">
        <v>1.718608565081138</v>
      </c>
      <c r="D242">
        <v>2.76873332428888</v>
      </c>
      <c r="E242">
        <v>3.443423647579558</v>
      </c>
      <c r="F242">
        <v>1718.59649122807</v>
      </c>
      <c r="G242">
        <v>0.9312703014946336</v>
      </c>
    </row>
    <row r="243" spans="1:7">
      <c r="A243" t="s">
        <v>137</v>
      </c>
      <c r="B243">
        <v>1</v>
      </c>
      <c r="C243">
        <v>1.725284678757299</v>
      </c>
      <c r="D243">
        <v>2.774951386062497</v>
      </c>
      <c r="E243">
        <v>3.461928779579755</v>
      </c>
      <c r="F243">
        <v>1722.456140350877</v>
      </c>
      <c r="G243">
        <v>0.9315086076141968</v>
      </c>
    </row>
    <row r="244" spans="1:7">
      <c r="A244" t="s">
        <v>137</v>
      </c>
      <c r="B244">
        <v>1</v>
      </c>
      <c r="C244">
        <v>1.73195909932408</v>
      </c>
      <c r="D244">
        <v>2.781169447836114</v>
      </c>
      <c r="E244">
        <v>3.480470720553825</v>
      </c>
      <c r="F244">
        <v>1726.315789473684</v>
      </c>
      <c r="G244">
        <v>0.9317428341145145</v>
      </c>
    </row>
    <row r="245" spans="1:7">
      <c r="A245" t="s">
        <v>137</v>
      </c>
      <c r="B245">
        <v>1</v>
      </c>
      <c r="C245">
        <v>1.738631856852911</v>
      </c>
      <c r="D245">
        <v>2.787387509609732</v>
      </c>
      <c r="E245">
        <v>3.499049533173225</v>
      </c>
      <c r="F245">
        <v>1730.175438596491</v>
      </c>
      <c r="G245">
        <v>0.9319729809955872</v>
      </c>
    </row>
    <row r="246" spans="1:7">
      <c r="A246" t="s">
        <v>137</v>
      </c>
      <c r="B246">
        <v>1</v>
      </c>
      <c r="C246">
        <v>1.745302981370913</v>
      </c>
      <c r="D246">
        <v>2.793605571383349</v>
      </c>
      <c r="E246">
        <v>3.517665280546713</v>
      </c>
      <c r="F246">
        <v>1734.035087719298</v>
      </c>
      <c r="G246">
        <v>0.9321990482574156</v>
      </c>
    </row>
    <row r="247" spans="1:7">
      <c r="A247" t="s">
        <v>137</v>
      </c>
      <c r="B247">
        <v>1</v>
      </c>
      <c r="C247">
        <v>1.751972502861731</v>
      </c>
      <c r="D247">
        <v>2.799823633156967</v>
      </c>
      <c r="E247">
        <v>3.536318026221596</v>
      </c>
      <c r="F247">
        <v>1737.894736842106</v>
      </c>
      <c r="G247">
        <v>0.932421035899999</v>
      </c>
    </row>
    <row r="248" spans="1:7">
      <c r="A248" t="s">
        <v>137</v>
      </c>
      <c r="B248">
        <v>1</v>
      </c>
      <c r="C248">
        <v>1.758640451266359</v>
      </c>
      <c r="D248">
        <v>2.806041694930584</v>
      </c>
      <c r="E248">
        <v>3.555007834184954</v>
      </c>
      <c r="F248">
        <v>1741.754385964912</v>
      </c>
      <c r="G248">
        <v>0.9326389439233377</v>
      </c>
    </row>
    <row r="249" spans="1:7">
      <c r="A249" t="s">
        <v>137</v>
      </c>
      <c r="B249">
        <v>1</v>
      </c>
      <c r="C249">
        <v>1.765306856483971</v>
      </c>
      <c r="D249">
        <v>2.812259756704201</v>
      </c>
      <c r="E249">
        <v>3.573734768864917</v>
      </c>
      <c r="F249">
        <v>1745.614035087719</v>
      </c>
      <c r="G249">
        <v>0.9328527723274306</v>
      </c>
    </row>
    <row r="250" spans="1:7">
      <c r="A250" t="s">
        <v>137</v>
      </c>
      <c r="B250">
        <v>1</v>
      </c>
      <c r="C250">
        <v>1.771971748372742</v>
      </c>
      <c r="D250">
        <v>2.818477818477819</v>
      </c>
      <c r="E250">
        <v>3.592498895131929</v>
      </c>
      <c r="F250">
        <v>1749.473684210526</v>
      </c>
      <c r="G250">
        <v>0.9330625211122797</v>
      </c>
    </row>
    <row r="251" spans="1:7">
      <c r="A251" t="s">
        <v>137</v>
      </c>
      <c r="B251">
        <v>1</v>
      </c>
      <c r="C251">
        <v>1.778635156750668</v>
      </c>
      <c r="D251">
        <v>2.824695880251435</v>
      </c>
      <c r="E251">
        <v>3.611300278300052</v>
      </c>
      <c r="F251">
        <v>1753.333333333333</v>
      </c>
      <c r="G251">
        <v>0.9332681902778838</v>
      </c>
    </row>
    <row r="252" spans="1:7">
      <c r="A252" t="s">
        <v>137</v>
      </c>
      <c r="B252">
        <v>1</v>
      </c>
      <c r="C252">
        <v>1.785297111396388</v>
      </c>
      <c r="D252">
        <v>2.830913942025053</v>
      </c>
      <c r="E252">
        <v>3.630138984128282</v>
      </c>
      <c r="F252">
        <v>1757.19298245614</v>
      </c>
      <c r="G252">
        <v>0.9334697798242426</v>
      </c>
    </row>
    <row r="253" spans="1:7">
      <c r="A253" t="s">
        <v>137</v>
      </c>
      <c r="B253">
        <v>1</v>
      </c>
      <c r="C253">
        <v>1.791957642049994</v>
      </c>
      <c r="D253">
        <v>2.83713200379867</v>
      </c>
      <c r="E253">
        <v>3.649015078821868</v>
      </c>
      <c r="F253">
        <v>1761.052631578947</v>
      </c>
      <c r="G253">
        <v>0.9336672897513569</v>
      </c>
    </row>
    <row r="254" spans="1:7">
      <c r="A254" t="s">
        <v>137</v>
      </c>
      <c r="B254">
        <v>1</v>
      </c>
      <c r="C254">
        <v>1.79861677841385</v>
      </c>
      <c r="D254">
        <v>2.843350065572288</v>
      </c>
      <c r="E254">
        <v>3.667928629033685</v>
      </c>
      <c r="F254">
        <v>1764.912280701754</v>
      </c>
      <c r="G254">
        <v>0.9338607200592259</v>
      </c>
    </row>
    <row r="255" spans="1:7">
      <c r="A255" t="s">
        <v>137</v>
      </c>
      <c r="B255">
        <v>1</v>
      </c>
      <c r="C255">
        <v>1.805274550153395</v>
      </c>
      <c r="D255">
        <v>2.849568127345905</v>
      </c>
      <c r="E255">
        <v>3.686879701865576</v>
      </c>
      <c r="F255">
        <v>1768.771929824561</v>
      </c>
      <c r="G255">
        <v>0.9340500707478505</v>
      </c>
    </row>
    <row r="256" spans="1:7">
      <c r="A256" t="s">
        <v>137</v>
      </c>
      <c r="B256">
        <v>1</v>
      </c>
      <c r="C256">
        <v>1.811930986897959</v>
      </c>
      <c r="D256">
        <v>2.855786189119522</v>
      </c>
      <c r="E256">
        <v>3.70586836486976</v>
      </c>
      <c r="F256">
        <v>1772.631578947369</v>
      </c>
      <c r="G256">
        <v>0.9342353418172304</v>
      </c>
    </row>
    <row r="257" spans="1:7">
      <c r="A257" t="s">
        <v>137</v>
      </c>
      <c r="B257">
        <v>1</v>
      </c>
      <c r="C257">
        <v>1.818586118241563</v>
      </c>
      <c r="D257">
        <v>2.86200425089314</v>
      </c>
      <c r="E257">
        <v>3.724894686050225</v>
      </c>
      <c r="F257">
        <v>1776.491228070176</v>
      </c>
      <c r="G257">
        <v>0.934416533267365</v>
      </c>
    </row>
    <row r="258" spans="1:7">
      <c r="A258" t="s">
        <v>137</v>
      </c>
      <c r="B258">
        <v>1</v>
      </c>
      <c r="C258">
        <v>1.825239973743722</v>
      </c>
      <c r="D258">
        <v>2.868222312666757</v>
      </c>
      <c r="E258">
        <v>3.743958733864153</v>
      </c>
      <c r="F258">
        <v>1780.350877192983</v>
      </c>
      <c r="G258">
        <v>0.9345936450982549</v>
      </c>
    </row>
    <row r="259" spans="1:7">
      <c r="A259" t="s">
        <v>137</v>
      </c>
      <c r="B259">
        <v>1</v>
      </c>
      <c r="C259">
        <v>1.831892582930251</v>
      </c>
      <c r="D259">
        <v>2.874440374440375</v>
      </c>
      <c r="E259">
        <v>3.763060577223365</v>
      </c>
      <c r="F259">
        <v>1784.21052631579</v>
      </c>
      <c r="G259">
        <v>0.9347666773098999</v>
      </c>
    </row>
    <row r="260" spans="1:7">
      <c r="A260" t="s">
        <v>137</v>
      </c>
      <c r="B260">
        <v>1</v>
      </c>
      <c r="C260">
        <v>1.838543975294056</v>
      </c>
      <c r="D260">
        <v>2.880658436213992</v>
      </c>
      <c r="E260">
        <v>3.782200285495773</v>
      </c>
      <c r="F260">
        <v>1788.070175438596</v>
      </c>
      <c r="G260">
        <v>0.9349356299023001</v>
      </c>
    </row>
    <row r="261" spans="1:7">
      <c r="A261" t="s">
        <v>137</v>
      </c>
      <c r="B261">
        <v>1</v>
      </c>
      <c r="C261">
        <v>1.845194180295941</v>
      </c>
      <c r="D261">
        <v>2.886876497987609</v>
      </c>
      <c r="E261">
        <v>3.801377928506874</v>
      </c>
      <c r="F261">
        <v>1791.929824561404</v>
      </c>
      <c r="G261">
        <v>0.9351005028754552</v>
      </c>
    </row>
    <row r="262" spans="1:7">
      <c r="A262" t="s">
        <v>137</v>
      </c>
      <c r="B262">
        <v>1</v>
      </c>
      <c r="C262">
        <v>1.851843227365389</v>
      </c>
      <c r="D262">
        <v>2.893094559761226</v>
      </c>
      <c r="E262">
        <v>3.820593576541222</v>
      </c>
      <c r="F262">
        <v>1795.789473684211</v>
      </c>
      <c r="G262">
        <v>0.935261296229366</v>
      </c>
    </row>
    <row r="263" spans="1:7">
      <c r="A263" t="s">
        <v>137</v>
      </c>
      <c r="B263">
        <v>1</v>
      </c>
      <c r="C263">
        <v>1.858491145901366</v>
      </c>
      <c r="D263">
        <v>2.899312621534844</v>
      </c>
      <c r="E263">
        <v>3.83984730034397</v>
      </c>
      <c r="F263">
        <v>1799.649122807017</v>
      </c>
      <c r="G263">
        <v>0.9354180099640315</v>
      </c>
    </row>
    <row r="264" spans="1:7">
      <c r="A264" t="s">
        <v>137</v>
      </c>
      <c r="B264">
        <v>1</v>
      </c>
      <c r="C264">
        <v>1.865137965273105</v>
      </c>
      <c r="D264">
        <v>2.905530683308461</v>
      </c>
      <c r="E264">
        <v>3.859139171122389</v>
      </c>
      <c r="F264">
        <v>1803.508771929825</v>
      </c>
      <c r="G264">
        <v>0.9355706440794522</v>
      </c>
    </row>
    <row r="265" spans="1:7">
      <c r="A265" t="s">
        <v>137</v>
      </c>
      <c r="B265">
        <v>1</v>
      </c>
      <c r="C265">
        <v>1.871783714820895</v>
      </c>
      <c r="D265">
        <v>2.911748745082078</v>
      </c>
      <c r="E265">
        <v>3.878469260547423</v>
      </c>
      <c r="F265">
        <v>1807.368421052631</v>
      </c>
      <c r="G265">
        <v>0.9357191985756281</v>
      </c>
    </row>
    <row r="266" spans="1:7">
      <c r="A266" t="s">
        <v>137</v>
      </c>
      <c r="B266">
        <v>1</v>
      </c>
      <c r="C266">
        <v>1.87842842385687</v>
      </c>
      <c r="D266">
        <v>2.917966806855696</v>
      </c>
      <c r="E266">
        <v>3.897837640755264</v>
      </c>
      <c r="F266">
        <v>1811.228070175438</v>
      </c>
      <c r="G266">
        <v>0.9358636734525595</v>
      </c>
    </row>
    <row r="267" spans="1:7">
      <c r="A267" t="s">
        <v>137</v>
      </c>
      <c r="B267">
        <v>1</v>
      </c>
      <c r="C267">
        <v>1.885072121665788</v>
      </c>
      <c r="D267">
        <v>2.924184868629313</v>
      </c>
      <c r="E267">
        <v>3.917244384348942</v>
      </c>
      <c r="F267">
        <v>1815.087719298245</v>
      </c>
      <c r="G267">
        <v>0.9360040687102451</v>
      </c>
    </row>
    <row r="268" spans="1:7">
      <c r="A268" t="s">
        <v>137</v>
      </c>
      <c r="B268">
        <v>1</v>
      </c>
      <c r="C268">
        <v>1.891714837505823</v>
      </c>
      <c r="D268">
        <v>2.930402930402931</v>
      </c>
      <c r="E268">
        <v>3.93668956439994</v>
      </c>
      <c r="F268">
        <v>1818.947368421052</v>
      </c>
      <c r="G268">
        <v>0.9361403843486868</v>
      </c>
    </row>
    <row r="269" spans="1:7">
      <c r="A269" t="s">
        <v>137</v>
      </c>
      <c r="B269">
        <v>1</v>
      </c>
      <c r="C269">
        <v>1.898356600609334</v>
      </c>
      <c r="D269">
        <v>2.936620992176548</v>
      </c>
      <c r="E269">
        <v>3.95617325444981</v>
      </c>
      <c r="F269">
        <v>1822.807017543859</v>
      </c>
      <c r="G269">
        <v>0.9362726203678834</v>
      </c>
    </row>
    <row r="270" spans="1:7">
      <c r="A270" t="s">
        <v>137</v>
      </c>
      <c r="B270">
        <v>1</v>
      </c>
      <c r="C270">
        <v>1.904997440183655</v>
      </c>
      <c r="D270">
        <v>2.942839053950165</v>
      </c>
      <c r="E270">
        <v>3.975695528511841</v>
      </c>
      <c r="F270">
        <v>1826.666666666667</v>
      </c>
      <c r="G270">
        <v>0.9364007767678351</v>
      </c>
    </row>
    <row r="271" spans="1:7">
      <c r="A271" t="s">
        <v>137</v>
      </c>
      <c r="B271">
        <v>1</v>
      </c>
      <c r="C271">
        <v>1.911637385411867</v>
      </c>
      <c r="D271">
        <v>2.949057115723782</v>
      </c>
      <c r="E271">
        <v>3.995256461072711</v>
      </c>
      <c r="F271">
        <v>1830.526315789474</v>
      </c>
      <c r="G271">
        <v>0.9365248535485419</v>
      </c>
    </row>
    <row r="272" spans="1:7">
      <c r="A272" t="s">
        <v>137</v>
      </c>
      <c r="B272">
        <v>1</v>
      </c>
      <c r="C272">
        <v>1.918276465453572</v>
      </c>
      <c r="D272">
        <v>2.9552751774974</v>
      </c>
      <c r="E272">
        <v>4.014856127094182</v>
      </c>
      <c r="F272">
        <v>1834.385964912281</v>
      </c>
      <c r="G272">
        <v>0.9366448507100038</v>
      </c>
    </row>
    <row r="273" spans="1:7">
      <c r="A273" t="s">
        <v>137</v>
      </c>
      <c r="B273">
        <v>1</v>
      </c>
      <c r="C273">
        <v>1.924914709445675</v>
      </c>
      <c r="D273">
        <v>2.961493239271017</v>
      </c>
      <c r="E273">
        <v>4.034494602014806</v>
      </c>
      <c r="F273">
        <v>1838.245614035088</v>
      </c>
      <c r="G273">
        <v>0.9367607682522207</v>
      </c>
    </row>
    <row r="274" spans="1:7">
      <c r="A274" t="s">
        <v>137</v>
      </c>
      <c r="B274">
        <v>1</v>
      </c>
      <c r="C274">
        <v>1.931552146503148</v>
      </c>
      <c r="D274">
        <v>2.967711301044634</v>
      </c>
      <c r="E274">
        <v>4.054171961751649</v>
      </c>
      <c r="F274">
        <v>1842.105263157895</v>
      </c>
      <c r="G274">
        <v>0.9368726061751929</v>
      </c>
    </row>
    <row r="275" spans="1:7">
      <c r="A275" t="s">
        <v>137</v>
      </c>
      <c r="B275">
        <v>1</v>
      </c>
      <c r="C275">
        <v>1.93818880571981</v>
      </c>
      <c r="D275">
        <v>2.973929362818252</v>
      </c>
      <c r="E275">
        <v>4.07388828270205</v>
      </c>
      <c r="F275">
        <v>1845.964912280702</v>
      </c>
      <c r="G275">
        <v>0.9369803644789206</v>
      </c>
    </row>
    <row r="276" spans="1:7">
      <c r="A276" t="s">
        <v>137</v>
      </c>
      <c r="B276">
        <v>1</v>
      </c>
      <c r="C276">
        <v>1.944824716169089</v>
      </c>
      <c r="D276">
        <v>2.980147424591869</v>
      </c>
      <c r="E276">
        <v>4.093643641745362</v>
      </c>
      <c r="F276">
        <v>1849.824561403509</v>
      </c>
      <c r="G276">
        <v>0.9370840431634025</v>
      </c>
    </row>
    <row r="277" spans="1:7">
      <c r="A277" t="s">
        <v>137</v>
      </c>
      <c r="B277">
        <v>1</v>
      </c>
      <c r="C277">
        <v>1.951459906904799</v>
      </c>
      <c r="D277">
        <v>2.986365486365486</v>
      </c>
      <c r="E277">
        <v>4.113438116244769</v>
      </c>
      <c r="F277">
        <v>1853.684210526316</v>
      </c>
      <c r="G277">
        <v>0.9371836422286406</v>
      </c>
    </row>
    <row r="278" spans="1:7">
      <c r="A278" t="s">
        <v>137</v>
      </c>
      <c r="B278">
        <v>1</v>
      </c>
      <c r="C278">
        <v>1.958094406961899</v>
      </c>
      <c r="D278">
        <v>2.992583548139104</v>
      </c>
      <c r="E278">
        <v>4.133271784049068</v>
      </c>
      <c r="F278">
        <v>1857.543859649123</v>
      </c>
      <c r="G278">
        <v>0.9372791616746333</v>
      </c>
    </row>
    <row r="279" spans="1:7">
      <c r="A279" t="s">
        <v>137</v>
      </c>
      <c r="B279">
        <v>1</v>
      </c>
      <c r="C279">
        <v>1.964728245357266</v>
      </c>
      <c r="D279">
        <v>2.998801609912721</v>
      </c>
      <c r="E279">
        <v>4.15314472349451</v>
      </c>
      <c r="F279">
        <v>1861.40350877193</v>
      </c>
      <c r="G279">
        <v>0.9373706015013813</v>
      </c>
    </row>
    <row r="280" spans="1:7">
      <c r="A280" t="s">
        <v>137</v>
      </c>
      <c r="B280">
        <v>1</v>
      </c>
      <c r="C280">
        <v>1.971361451090457</v>
      </c>
      <c r="D280">
        <v>3.005019671686338</v>
      </c>
      <c r="E280">
        <v>4.173057013406638</v>
      </c>
      <c r="F280">
        <v>1865.263157894737</v>
      </c>
      <c r="G280">
        <v>0.9374579617088845</v>
      </c>
    </row>
    <row r="281" spans="1:7">
      <c r="A281" t="s">
        <v>137</v>
      </c>
      <c r="B281">
        <v>1</v>
      </c>
      <c r="C281">
        <v>1.977994053144472</v>
      </c>
      <c r="D281">
        <v>3.011237733459955</v>
      </c>
      <c r="E281">
        <v>4.193008733102161</v>
      </c>
      <c r="F281">
        <v>1869.122807017543</v>
      </c>
      <c r="G281">
        <v>0.9375412422971426</v>
      </c>
    </row>
    <row r="282" spans="1:7">
      <c r="A282" t="s">
        <v>137</v>
      </c>
      <c r="B282">
        <v>1</v>
      </c>
      <c r="C282">
        <v>1.984626080486523</v>
      </c>
      <c r="D282">
        <v>3.017455795233573</v>
      </c>
      <c r="E282">
        <v>4.212999962390841</v>
      </c>
      <c r="F282">
        <v>1872.982456140351</v>
      </c>
      <c r="G282">
        <v>0.9376204432661559</v>
      </c>
    </row>
    <row r="283" spans="1:7">
      <c r="A283" t="s">
        <v>137</v>
      </c>
      <c r="B283">
        <v>1</v>
      </c>
      <c r="C283">
        <v>1.991257562068784</v>
      </c>
      <c r="D283">
        <v>3.02367385700719</v>
      </c>
      <c r="E283">
        <v>4.233030781577389</v>
      </c>
      <c r="F283">
        <v>1876.842105263158</v>
      </c>
      <c r="G283">
        <v>0.9376955646159243</v>
      </c>
    </row>
    <row r="284" spans="1:7">
      <c r="A284" t="s">
        <v>137</v>
      </c>
      <c r="B284">
        <v>1</v>
      </c>
      <c r="C284">
        <v>1.997888526829165</v>
      </c>
      <c r="D284">
        <v>3.029891918780808</v>
      </c>
      <c r="E284">
        <v>4.253101271463419</v>
      </c>
      <c r="F284">
        <v>1880.701754385965</v>
      </c>
      <c r="G284">
        <v>0.9377666063464482</v>
      </c>
    </row>
    <row r="285" spans="1:7">
      <c r="A285" t="s">
        <v>137</v>
      </c>
      <c r="B285">
        <v>1</v>
      </c>
      <c r="C285">
        <v>2.004519003692062</v>
      </c>
      <c r="D285">
        <v>3.036109980554425</v>
      </c>
      <c r="E285">
        <v>4.273211513349368</v>
      </c>
      <c r="F285">
        <v>1884.561403508772</v>
      </c>
      <c r="G285">
        <v>0.9378335684577273</v>
      </c>
    </row>
    <row r="286" spans="1:7">
      <c r="A286" t="s">
        <v>137</v>
      </c>
      <c r="B286">
        <v>1</v>
      </c>
      <c r="C286">
        <v>2.011149021569123</v>
      </c>
      <c r="D286">
        <v>3.042328042328042</v>
      </c>
      <c r="E286">
        <v>4.293361589036493</v>
      </c>
      <c r="F286">
        <v>1888.421052631579</v>
      </c>
      <c r="G286">
        <v>0.937896450949761</v>
      </c>
    </row>
    <row r="287" spans="1:7">
      <c r="A287" t="s">
        <v>137</v>
      </c>
      <c r="B287">
        <v>1</v>
      </c>
      <c r="C287">
        <v>2.017778609360001</v>
      </c>
      <c r="D287">
        <v>3.04854610410166</v>
      </c>
      <c r="E287">
        <v>4.313551580828847</v>
      </c>
      <c r="F287">
        <v>1892.280701754386</v>
      </c>
      <c r="G287">
        <v>0.9379552538225503</v>
      </c>
    </row>
    <row r="288" spans="1:7">
      <c r="A288" t="s">
        <v>137</v>
      </c>
      <c r="B288">
        <v>1</v>
      </c>
      <c r="C288">
        <v>2.024407795953112</v>
      </c>
      <c r="D288">
        <v>3.054764165875277</v>
      </c>
      <c r="E288">
        <v>4.333781571535293</v>
      </c>
      <c r="F288">
        <v>1896.140350877193</v>
      </c>
      <c r="G288">
        <v>0.9380099770760942</v>
      </c>
    </row>
    <row r="289" spans="1:7">
      <c r="A289" t="s">
        <v>137</v>
      </c>
      <c r="B289">
        <v>1</v>
      </c>
      <c r="C289">
        <v>2.031036610226397</v>
      </c>
      <c r="D289">
        <v>3.060982227648894</v>
      </c>
      <c r="E289">
        <v>4.354051644471551</v>
      </c>
      <c r="F289">
        <v>1900</v>
      </c>
      <c r="G289">
        <v>0.9380606207103936</v>
      </c>
    </row>
    <row r="290" spans="1:7">
      <c r="A290" t="s">
        <v>137</v>
      </c>
      <c r="B290">
        <v>1</v>
      </c>
      <c r="C290">
        <v>2.037665081048071</v>
      </c>
      <c r="D290">
        <v>3.067200289422511</v>
      </c>
      <c r="E290">
        <v>4.374361883462233</v>
      </c>
      <c r="F290">
        <v>1903.859649122807</v>
      </c>
      <c r="G290">
        <v>0.9381071847254482</v>
      </c>
    </row>
    <row r="291" spans="1:7">
      <c r="A291" t="s">
        <v>137</v>
      </c>
      <c r="B291">
        <v>1</v>
      </c>
      <c r="C291">
        <v>2.044293237277382</v>
      </c>
      <c r="D291">
        <v>3.073418351196129</v>
      </c>
      <c r="E291">
        <v>4.394712372842942</v>
      </c>
      <c r="F291">
        <v>1907.719298245614</v>
      </c>
      <c r="G291">
        <v>0.9381496691212582</v>
      </c>
    </row>
    <row r="292" spans="1:7">
      <c r="A292" t="s">
        <v>137</v>
      </c>
      <c r="B292">
        <v>1</v>
      </c>
      <c r="C292">
        <v>2.050921107765364</v>
      </c>
      <c r="D292">
        <v>3.079636412969746</v>
      </c>
      <c r="E292">
        <v>4.415103197462352</v>
      </c>
      <c r="F292">
        <v>1911.578947368421</v>
      </c>
      <c r="G292">
        <v>0.9381880738978227</v>
      </c>
    </row>
    <row r="293" spans="1:7">
      <c r="A293" t="s">
        <v>137</v>
      </c>
      <c r="B293">
        <v>1</v>
      </c>
      <c r="C293">
        <v>2.057548721355596</v>
      </c>
      <c r="D293">
        <v>3.085854474743364</v>
      </c>
      <c r="E293">
        <v>4.435534442684346</v>
      </c>
      <c r="F293">
        <v>1915.438596491228</v>
      </c>
      <c r="G293">
        <v>0.9382223990551432</v>
      </c>
    </row>
    <row r="294" spans="1:7">
      <c r="A294" t="s">
        <v>137</v>
      </c>
      <c r="B294">
        <v>1</v>
      </c>
      <c r="C294">
        <v>2.064176106884949</v>
      </c>
      <c r="D294">
        <v>3.092072536516981</v>
      </c>
      <c r="E294">
        <v>4.456006194390143</v>
      </c>
      <c r="F294">
        <v>1919.298245614036</v>
      </c>
      <c r="G294">
        <v>0.938252644593218</v>
      </c>
    </row>
    <row r="295" spans="1:7">
      <c r="A295" t="s">
        <v>137</v>
      </c>
      <c r="B295">
        <v>1</v>
      </c>
      <c r="C295">
        <v>2.070803293184341</v>
      </c>
      <c r="D295">
        <v>3.098290598290598</v>
      </c>
      <c r="E295">
        <v>4.476518538980475</v>
      </c>
      <c r="F295">
        <v>1923.157894736842</v>
      </c>
      <c r="G295">
        <v>0.9382788105120484</v>
      </c>
    </row>
    <row r="296" spans="1:7">
      <c r="A296" t="s">
        <v>137</v>
      </c>
      <c r="B296">
        <v>1</v>
      </c>
      <c r="C296">
        <v>2.077430309079495</v>
      </c>
      <c r="D296">
        <v>3.104508660064216</v>
      </c>
      <c r="E296">
        <v>4.497071563377765</v>
      </c>
      <c r="F296">
        <v>1927.017543859649</v>
      </c>
      <c r="G296">
        <v>0.9383008968116338</v>
      </c>
    </row>
    <row r="297" spans="1:7">
      <c r="A297" t="s">
        <v>137</v>
      </c>
      <c r="B297">
        <v>1</v>
      </c>
      <c r="C297">
        <v>2.084057183391685</v>
      </c>
      <c r="D297">
        <v>3.110726721837833</v>
      </c>
      <c r="E297">
        <v>4.517665355028342</v>
      </c>
      <c r="F297">
        <v>1930.877192982456</v>
      </c>
      <c r="G297">
        <v>0.9383189034919741</v>
      </c>
    </row>
    <row r="298" spans="1:7">
      <c r="A298" t="s">
        <v>137</v>
      </c>
      <c r="B298">
        <v>1</v>
      </c>
      <c r="C298">
        <v>2.090683944938493</v>
      </c>
      <c r="D298">
        <v>3.116944783611451</v>
      </c>
      <c r="E298">
        <v>4.538300001904676</v>
      </c>
      <c r="F298">
        <v>1934.736842105263</v>
      </c>
      <c r="G298">
        <v>0.9383328305530698</v>
      </c>
    </row>
    <row r="299" spans="1:7">
      <c r="A299" t="s">
        <v>137</v>
      </c>
      <c r="B299">
        <v>1</v>
      </c>
      <c r="C299">
        <v>2.097310622534557</v>
      </c>
      <c r="D299">
        <v>3.123162845385067</v>
      </c>
      <c r="E299">
        <v>4.558975592507617</v>
      </c>
      <c r="F299">
        <v>1938.59649122807</v>
      </c>
      <c r="G299">
        <v>0.9383426779949205</v>
      </c>
    </row>
    <row r="300" spans="1:7">
      <c r="A300" t="s">
        <v>137</v>
      </c>
      <c r="B300">
        <v>1</v>
      </c>
      <c r="C300">
        <v>2.103937244992326</v>
      </c>
      <c r="D300">
        <v>3.129380907158685</v>
      </c>
      <c r="E300">
        <v>4.579692215868694</v>
      </c>
      <c r="F300">
        <v>1942.456140350877</v>
      </c>
      <c r="G300">
        <v>0.938348445817527</v>
      </c>
    </row>
    <row r="301" spans="1:7">
      <c r="A301" t="s">
        <v>137</v>
      </c>
      <c r="B301">
        <v>1</v>
      </c>
      <c r="C301">
        <v>2.110563841122812</v>
      </c>
      <c r="D301">
        <v>3.135598968932302</v>
      </c>
      <c r="E301">
        <v>4.600449961552398</v>
      </c>
      <c r="F301">
        <v>1946.315789473684</v>
      </c>
      <c r="G301">
        <v>0.9383501340208877</v>
      </c>
    </row>
    <row r="302" spans="1:7">
      <c r="A302" t="s">
        <v>137</v>
      </c>
      <c r="B302">
        <v>1</v>
      </c>
      <c r="C302">
        <v>2.117190439736337</v>
      </c>
      <c r="D302">
        <v>3.14181703070592</v>
      </c>
      <c r="E302">
        <v>4.621248919658512</v>
      </c>
      <c r="F302">
        <v>1950.175438596491</v>
      </c>
      <c r="G302">
        <v>0.9383477426050039</v>
      </c>
    </row>
    <row r="303" spans="1:7">
      <c r="A303" t="s">
        <v>137</v>
      </c>
      <c r="B303">
        <v>1</v>
      </c>
      <c r="C303">
        <v>2.123817069643291</v>
      </c>
      <c r="D303">
        <v>3.148035092479537</v>
      </c>
      <c r="E303">
        <v>4.642089180824461</v>
      </c>
      <c r="F303">
        <v>1954.035087719298</v>
      </c>
      <c r="G303">
        <v>0.9383412715698752</v>
      </c>
    </row>
    <row r="304" spans="1:7">
      <c r="A304" t="s">
        <v>137</v>
      </c>
      <c r="B304">
        <v>1</v>
      </c>
      <c r="C304">
        <v>2.130443759654877</v>
      </c>
      <c r="D304">
        <v>3.154253154253154</v>
      </c>
      <c r="E304">
        <v>4.66297083622767</v>
      </c>
      <c r="F304">
        <v>1957.894736842105</v>
      </c>
      <c r="G304">
        <v>0.9383307209155021</v>
      </c>
    </row>
    <row r="305" spans="1:7">
      <c r="A305" t="s">
        <v>137</v>
      </c>
      <c r="B305">
        <v>1</v>
      </c>
      <c r="C305">
        <v>2.13707053858387</v>
      </c>
      <c r="D305">
        <v>3.160471216026772</v>
      </c>
      <c r="E305">
        <v>4.683893977587975</v>
      </c>
      <c r="F305">
        <v>1961.754385964913</v>
      </c>
      <c r="G305">
        <v>0.9383160906418837</v>
      </c>
    </row>
    <row r="306" spans="1:7">
      <c r="A306" t="s">
        <v>137</v>
      </c>
      <c r="B306">
        <v>1</v>
      </c>
      <c r="C306">
        <v>2.143697435245362</v>
      </c>
      <c r="D306">
        <v>3.166689277800389</v>
      </c>
      <c r="E306">
        <v>4.704858697170022</v>
      </c>
      <c r="F306">
        <v>1965.614035087719</v>
      </c>
      <c r="G306">
        <v>0.9382973807490205</v>
      </c>
    </row>
    <row r="307" spans="1:7">
      <c r="A307" t="s">
        <v>137</v>
      </c>
      <c r="B307">
        <v>1</v>
      </c>
      <c r="C307">
        <v>2.150324478457517</v>
      </c>
      <c r="D307">
        <v>3.172907339574006</v>
      </c>
      <c r="E307">
        <v>4.725865087785722</v>
      </c>
      <c r="F307">
        <v>1969.473684210526</v>
      </c>
      <c r="G307">
        <v>0.9382745912369121</v>
      </c>
    </row>
    <row r="308" spans="1:7">
      <c r="A308" t="s">
        <v>137</v>
      </c>
      <c r="B308">
        <v>1</v>
      </c>
      <c r="C308">
        <v>2.156951697042321</v>
      </c>
      <c r="D308">
        <v>3.179125401347624</v>
      </c>
      <c r="E308">
        <v>4.746913242796708</v>
      </c>
      <c r="F308">
        <v>1973.333333333333</v>
      </c>
      <c r="G308">
        <v>0.9382477221055596</v>
      </c>
    </row>
    <row r="309" spans="1:7">
      <c r="A309" t="s">
        <v>137</v>
      </c>
      <c r="B309">
        <v>1</v>
      </c>
      <c r="C309">
        <v>2.16357911982634</v>
      </c>
      <c r="D309">
        <v>3.185343463121241</v>
      </c>
      <c r="E309">
        <v>4.768003256116827</v>
      </c>
      <c r="F309">
        <v>1977.19298245614</v>
      </c>
      <c r="G309">
        <v>0.9382167733549619</v>
      </c>
    </row>
    <row r="310" spans="1:7">
      <c r="A310" t="s">
        <v>137</v>
      </c>
      <c r="B310">
        <v>1</v>
      </c>
      <c r="C310">
        <v>2.170206775641466</v>
      </c>
      <c r="D310">
        <v>3.191561524894858</v>
      </c>
      <c r="E310">
        <v>4.789135222214651</v>
      </c>
      <c r="F310">
        <v>1981.052631578948</v>
      </c>
      <c r="G310">
        <v>0.9381817449851193</v>
      </c>
    </row>
    <row r="311" spans="1:7">
      <c r="A311" t="s">
        <v>137</v>
      </c>
      <c r="B311">
        <v>1</v>
      </c>
      <c r="C311">
        <v>2.17683469332567</v>
      </c>
      <c r="D311">
        <v>3.197779586668475</v>
      </c>
      <c r="E311">
        <v>4.810309236116019</v>
      </c>
      <c r="F311">
        <v>1984.912280701754</v>
      </c>
      <c r="G311">
        <v>0.9381426369960323</v>
      </c>
    </row>
    <row r="312" spans="1:7">
      <c r="A312" t="s">
        <v>137</v>
      </c>
      <c r="B312">
        <v>1</v>
      </c>
      <c r="C312">
        <v>2.183462901723763</v>
      </c>
      <c r="D312">
        <v>3.203997648442093</v>
      </c>
      <c r="E312">
        <v>4.831525393406602</v>
      </c>
      <c r="F312">
        <v>1988.771929824562</v>
      </c>
      <c r="G312">
        <v>0.9380994493876998</v>
      </c>
    </row>
    <row r="313" spans="1:7">
      <c r="A313" t="s">
        <v>137</v>
      </c>
      <c r="B313">
        <v>1</v>
      </c>
      <c r="C313">
        <v>2.190091429688141</v>
      </c>
      <c r="D313">
        <v>3.21021571021571</v>
      </c>
      <c r="E313">
        <v>4.852783790234476</v>
      </c>
      <c r="F313">
        <v>1992.631578947368</v>
      </c>
      <c r="G313">
        <v>0.9380521821601224</v>
      </c>
    </row>
    <row r="314" spans="1:7">
      <c r="A314" t="s">
        <v>137</v>
      </c>
      <c r="B314">
        <v>1</v>
      </c>
      <c r="C314">
        <v>2.196720306079544</v>
      </c>
      <c r="D314">
        <v>3.216433771989327</v>
      </c>
      <c r="E314">
        <v>4.874084523312753</v>
      </c>
      <c r="F314">
        <v>1996.491228070175</v>
      </c>
      <c r="G314">
        <v>0.938000835313301</v>
      </c>
    </row>
    <row r="315" spans="1:7">
      <c r="A315" t="s">
        <v>137</v>
      </c>
      <c r="B315">
        <v>1</v>
      </c>
      <c r="C315">
        <v>2.203349559767811</v>
      </c>
      <c r="D315">
        <v>3.222651833762945</v>
      </c>
      <c r="E315">
        <v>4.895427689922208</v>
      </c>
      <c r="F315">
        <v>2000.350877192982</v>
      </c>
      <c r="G315">
        <v>0.9379454088472341</v>
      </c>
    </row>
    <row r="316" spans="1:7">
      <c r="A316" t="s">
        <v>137</v>
      </c>
      <c r="B316">
        <v>1</v>
      </c>
      <c r="C316">
        <v>2.209979219632632</v>
      </c>
      <c r="D316">
        <v>3.228869895536562</v>
      </c>
      <c r="E316">
        <v>4.916813387913945</v>
      </c>
      <c r="F316">
        <v>2004.21052631579</v>
      </c>
      <c r="G316">
        <v>0.9378859027619222</v>
      </c>
    </row>
    <row r="317" spans="1:7">
      <c r="A317" t="s">
        <v>137</v>
      </c>
      <c r="B317">
        <v>1</v>
      </c>
      <c r="C317">
        <v>2.216609314564308</v>
      </c>
      <c r="D317">
        <v>3.23508795731018</v>
      </c>
      <c r="E317">
        <v>4.938241715712085</v>
      </c>
      <c r="F317">
        <v>2008.070175438597</v>
      </c>
      <c r="G317">
        <v>0.9378223170573655</v>
      </c>
    </row>
    <row r="318" spans="1:7">
      <c r="A318" t="s">
        <v>137</v>
      </c>
      <c r="B318">
        <v>1</v>
      </c>
      <c r="C318">
        <v>2.223239873464504</v>
      </c>
      <c r="D318">
        <v>3.241306019083797</v>
      </c>
      <c r="E318">
        <v>4.959712772316479</v>
      </c>
      <c r="F318">
        <v>2011.929824561403</v>
      </c>
      <c r="G318">
        <v>0.9377546517335644</v>
      </c>
    </row>
    <row r="319" spans="1:7">
      <c r="A319" t="s">
        <v>137</v>
      </c>
      <c r="B319">
        <v>1</v>
      </c>
      <c r="C319">
        <v>2.229870925247013</v>
      </c>
      <c r="D319">
        <v>3.247524080857414</v>
      </c>
      <c r="E319">
        <v>4.981226657305457</v>
      </c>
      <c r="F319">
        <v>2015.789473684211</v>
      </c>
      <c r="G319">
        <v>0.9376829067905179</v>
      </c>
    </row>
    <row r="320" spans="1:7">
      <c r="A320" t="s">
        <v>137</v>
      </c>
      <c r="B320">
        <v>1</v>
      </c>
      <c r="C320">
        <v>2.236502498838504</v>
      </c>
      <c r="D320">
        <v>3.253742142631031</v>
      </c>
      <c r="E320">
        <v>5.002783470838577</v>
      </c>
      <c r="F320">
        <v>2019.649122807017</v>
      </c>
      <c r="G320">
        <v>0.9376070822282269</v>
      </c>
    </row>
    <row r="321" spans="1:7">
      <c r="A321" t="s">
        <v>137</v>
      </c>
      <c r="B321">
        <v>1</v>
      </c>
      <c r="C321">
        <v>2.243134623179294</v>
      </c>
      <c r="D321">
        <v>3.259960204404649</v>
      </c>
      <c r="E321">
        <v>5.024383313659441</v>
      </c>
      <c r="F321">
        <v>2023.508771929825</v>
      </c>
      <c r="G321">
        <v>0.9375271780466911</v>
      </c>
    </row>
    <row r="322" spans="1:7">
      <c r="A322" t="s">
        <v>137</v>
      </c>
      <c r="B322">
        <v>1</v>
      </c>
      <c r="C322">
        <v>2.249767327224093</v>
      </c>
      <c r="D322">
        <v>3.266178266178266</v>
      </c>
      <c r="E322">
        <v>5.04602628709849</v>
      </c>
      <c r="F322">
        <v>2027.368421052632</v>
      </c>
      <c r="G322">
        <v>0.9374431942459102</v>
      </c>
    </row>
    <row r="323" spans="1:7">
      <c r="A323" t="s">
        <v>137</v>
      </c>
      <c r="B323">
        <v>1</v>
      </c>
      <c r="C323">
        <v>2.256400639942782</v>
      </c>
      <c r="D323">
        <v>3.272396327951884</v>
      </c>
      <c r="E323">
        <v>5.067712493075873</v>
      </c>
      <c r="F323">
        <v>2031.228070175439</v>
      </c>
      <c r="G323">
        <v>0.9373551308258842</v>
      </c>
    </row>
    <row r="324" spans="1:7">
      <c r="A324" t="s">
        <v>137</v>
      </c>
      <c r="B324">
        <v>1</v>
      </c>
      <c r="C324">
        <v>2.263034590321158</v>
      </c>
      <c r="D324">
        <v>3.278614389725501</v>
      </c>
      <c r="E324">
        <v>5.089442034104303</v>
      </c>
      <c r="F324">
        <v>2035.087719298245</v>
      </c>
      <c r="G324">
        <v>0.9372629877866137</v>
      </c>
    </row>
    <row r="325" spans="1:7">
      <c r="A325" t="s">
        <v>137</v>
      </c>
      <c r="B325">
        <v>1</v>
      </c>
      <c r="C325">
        <v>2.26966920736171</v>
      </c>
      <c r="D325">
        <v>3.284832451499118</v>
      </c>
      <c r="E325">
        <v>5.111215013291962</v>
      </c>
      <c r="F325">
        <v>2038.947368421052</v>
      </c>
      <c r="G325">
        <v>0.9371667651280984</v>
      </c>
    </row>
    <row r="326" spans="1:7">
      <c r="A326" t="s">
        <v>137</v>
      </c>
      <c r="B326">
        <v>1</v>
      </c>
      <c r="C326">
        <v>2.276304520084378</v>
      </c>
      <c r="D326">
        <v>3.291050513272736</v>
      </c>
      <c r="E326">
        <v>5.133031534345437</v>
      </c>
      <c r="F326">
        <v>2042.80701754386</v>
      </c>
      <c r="G326">
        <v>0.9370664628503379</v>
      </c>
    </row>
    <row r="327" spans="1:7">
      <c r="A327" t="s">
        <v>137</v>
      </c>
      <c r="B327">
        <v>1</v>
      </c>
      <c r="C327">
        <v>2.282940557527316</v>
      </c>
      <c r="D327">
        <v>3.297268575046353</v>
      </c>
      <c r="E327">
        <v>5.154891701572658</v>
      </c>
      <c r="F327">
        <v>2046.666666666666</v>
      </c>
      <c r="G327">
        <v>0.9369620809533331</v>
      </c>
    </row>
    <row r="328" spans="1:7">
      <c r="A328" t="s">
        <v>137</v>
      </c>
      <c r="B328">
        <v>1</v>
      </c>
      <c r="C328">
        <v>2.289577348747664</v>
      </c>
      <c r="D328">
        <v>3.30348663681997</v>
      </c>
      <c r="E328">
        <v>5.176795619885898</v>
      </c>
      <c r="F328">
        <v>2050.526315789474</v>
      </c>
      <c r="G328">
        <v>0.9368536194370832</v>
      </c>
    </row>
    <row r="329" spans="1:7">
      <c r="A329" t="s">
        <v>137</v>
      </c>
      <c r="B329">
        <v>1</v>
      </c>
      <c r="C329">
        <v>2.29621492282231</v>
      </c>
      <c r="D329">
        <v>3.309704698593587</v>
      </c>
      <c r="E329">
        <v>5.198743394804773</v>
      </c>
      <c r="F329">
        <v>2054.385964912281</v>
      </c>
      <c r="G329">
        <v>0.9367410783015881</v>
      </c>
    </row>
    <row r="330" spans="1:7">
      <c r="A330" t="s">
        <v>137</v>
      </c>
      <c r="B330">
        <v>1</v>
      </c>
      <c r="C330">
        <v>2.302853308848664</v>
      </c>
      <c r="D330">
        <v>3.315922760367205</v>
      </c>
      <c r="E330">
        <v>5.220735132459284</v>
      </c>
      <c r="F330">
        <v>2058.245614035088</v>
      </c>
      <c r="G330">
        <v>0.9366244575468485</v>
      </c>
    </row>
    <row r="331" spans="1:7">
      <c r="A331" t="s">
        <v>137</v>
      </c>
      <c r="B331">
        <v>1</v>
      </c>
      <c r="C331">
        <v>2.309492535945424</v>
      </c>
      <c r="D331">
        <v>3.322140822140822</v>
      </c>
      <c r="E331">
        <v>5.242770939592883</v>
      </c>
      <c r="F331">
        <v>2062.105263157895</v>
      </c>
      <c r="G331">
        <v>0.9365037571728638</v>
      </c>
    </row>
    <row r="332" spans="1:7">
      <c r="A332" t="s">
        <v>137</v>
      </c>
      <c r="B332">
        <v>1</v>
      </c>
      <c r="C332">
        <v>2.316132633253351</v>
      </c>
      <c r="D332">
        <v>3.32835888391444</v>
      </c>
      <c r="E332">
        <v>5.264850923565571</v>
      </c>
      <c r="F332">
        <v>2065.964912280701</v>
      </c>
      <c r="G332">
        <v>0.9363789771796346</v>
      </c>
    </row>
    <row r="333" spans="1:7">
      <c r="A333" t="s">
        <v>137</v>
      </c>
      <c r="B333">
        <v>1</v>
      </c>
      <c r="C333">
        <v>2.32277362993604</v>
      </c>
      <c r="D333">
        <v>3.334576945688057</v>
      </c>
      <c r="E333">
        <v>5.286975192357021</v>
      </c>
      <c r="F333">
        <v>2069.824561403509</v>
      </c>
      <c r="G333">
        <v>0.9362501175671604</v>
      </c>
    </row>
    <row r="334" spans="1:7">
      <c r="A334" t="s">
        <v>137</v>
      </c>
      <c r="B334">
        <v>1</v>
      </c>
      <c r="C334">
        <v>2.329415555180697</v>
      </c>
      <c r="D334">
        <v>3.340795007461674</v>
      </c>
      <c r="E334">
        <v>5.309143854569732</v>
      </c>
      <c r="F334">
        <v>2073.684210526316</v>
      </c>
      <c r="G334">
        <v>0.9361171783354415</v>
      </c>
    </row>
    <row r="335" spans="1:7">
      <c r="A335" t="s">
        <v>137</v>
      </c>
      <c r="B335">
        <v>1</v>
      </c>
      <c r="C335">
        <v>2.336058438198914</v>
      </c>
      <c r="D335">
        <v>3.347013069235291</v>
      </c>
      <c r="E335">
        <v>5.331357019432209</v>
      </c>
      <c r="F335">
        <v>2077.543859649123</v>
      </c>
      <c r="G335">
        <v>0.9359801594844774</v>
      </c>
    </row>
    <row r="336" spans="1:7">
      <c r="A336" t="s">
        <v>137</v>
      </c>
      <c r="B336">
        <v>1</v>
      </c>
      <c r="C336">
        <v>2.342702308227444</v>
      </c>
      <c r="D336">
        <v>3.353231131008909</v>
      </c>
      <c r="E336">
        <v>5.353614796802186</v>
      </c>
      <c r="F336">
        <v>2081.40350877193</v>
      </c>
      <c r="G336">
        <v>0.9358390610142683</v>
      </c>
    </row>
    <row r="337" spans="1:7">
      <c r="A337" t="s">
        <v>137</v>
      </c>
      <c r="B337">
        <v>1</v>
      </c>
      <c r="C337">
        <v>2.349347194528987</v>
      </c>
      <c r="D337">
        <v>3.359449192782526</v>
      </c>
      <c r="E337">
        <v>5.375917297169853</v>
      </c>
      <c r="F337">
        <v>2085.263157894737</v>
      </c>
      <c r="G337">
        <v>0.9356938829248148</v>
      </c>
    </row>
    <row r="338" spans="1:7">
      <c r="A338" t="s">
        <v>137</v>
      </c>
      <c r="B338">
        <v>1</v>
      </c>
      <c r="C338">
        <v>2.355993126392966</v>
      </c>
      <c r="D338">
        <v>3.365667254556143</v>
      </c>
      <c r="E338">
        <v>5.39826463166114</v>
      </c>
      <c r="F338">
        <v>2089.122807017543</v>
      </c>
      <c r="G338">
        <v>0.9355446252161166</v>
      </c>
    </row>
    <row r="339" spans="1:7">
      <c r="A339" t="s">
        <v>137</v>
      </c>
      <c r="B339">
        <v>1</v>
      </c>
      <c r="C339">
        <v>2.36264013313631</v>
      </c>
      <c r="D339">
        <v>3.371885316329761</v>
      </c>
      <c r="E339">
        <v>5.420656912041011</v>
      </c>
      <c r="F339">
        <v>2092.982456140351</v>
      </c>
      <c r="G339">
        <v>0.9353912878881731</v>
      </c>
    </row>
    <row r="340" spans="1:7">
      <c r="A340" t="s">
        <v>137</v>
      </c>
      <c r="B340">
        <v>1</v>
      </c>
      <c r="C340">
        <v>2.369288244104243</v>
      </c>
      <c r="D340">
        <v>3.378103378103378</v>
      </c>
      <c r="E340">
        <v>5.443094250716805</v>
      </c>
      <c r="F340">
        <v>2096.842105263158</v>
      </c>
      <c r="G340">
        <v>0.9352338709409848</v>
      </c>
    </row>
    <row r="341" spans="1:7">
      <c r="A341" t="s">
        <v>137</v>
      </c>
      <c r="B341">
        <v>1</v>
      </c>
      <c r="C341">
        <v>2.375937488671064</v>
      </c>
      <c r="D341">
        <v>3.384321439876996</v>
      </c>
      <c r="E341">
        <v>5.465576760741594</v>
      </c>
      <c r="F341">
        <v>2100.701754385965</v>
      </c>
      <c r="G341">
        <v>0.9350723743745518</v>
      </c>
    </row>
    <row r="342" spans="1:7">
      <c r="A342" t="s">
        <v>137</v>
      </c>
      <c r="B342">
        <v>1</v>
      </c>
      <c r="C342">
        <v>2.382587896240945</v>
      </c>
      <c r="D342">
        <v>3.390539501650613</v>
      </c>
      <c r="E342">
        <v>5.488104555817578</v>
      </c>
      <c r="F342">
        <v>2104.561403508772</v>
      </c>
      <c r="G342">
        <v>0.934906798188874</v>
      </c>
    </row>
    <row r="343" spans="1:7">
      <c r="A343" t="s">
        <v>137</v>
      </c>
      <c r="B343">
        <v>1</v>
      </c>
      <c r="C343">
        <v>2.389239496248712</v>
      </c>
      <c r="D343">
        <v>3.39675756342423</v>
      </c>
      <c r="E343">
        <v>5.510677750299516</v>
      </c>
      <c r="F343">
        <v>2108.421052631579</v>
      </c>
      <c r="G343">
        <v>0.9347371423839511</v>
      </c>
    </row>
    <row r="344" spans="1:7">
      <c r="A344" t="s">
        <v>137</v>
      </c>
      <c r="B344">
        <v>1</v>
      </c>
      <c r="C344">
        <v>2.395892318160644</v>
      </c>
      <c r="D344">
        <v>3.402975625197847</v>
      </c>
      <c r="E344">
        <v>5.533296459198176</v>
      </c>
      <c r="F344">
        <v>2112.280701754386</v>
      </c>
      <c r="G344">
        <v>0.9345634069597832</v>
      </c>
    </row>
    <row r="345" spans="1:7">
      <c r="A345" t="s">
        <v>137</v>
      </c>
      <c r="B345">
        <v>1</v>
      </c>
      <c r="C345">
        <v>2.402546391475262</v>
      </c>
      <c r="D345">
        <v>3.409193686971465</v>
      </c>
      <c r="E345">
        <v>5.555960798183828</v>
      </c>
      <c r="F345">
        <v>2116.140350877193</v>
      </c>
      <c r="G345">
        <v>0.9343855919163709</v>
      </c>
    </row>
    <row r="346" spans="1:7">
      <c r="A346" t="s">
        <v>137</v>
      </c>
      <c r="B346">
        <v>1</v>
      </c>
      <c r="C346">
        <v>2.409201745724135</v>
      </c>
      <c r="D346">
        <v>3.415411748745082</v>
      </c>
      <c r="E346">
        <v>5.578670883589765</v>
      </c>
      <c r="F346">
        <v>2120</v>
      </c>
      <c r="G346">
        <v>0.9342036972537137</v>
      </c>
    </row>
    <row r="347" spans="1:7">
      <c r="A347" t="s">
        <v>137</v>
      </c>
      <c r="B347">
        <v>1</v>
      </c>
      <c r="C347">
        <v>2.415858410472668</v>
      </c>
      <c r="D347">
        <v>3.4216298105187</v>
      </c>
      <c r="E347">
        <v>5.601426832415854</v>
      </c>
      <c r="F347">
        <v>2123.859649122807</v>
      </c>
      <c r="G347">
        <v>0.9340177229718113</v>
      </c>
    </row>
    <row r="348" spans="1:7">
      <c r="A348" t="s">
        <v>137</v>
      </c>
      <c r="B348">
        <v>1</v>
      </c>
      <c r="C348">
        <v>2.422516415320912</v>
      </c>
      <c r="D348">
        <v>3.427847872292317</v>
      </c>
      <c r="E348">
        <v>5.624228762332125</v>
      </c>
      <c r="F348">
        <v>2127.719298245614</v>
      </c>
      <c r="G348">
        <v>0.9338276690706641</v>
      </c>
    </row>
    <row r="349" spans="1:7">
      <c r="A349" t="s">
        <v>137</v>
      </c>
      <c r="B349">
        <v>1</v>
      </c>
      <c r="C349">
        <v>2.429175789904361</v>
      </c>
      <c r="D349">
        <v>3.434065934065934</v>
      </c>
      <c r="E349">
        <v>5.647076791682387</v>
      </c>
      <c r="F349">
        <v>2131.578947368421</v>
      </c>
      <c r="G349">
        <v>0.9336335355502725</v>
      </c>
    </row>
    <row r="350" spans="1:7">
      <c r="A350" t="s">
        <v>137</v>
      </c>
      <c r="B350">
        <v>1</v>
      </c>
      <c r="C350">
        <v>2.435836563894763</v>
      </c>
      <c r="D350">
        <v>3.440283995839551</v>
      </c>
      <c r="E350">
        <v>5.669971039487882</v>
      </c>
      <c r="F350">
        <v>2135.438596491228</v>
      </c>
      <c r="G350">
        <v>0.9334353224106355</v>
      </c>
    </row>
    <row r="351" spans="1:7">
      <c r="A351" t="s">
        <v>137</v>
      </c>
      <c r="B351">
        <v>1</v>
      </c>
      <c r="C351">
        <v>2.442498767000927</v>
      </c>
      <c r="D351">
        <v>3.446502057613169</v>
      </c>
      <c r="E351">
        <v>5.69291162545097</v>
      </c>
      <c r="F351">
        <v>2139.298245614035</v>
      </c>
      <c r="G351">
        <v>0.9332330296517541</v>
      </c>
    </row>
    <row r="352" spans="1:7">
      <c r="A352" t="s">
        <v>137</v>
      </c>
      <c r="B352">
        <v>1</v>
      </c>
      <c r="C352">
        <v>2.449162428969532</v>
      </c>
      <c r="D352">
        <v>3.452720119386786</v>
      </c>
      <c r="E352">
        <v>5.715898669958844</v>
      </c>
      <c r="F352">
        <v>2143.157894736843</v>
      </c>
      <c r="G352">
        <v>0.9330266572736272</v>
      </c>
    </row>
    <row r="353" spans="1:7">
      <c r="A353" t="s">
        <v>137</v>
      </c>
      <c r="B353">
        <v>1</v>
      </c>
      <c r="C353">
        <v>2.455827579585941</v>
      </c>
      <c r="D353">
        <v>3.458938181160403</v>
      </c>
      <c r="E353">
        <v>5.738932294087288</v>
      </c>
      <c r="F353">
        <v>2147.017543859649</v>
      </c>
      <c r="G353">
        <v>0.9328162052762562</v>
      </c>
    </row>
    <row r="354" spans="1:7">
      <c r="A354" t="s">
        <v>137</v>
      </c>
      <c r="B354">
        <v>1</v>
      </c>
      <c r="C354">
        <v>2.462494248675019</v>
      </c>
      <c r="D354">
        <v>3.465156242934021</v>
      </c>
      <c r="E354">
        <v>5.762012619604459</v>
      </c>
      <c r="F354">
        <v>2150.877192982456</v>
      </c>
      <c r="G354">
        <v>0.93260167365964</v>
      </c>
    </row>
    <row r="355" spans="1:7">
      <c r="A355" t="s">
        <v>137</v>
      </c>
      <c r="B355">
        <v>1</v>
      </c>
      <c r="C355">
        <v>2.469162466101949</v>
      </c>
      <c r="D355">
        <v>3.471374304707638</v>
      </c>
      <c r="E355">
        <v>5.785139768974711</v>
      </c>
      <c r="F355">
        <v>2154.736842105263</v>
      </c>
      <c r="G355">
        <v>0.9323830624237791</v>
      </c>
    </row>
    <row r="356" spans="1:7">
      <c r="A356" t="s">
        <v>137</v>
      </c>
      <c r="B356">
        <v>1</v>
      </c>
      <c r="C356">
        <v>2.475832261773055</v>
      </c>
      <c r="D356">
        <v>3.477592366481256</v>
      </c>
      <c r="E356">
        <v>5.808313865362454</v>
      </c>
      <c r="F356">
        <v>2158.59649122807</v>
      </c>
      <c r="G356">
        <v>0.9321603715686732</v>
      </c>
    </row>
    <row r="357" spans="1:7">
      <c r="A357" t="s">
        <v>137</v>
      </c>
      <c r="B357">
        <v>1</v>
      </c>
      <c r="C357">
        <v>2.482503665636623</v>
      </c>
      <c r="D357">
        <v>3.483810428254873</v>
      </c>
      <c r="E357">
        <v>5.831535032636037</v>
      </c>
      <c r="F357">
        <v>2162.456140350877</v>
      </c>
      <c r="G357">
        <v>0.9319336010943223</v>
      </c>
    </row>
    <row r="358" spans="1:7">
      <c r="A358" t="s">
        <v>137</v>
      </c>
      <c r="B358">
        <v>1</v>
      </c>
      <c r="C358">
        <v>2.489176707683734</v>
      </c>
      <c r="D358">
        <v>3.49002849002849</v>
      </c>
      <c r="E358">
        <v>5.854803395371687</v>
      </c>
      <c r="F358">
        <v>2166.315789473684</v>
      </c>
      <c r="G358">
        <v>0.9317027510007265</v>
      </c>
    </row>
    <row r="359" spans="1:7">
      <c r="A359" t="s">
        <v>137</v>
      </c>
      <c r="B359">
        <v>1</v>
      </c>
      <c r="C359">
        <v>2.495851417949086</v>
      </c>
      <c r="D359">
        <v>3.496246551802107</v>
      </c>
      <c r="E359">
        <v>5.87811907885746</v>
      </c>
      <c r="F359">
        <v>2170.175438596491</v>
      </c>
      <c r="G359">
        <v>0.9314678212878863</v>
      </c>
    </row>
    <row r="360" spans="1:7">
      <c r="A360" t="s">
        <v>137</v>
      </c>
      <c r="B360">
        <v>1</v>
      </c>
      <c r="C360">
        <v>2.502527826511833</v>
      </c>
      <c r="D360">
        <v>3.502464613575725</v>
      </c>
      <c r="E360">
        <v>5.901482209097247</v>
      </c>
      <c r="F360">
        <v>2174.035087719298</v>
      </c>
      <c r="G360">
        <v>0.9312288119558008</v>
      </c>
    </row>
    <row r="361" spans="1:7">
      <c r="A361" t="s">
        <v>137</v>
      </c>
      <c r="B361">
        <v>1</v>
      </c>
      <c r="C361">
        <v>2.509205963496417</v>
      </c>
      <c r="D361">
        <v>3.508682675349342</v>
      </c>
      <c r="E361">
        <v>5.924892912814804</v>
      </c>
      <c r="F361">
        <v>2177.894736842105</v>
      </c>
      <c r="G361">
        <v>0.9309857230044705</v>
      </c>
    </row>
    <row r="362" spans="1:7">
      <c r="A362" t="s">
        <v>137</v>
      </c>
      <c r="B362">
        <v>1</v>
      </c>
      <c r="C362">
        <v>2.515885859073406</v>
      </c>
      <c r="D362">
        <v>3.514900737122959</v>
      </c>
      <c r="E362">
        <v>5.948351317457828</v>
      </c>
      <c r="F362">
        <v>2181.754385964912</v>
      </c>
      <c r="G362">
        <v>0.9307385544338956</v>
      </c>
    </row>
    <row r="363" spans="1:7">
      <c r="A363" t="s">
        <v>137</v>
      </c>
      <c r="B363">
        <v>1</v>
      </c>
      <c r="C363">
        <v>2.522567543460341</v>
      </c>
      <c r="D363">
        <v>3.521118798896577</v>
      </c>
      <c r="E363">
        <v>5.971857551202062</v>
      </c>
      <c r="F363">
        <v>2185.614035087719</v>
      </c>
      <c r="G363">
        <v>0.9304873062440757</v>
      </c>
    </row>
    <row r="364" spans="1:7">
      <c r="A364" t="s">
        <v>137</v>
      </c>
      <c r="B364">
        <v>1</v>
      </c>
      <c r="C364">
        <v>2.529251046922575</v>
      </c>
      <c r="D364">
        <v>3.527336860670194</v>
      </c>
      <c r="E364">
        <v>5.995411742955443</v>
      </c>
      <c r="F364">
        <v>2189.473684210526</v>
      </c>
      <c r="G364">
        <v>0.930231978435011</v>
      </c>
    </row>
    <row r="365" spans="1:7">
      <c r="A365" t="s">
        <v>137</v>
      </c>
      <c r="B365">
        <v>1</v>
      </c>
      <c r="C365">
        <v>2.535936399774124</v>
      </c>
      <c r="D365">
        <v>3.533554922443811</v>
      </c>
      <c r="E365">
        <v>6.019014022362288</v>
      </c>
      <c r="F365">
        <v>2193.333333333333</v>
      </c>
      <c r="G365">
        <v>0.9299725710067015</v>
      </c>
    </row>
    <row r="366" spans="1:7">
      <c r="A366" t="s">
        <v>137</v>
      </c>
      <c r="B366">
        <v>1</v>
      </c>
      <c r="C366">
        <v>2.542623632378518</v>
      </c>
      <c r="D366">
        <v>3.539772984217429</v>
      </c>
      <c r="E366">
        <v>6.042664519807512</v>
      </c>
      <c r="F366">
        <v>2197.19298245614</v>
      </c>
      <c r="G366">
        <v>0.9297090839591471</v>
      </c>
    </row>
    <row r="367" spans="1:7">
      <c r="A367" t="s">
        <v>137</v>
      </c>
      <c r="B367">
        <v>1</v>
      </c>
      <c r="C367">
        <v>2.549312775149657</v>
      </c>
      <c r="D367">
        <v>3.545991045991046</v>
      </c>
      <c r="E367">
        <v>6.066363366420886</v>
      </c>
      <c r="F367">
        <v>2201.052631578948</v>
      </c>
      <c r="G367">
        <v>0.9294415172923476</v>
      </c>
    </row>
    <row r="368" spans="1:7">
      <c r="A368" t="s">
        <v>137</v>
      </c>
      <c r="B368">
        <v>1</v>
      </c>
      <c r="C368">
        <v>2.556003858552666</v>
      </c>
      <c r="D368">
        <v>3.552209107764663</v>
      </c>
      <c r="E368">
        <v>6.090110694081343</v>
      </c>
      <c r="F368">
        <v>2204.912280701754</v>
      </c>
      <c r="G368">
        <v>0.929169871006304</v>
      </c>
    </row>
    <row r="369" spans="1:7">
      <c r="A369" t="s">
        <v>137</v>
      </c>
      <c r="B369">
        <v>1</v>
      </c>
      <c r="C369">
        <v>2.56269691310476</v>
      </c>
      <c r="D369">
        <v>3.558427169538281</v>
      </c>
      <c r="E369">
        <v>6.113906635421308</v>
      </c>
      <c r="F369">
        <v>2208.771929824562</v>
      </c>
      <c r="G369">
        <v>0.9288941451010142</v>
      </c>
    </row>
    <row r="370" spans="1:7">
      <c r="A370" t="s">
        <v>137</v>
      </c>
      <c r="B370">
        <v>1</v>
      </c>
      <c r="C370">
        <v>2.569391969376107</v>
      </c>
      <c r="D370">
        <v>3.564645231311898</v>
      </c>
      <c r="E370">
        <v>6.13775132383108</v>
      </c>
      <c r="F370">
        <v>2212.631578947368</v>
      </c>
      <c r="G370">
        <v>0.9286143395764809</v>
      </c>
    </row>
    <row r="371" spans="1:7">
      <c r="A371" t="s">
        <v>137</v>
      </c>
      <c r="B371">
        <v>1</v>
      </c>
      <c r="C371">
        <v>2.5760890579907</v>
      </c>
      <c r="D371">
        <v>3.570863293085516</v>
      </c>
      <c r="E371">
        <v>6.161644893463248</v>
      </c>
      <c r="F371">
        <v>2216.491228070176</v>
      </c>
      <c r="G371">
        <v>0.9283304544327018</v>
      </c>
    </row>
    <row r="372" spans="1:7">
      <c r="A372" t="s">
        <v>137</v>
      </c>
      <c r="B372">
        <v>1</v>
      </c>
      <c r="C372">
        <v>2.582788209627224</v>
      </c>
      <c r="D372">
        <v>3.577081354859132</v>
      </c>
      <c r="E372">
        <v>6.185587479237147</v>
      </c>
      <c r="F372">
        <v>2220.350877192982</v>
      </c>
      <c r="G372">
        <v>0.9280424896696783</v>
      </c>
    </row>
    <row r="373" spans="1:7">
      <c r="A373" t="s">
        <v>137</v>
      </c>
      <c r="B373">
        <v>1</v>
      </c>
      <c r="C373">
        <v>2.58948945501994</v>
      </c>
      <c r="D373">
        <v>3.58329941663275</v>
      </c>
      <c r="E373">
        <v>6.209579216843359</v>
      </c>
      <c r="F373">
        <v>2224.210526315789</v>
      </c>
      <c r="G373">
        <v>0.9277504452874097</v>
      </c>
    </row>
    <row r="374" spans="1:7">
      <c r="A374" t="s">
        <v>137</v>
      </c>
      <c r="B374">
        <v>1</v>
      </c>
      <c r="C374">
        <v>2.596192824959556</v>
      </c>
      <c r="D374">
        <v>3.589517478406367</v>
      </c>
      <c r="E374">
        <v>6.233620242748244</v>
      </c>
      <c r="F374">
        <v>2228.070175438596</v>
      </c>
      <c r="G374">
        <v>0.9274543212858962</v>
      </c>
    </row>
    <row r="375" spans="1:7">
      <c r="A375" t="s">
        <v>137</v>
      </c>
      <c r="B375">
        <v>1</v>
      </c>
      <c r="C375">
        <v>2.60289835029412</v>
      </c>
      <c r="D375">
        <v>3.595735540179985</v>
      </c>
      <c r="E375">
        <v>6.257710694198527</v>
      </c>
      <c r="F375">
        <v>2231.929824561404</v>
      </c>
      <c r="G375">
        <v>0.9271541176651383</v>
      </c>
    </row>
    <row r="376" spans="1:7">
      <c r="A376" t="s">
        <v>137</v>
      </c>
      <c r="B376">
        <v>1</v>
      </c>
      <c r="C376">
        <v>2.609606061929898</v>
      </c>
      <c r="D376">
        <v>3.601953601953602</v>
      </c>
      <c r="E376">
        <v>6.281850709225914</v>
      </c>
      <c r="F376">
        <v>2235.78947368421</v>
      </c>
      <c r="G376">
        <v>0.9268498344251354</v>
      </c>
    </row>
    <row r="377" spans="1:7">
      <c r="A377" t="s">
        <v>137</v>
      </c>
      <c r="B377">
        <v>1</v>
      </c>
      <c r="C377">
        <v>2.616315990832276</v>
      </c>
      <c r="D377">
        <v>3.608171663727219</v>
      </c>
      <c r="E377">
        <v>6.30604042665176</v>
      </c>
      <c r="F377">
        <v>2239.649122807018</v>
      </c>
      <c r="G377">
        <v>0.9265414715658877</v>
      </c>
    </row>
    <row r="378" spans="1:7">
      <c r="A378" t="s">
        <v>137</v>
      </c>
      <c r="B378">
        <v>1</v>
      </c>
      <c r="C378">
        <v>2.623028168026649</v>
      </c>
      <c r="D378">
        <v>3.614389725500837</v>
      </c>
      <c r="E378">
        <v>6.330279986091769</v>
      </c>
      <c r="F378">
        <v>2243.508771929825</v>
      </c>
      <c r="G378">
        <v>0.9262290290873949</v>
      </c>
    </row>
    <row r="379" spans="1:7">
      <c r="A379" t="s">
        <v>137</v>
      </c>
      <c r="B379">
        <v>1</v>
      </c>
      <c r="C379">
        <v>2.629742624599322</v>
      </c>
      <c r="D379">
        <v>3.620607787274454</v>
      </c>
      <c r="E379">
        <v>6.354569527960747</v>
      </c>
      <c r="F379">
        <v>2247.368421052632</v>
      </c>
      <c r="G379">
        <v>0.9259125069896572</v>
      </c>
    </row>
    <row r="380" spans="1:7">
      <c r="A380" t="s">
        <v>137</v>
      </c>
      <c r="B380">
        <v>1</v>
      </c>
      <c r="C380">
        <v>2.636459391698417</v>
      </c>
      <c r="D380">
        <v>3.626825849048071</v>
      </c>
      <c r="E380">
        <v>6.378909193477393</v>
      </c>
      <c r="F380">
        <v>2251.228070175438</v>
      </c>
      <c r="G380">
        <v>0.925591905272675</v>
      </c>
    </row>
    <row r="381" spans="1:7">
      <c r="A381" t="s">
        <v>137</v>
      </c>
      <c r="B381">
        <v>1</v>
      </c>
      <c r="C381">
        <v>2.643178500534779</v>
      </c>
      <c r="D381">
        <v>3.633043910821689</v>
      </c>
      <c r="E381">
        <v>6.403299124669132</v>
      </c>
      <c r="F381">
        <v>2255.087719298246</v>
      </c>
      <c r="G381">
        <v>0.9252672239364472</v>
      </c>
    </row>
    <row r="382" spans="1:7">
      <c r="A382" t="s">
        <v>137</v>
      </c>
      <c r="B382">
        <v>1</v>
      </c>
      <c r="C382">
        <v>2.649899982382888</v>
      </c>
      <c r="D382">
        <v>3.639261972595306</v>
      </c>
      <c r="E382">
        <v>6.427739464376993</v>
      </c>
      <c r="F382">
        <v>2258.947368421052</v>
      </c>
      <c r="G382">
        <v>0.9249384629809752</v>
      </c>
    </row>
    <row r="383" spans="1:7">
      <c r="A383" t="s">
        <v>137</v>
      </c>
      <c r="B383">
        <v>1</v>
      </c>
      <c r="C383">
        <v>2.65662386858178</v>
      </c>
      <c r="D383">
        <v>3.645480034368923</v>
      </c>
      <c r="E383">
        <v>6.452230356260536</v>
      </c>
      <c r="F383">
        <v>2262.80701754386</v>
      </c>
      <c r="G383">
        <v>0.9246056224062583</v>
      </c>
    </row>
    <row r="384" spans="1:7">
      <c r="A384" t="s">
        <v>137</v>
      </c>
      <c r="B384">
        <v>1</v>
      </c>
      <c r="C384">
        <v>2.663350190535965</v>
      </c>
      <c r="D384">
        <v>3.651698096142541</v>
      </c>
      <c r="E384">
        <v>6.476771944802818</v>
      </c>
      <c r="F384">
        <v>2266.666666666667</v>
      </c>
      <c r="G384">
        <v>0.9242687022122963</v>
      </c>
    </row>
    <row r="385" spans="1:7">
      <c r="A385" t="s">
        <v>137</v>
      </c>
      <c r="B385">
        <v>1</v>
      </c>
      <c r="C385">
        <v>2.670078979716354</v>
      </c>
      <c r="D385">
        <v>3.657916157916158</v>
      </c>
      <c r="E385">
        <v>6.50136437531541</v>
      </c>
      <c r="F385">
        <v>2270.526315789474</v>
      </c>
      <c r="G385">
        <v>0.9239277023990899</v>
      </c>
    </row>
    <row r="386" spans="1:7">
      <c r="A386" t="s">
        <v>137</v>
      </c>
      <c r="B386">
        <v>1</v>
      </c>
      <c r="C386">
        <v>2.67681026766119</v>
      </c>
      <c r="D386">
        <v>3.664134219689775</v>
      </c>
      <c r="E386">
        <v>6.526007793943448</v>
      </c>
      <c r="F386">
        <v>2274.385964912281</v>
      </c>
      <c r="G386">
        <v>0.9235826229666384</v>
      </c>
    </row>
    <row r="387" spans="1:7">
      <c r="A387" t="s">
        <v>137</v>
      </c>
      <c r="B387">
        <v>1</v>
      </c>
      <c r="C387">
        <v>2.683544085976985</v>
      </c>
      <c r="D387">
        <v>3.670352281463392</v>
      </c>
      <c r="E387">
        <v>6.550702347670748</v>
      </c>
      <c r="F387">
        <v>2278.245614035088</v>
      </c>
      <c r="G387">
        <v>0.9232334639149418</v>
      </c>
    </row>
    <row r="388" spans="1:7">
      <c r="A388" t="s">
        <v>137</v>
      </c>
      <c r="B388">
        <v>1</v>
      </c>
      <c r="C388">
        <v>2.690280466339457</v>
      </c>
      <c r="D388">
        <v>3.67657034323701</v>
      </c>
      <c r="E388">
        <v>6.575448184324955</v>
      </c>
      <c r="F388">
        <v>2282.105263157895</v>
      </c>
      <c r="G388">
        <v>0.9228802252440007</v>
      </c>
    </row>
    <row r="389" spans="1:7">
      <c r="A389" t="s">
        <v>137</v>
      </c>
      <c r="B389">
        <v>1</v>
      </c>
      <c r="C389">
        <v>2.69701944049448</v>
      </c>
      <c r="D389">
        <v>3.682788405010627</v>
      </c>
      <c r="E389">
        <v>6.600245452582738</v>
      </c>
      <c r="F389">
        <v>2285.964912280702</v>
      </c>
      <c r="G389">
        <v>0.9225229069538148</v>
      </c>
    </row>
    <row r="390" spans="1:7">
      <c r="A390" t="s">
        <v>137</v>
      </c>
      <c r="B390">
        <v>1</v>
      </c>
      <c r="C390">
        <v>2.703761040259027</v>
      </c>
      <c r="D390">
        <v>3.689006466784245</v>
      </c>
      <c r="E390">
        <v>6.625094301975038</v>
      </c>
      <c r="F390">
        <v>2289.824561403509</v>
      </c>
      <c r="G390">
        <v>0.9221615090443834</v>
      </c>
    </row>
    <row r="391" spans="1:7">
      <c r="A391" t="s">
        <v>137</v>
      </c>
      <c r="B391">
        <v>1</v>
      </c>
      <c r="C391">
        <v>2.710505297522132</v>
      </c>
      <c r="D391">
        <v>3.695224528557862</v>
      </c>
      <c r="E391">
        <v>6.649994882892365</v>
      </c>
      <c r="F391">
        <v>2293.684210526316</v>
      </c>
      <c r="G391">
        <v>0.9217960315157074</v>
      </c>
    </row>
    <row r="392" spans="1:7">
      <c r="A392" t="s">
        <v>137</v>
      </c>
      <c r="B392">
        <v>1</v>
      </c>
      <c r="C392">
        <v>2.717252244245846</v>
      </c>
      <c r="D392">
        <v>3.701442590331479</v>
      </c>
      <c r="E392">
        <v>6.674947346590139</v>
      </c>
      <c r="F392">
        <v>2297.543859649123</v>
      </c>
      <c r="G392">
        <v>0.9214264743677872</v>
      </c>
    </row>
    <row r="393" spans="1:7">
      <c r="A393" t="s">
        <v>137</v>
      </c>
      <c r="B393">
        <v>1</v>
      </c>
      <c r="C393">
        <v>2.724001912466202</v>
      </c>
      <c r="D393">
        <v>3.707660652105097</v>
      </c>
      <c r="E393">
        <v>6.699951845194082</v>
      </c>
      <c r="F393">
        <v>2301.40350877193</v>
      </c>
      <c r="G393">
        <v>0.9210528376006213</v>
      </c>
    </row>
    <row r="394" spans="1:7">
      <c r="A394" t="s">
        <v>137</v>
      </c>
      <c r="B394">
        <v>1</v>
      </c>
      <c r="C394">
        <v>2.730754334294186</v>
      </c>
      <c r="D394">
        <v>3.713878713878714</v>
      </c>
      <c r="E394">
        <v>6.725008531705654</v>
      </c>
      <c r="F394">
        <v>2305.263157894737</v>
      </c>
      <c r="G394">
        <v>0.9206751212142111</v>
      </c>
    </row>
    <row r="395" spans="1:7">
      <c r="A395" t="s">
        <v>137</v>
      </c>
      <c r="B395">
        <v>1</v>
      </c>
      <c r="C395">
        <v>2.737509541916717</v>
      </c>
      <c r="D395">
        <v>3.720096775652331</v>
      </c>
      <c r="E395">
        <v>6.750117560007555</v>
      </c>
      <c r="F395">
        <v>2309.122807017544</v>
      </c>
      <c r="G395">
        <v>0.9202933252085556</v>
      </c>
    </row>
    <row r="396" spans="1:7">
      <c r="A396" t="s">
        <v>137</v>
      </c>
      <c r="B396">
        <v>1</v>
      </c>
      <c r="C396">
        <v>2.744267567597618</v>
      </c>
      <c r="D396">
        <v>3.726314837425948</v>
      </c>
      <c r="E396">
        <v>6.775279084869251</v>
      </c>
      <c r="F396">
        <v>2312.982456140351</v>
      </c>
      <c r="G396">
        <v>0.9199074495836557</v>
      </c>
    </row>
    <row r="397" spans="1:7">
      <c r="A397" t="s">
        <v>137</v>
      </c>
      <c r="B397">
        <v>1</v>
      </c>
      <c r="C397">
        <v>2.751028443678614</v>
      </c>
      <c r="D397">
        <v>3.732532899199566</v>
      </c>
      <c r="E397">
        <v>6.800493261952578</v>
      </c>
      <c r="F397">
        <v>2316.842105263157</v>
      </c>
      <c r="G397">
        <v>0.9195174943395107</v>
      </c>
    </row>
    <row r="398" spans="1:7">
      <c r="A398" t="s">
        <v>137</v>
      </c>
      <c r="B398">
        <v>1</v>
      </c>
      <c r="C398">
        <v>2.757792202580312</v>
      </c>
      <c r="D398">
        <v>3.738750960973183</v>
      </c>
      <c r="E398">
        <v>6.825760247817378</v>
      </c>
      <c r="F398">
        <v>2320.701754385965</v>
      </c>
      <c r="G398">
        <v>0.919123459476121</v>
      </c>
    </row>
    <row r="399" spans="1:7">
      <c r="A399" t="s">
        <v>137</v>
      </c>
      <c r="B399">
        <v>1</v>
      </c>
      <c r="C399">
        <v>2.764558876803211</v>
      </c>
      <c r="D399">
        <v>3.744969022746801</v>
      </c>
      <c r="E399">
        <v>6.851080199927196</v>
      </c>
      <c r="F399">
        <v>2324.561403508772</v>
      </c>
      <c r="G399">
        <v>0.9187253449934861</v>
      </c>
    </row>
    <row r="400" spans="1:7">
      <c r="A400" t="s">
        <v>137</v>
      </c>
      <c r="B400">
        <v>1</v>
      </c>
      <c r="C400">
        <v>2.771328498928694</v>
      </c>
      <c r="D400">
        <v>3.751187084520418</v>
      </c>
      <c r="E400">
        <v>6.876453276655028</v>
      </c>
      <c r="F400">
        <v>2328.421052631579</v>
      </c>
      <c r="G400">
        <v>0.9183231508916067</v>
      </c>
    </row>
    <row r="401" spans="1:7">
      <c r="A401" t="s">
        <v>137</v>
      </c>
      <c r="B401">
        <v>1</v>
      </c>
      <c r="C401">
        <v>2.778101101620045</v>
      </c>
      <c r="D401">
        <v>3.757405146294035</v>
      </c>
      <c r="E401">
        <v>6.901879637289117</v>
      </c>
      <c r="F401">
        <v>2332.280701754386</v>
      </c>
      <c r="G401">
        <v>0.9179168771704824</v>
      </c>
    </row>
    <row r="402" spans="1:7">
      <c r="A402" t="s">
        <v>137</v>
      </c>
      <c r="B402">
        <v>1</v>
      </c>
      <c r="C402">
        <v>2.784876717623459</v>
      </c>
      <c r="D402">
        <v>3.763623208067652</v>
      </c>
      <c r="E402">
        <v>6.927359442038813</v>
      </c>
      <c r="F402">
        <v>2336.140350877193</v>
      </c>
      <c r="G402">
        <v>0.9175065238301131</v>
      </c>
    </row>
    <row r="403" spans="1:7">
      <c r="A403" t="s">
        <v>137</v>
      </c>
      <c r="B403">
        <v>1</v>
      </c>
      <c r="C403">
        <v>2.791655379769064</v>
      </c>
      <c r="D403">
        <v>3.76984126984127</v>
      </c>
      <c r="E403">
        <v>6.95289285204047</v>
      </c>
      <c r="F403">
        <v>2340</v>
      </c>
      <c r="G403">
        <v>0.917092090870499</v>
      </c>
    </row>
    <row r="404" spans="1:7">
      <c r="A404" t="s">
        <v>138</v>
      </c>
      <c r="B404">
        <v>1</v>
      </c>
      <c r="C404">
        <v>2.824988713102397</v>
      </c>
      <c r="D404">
        <v>3.764998454586535</v>
      </c>
      <c r="E404">
        <v>7.078473512890332</v>
      </c>
      <c r="F404">
        <v>0</v>
      </c>
      <c r="G404">
        <v>-0.1452778499085874</v>
      </c>
    </row>
    <row r="405" spans="1:7">
      <c r="A405" t="s">
        <v>138</v>
      </c>
      <c r="B405">
        <v>1</v>
      </c>
      <c r="C405">
        <v>2.858322046435731</v>
      </c>
      <c r="D405">
        <v>3.76015607964524</v>
      </c>
      <c r="E405">
        <v>7.203892753905278</v>
      </c>
      <c r="F405">
        <v>0</v>
      </c>
      <c r="G405">
        <v>-0.145264649600487</v>
      </c>
    </row>
    <row r="406" spans="1:7">
      <c r="A406" t="s">
        <v>138</v>
      </c>
      <c r="B406">
        <v>1</v>
      </c>
      <c r="C406">
        <v>2.891655379769064</v>
      </c>
      <c r="D406">
        <v>3.755314144411115</v>
      </c>
      <c r="E406">
        <v>7.329150589752317</v>
      </c>
      <c r="F406">
        <v>0</v>
      </c>
      <c r="G406">
        <v>-0.1452514674772929</v>
      </c>
    </row>
    <row r="407" spans="1:7">
      <c r="A407" t="s">
        <v>138</v>
      </c>
      <c r="B407">
        <v>1</v>
      </c>
      <c r="C407">
        <v>2.924988713102397</v>
      </c>
      <c r="D407">
        <v>3.750472648278102</v>
      </c>
      <c r="E407">
        <v>7.454247035078253</v>
      </c>
      <c r="F407">
        <v>0</v>
      </c>
      <c r="G407">
        <v>-0.1452383035327309</v>
      </c>
    </row>
    <row r="408" spans="1:7">
      <c r="A408" t="s">
        <v>138</v>
      </c>
      <c r="B408">
        <v>1</v>
      </c>
      <c r="C408">
        <v>2.958322046435731</v>
      </c>
      <c r="D408">
        <v>3.745631590640351</v>
      </c>
      <c r="E408">
        <v>7.579182104509693</v>
      </c>
      <c r="F408">
        <v>0</v>
      </c>
      <c r="G408">
        <v>-0.1452251577605361</v>
      </c>
    </row>
    <row r="409" spans="1:7">
      <c r="A409" t="s">
        <v>138</v>
      </c>
      <c r="B409">
        <v>1</v>
      </c>
      <c r="C409">
        <v>2.991655379769064</v>
      </c>
      <c r="D409">
        <v>3.74079097089222</v>
      </c>
      <c r="E409">
        <v>7.70395581265305</v>
      </c>
      <c r="F409">
        <v>0</v>
      </c>
      <c r="G409">
        <v>-0.1452120301544533</v>
      </c>
    </row>
    <row r="410" spans="1:7">
      <c r="A410" t="s">
        <v>138</v>
      </c>
      <c r="B410">
        <v>1</v>
      </c>
      <c r="C410">
        <v>3.024988713102398</v>
      </c>
      <c r="D410">
        <v>3.735950788428278</v>
      </c>
      <c r="E410">
        <v>7.828568174094555</v>
      </c>
      <c r="F410">
        <v>0</v>
      </c>
      <c r="G410">
        <v>-0.1451989207082367</v>
      </c>
    </row>
    <row r="411" spans="1:7">
      <c r="A411" t="s">
        <v>138</v>
      </c>
      <c r="B411">
        <v>1</v>
      </c>
      <c r="C411">
        <v>3.058322046435731</v>
      </c>
      <c r="D411">
        <v>3.731111042643298</v>
      </c>
      <c r="E411">
        <v>7.953019203400257</v>
      </c>
      <c r="F411">
        <v>0</v>
      </c>
      <c r="G411">
        <v>-0.1451858294156498</v>
      </c>
    </row>
    <row r="412" spans="1:7">
      <c r="A412" t="s">
        <v>138</v>
      </c>
      <c r="B412">
        <v>1</v>
      </c>
      <c r="C412">
        <v>3.091655379769064</v>
      </c>
      <c r="D412">
        <v>3.726271732932263</v>
      </c>
      <c r="E412">
        <v>8.07730891511604</v>
      </c>
      <c r="F412">
        <v>0</v>
      </c>
      <c r="G412">
        <v>-0.1451727562704658</v>
      </c>
    </row>
    <row r="413" spans="1:7">
      <c r="A413" t="s">
        <v>138</v>
      </c>
      <c r="B413">
        <v>1</v>
      </c>
      <c r="C413">
        <v>3.124988713102398</v>
      </c>
      <c r="D413">
        <v>3.721432858690365</v>
      </c>
      <c r="E413">
        <v>8.201437323767621</v>
      </c>
      <c r="F413">
        <v>0</v>
      </c>
      <c r="G413">
        <v>-0.1451597012664674</v>
      </c>
    </row>
    <row r="414" spans="1:7">
      <c r="A414" t="s">
        <v>138</v>
      </c>
      <c r="B414">
        <v>1</v>
      </c>
      <c r="C414">
        <v>3.158322046435731</v>
      </c>
      <c r="D414">
        <v>3.716594419312999</v>
      </c>
      <c r="E414">
        <v>8.32540444386056</v>
      </c>
      <c r="F414">
        <v>0</v>
      </c>
      <c r="G414">
        <v>-0.1451466643974464</v>
      </c>
    </row>
    <row r="415" spans="1:7">
      <c r="A415" t="s">
        <v>138</v>
      </c>
      <c r="B415">
        <v>1</v>
      </c>
      <c r="C415">
        <v>3.191655379769064</v>
      </c>
      <c r="D415">
        <v>3.711756414195771</v>
      </c>
      <c r="E415">
        <v>8.449210289880266</v>
      </c>
      <c r="F415">
        <v>0</v>
      </c>
      <c r="G415">
        <v>-0.1451336456572043</v>
      </c>
    </row>
    <row r="416" spans="1:7">
      <c r="A416" t="s">
        <v>138</v>
      </c>
      <c r="B416">
        <v>1</v>
      </c>
      <c r="C416">
        <v>3.224988713102397</v>
      </c>
      <c r="D416">
        <v>3.70691884273449</v>
      </c>
      <c r="E416">
        <v>8.572854876292009</v>
      </c>
      <c r="F416">
        <v>0</v>
      </c>
      <c r="G416">
        <v>-0.1451206450395521</v>
      </c>
    </row>
    <row r="417" spans="1:7">
      <c r="A417" t="s">
        <v>138</v>
      </c>
      <c r="B417">
        <v>1</v>
      </c>
      <c r="C417">
        <v>3.258322046435731</v>
      </c>
      <c r="D417">
        <v>3.702081704325174</v>
      </c>
      <c r="E417">
        <v>8.696338217540921</v>
      </c>
      <c r="F417">
        <v>0</v>
      </c>
      <c r="G417">
        <v>-0.1451076625383101</v>
      </c>
    </row>
    <row r="418" spans="1:7">
      <c r="A418" t="s">
        <v>138</v>
      </c>
      <c r="B418">
        <v>1</v>
      </c>
      <c r="C418">
        <v>3.291655379769064</v>
      </c>
      <c r="D418">
        <v>3.697244998364045</v>
      </c>
      <c r="E418">
        <v>8.819660328052002</v>
      </c>
      <c r="F418">
        <v>0</v>
      </c>
      <c r="G418">
        <v>-0.1450946981473081</v>
      </c>
    </row>
    <row r="419" spans="1:7">
      <c r="A419" t="s">
        <v>138</v>
      </c>
      <c r="B419">
        <v>1</v>
      </c>
      <c r="C419">
        <v>3.324988713102397</v>
      </c>
      <c r="D419">
        <v>3.692408724247531</v>
      </c>
      <c r="E419">
        <v>8.942821222230132</v>
      </c>
      <c r="F419">
        <v>0</v>
      </c>
      <c r="G419">
        <v>-0.1450817518603852</v>
      </c>
    </row>
    <row r="420" spans="1:7">
      <c r="A420" t="s">
        <v>138</v>
      </c>
      <c r="B420">
        <v>1</v>
      </c>
      <c r="C420">
        <v>3.358322046435731</v>
      </c>
      <c r="D420">
        <v>3.687572881372265</v>
      </c>
      <c r="E420">
        <v>9.065820914460073</v>
      </c>
      <c r="F420">
        <v>0</v>
      </c>
      <c r="G420">
        <v>-0.1450688236713901</v>
      </c>
    </row>
    <row r="421" spans="1:7">
      <c r="A421" t="s">
        <v>138</v>
      </c>
      <c r="B421">
        <v>1</v>
      </c>
      <c r="C421">
        <v>3.391655379769064</v>
      </c>
      <c r="D421">
        <v>3.682737469135085</v>
      </c>
      <c r="E421">
        <v>9.188659419106482</v>
      </c>
      <c r="F421">
        <v>0</v>
      </c>
      <c r="G421">
        <v>-0.1450559135741807</v>
      </c>
    </row>
    <row r="422" spans="1:7">
      <c r="A422" t="s">
        <v>138</v>
      </c>
      <c r="B422">
        <v>1</v>
      </c>
      <c r="C422">
        <v>3.424988713102397</v>
      </c>
      <c r="D422">
        <v>3.677902486933034</v>
      </c>
      <c r="E422">
        <v>9.311336750513913</v>
      </c>
      <c r="F422">
        <v>0</v>
      </c>
      <c r="G422">
        <v>-0.1450430215626244</v>
      </c>
    </row>
    <row r="423" spans="1:7">
      <c r="A423" t="s">
        <v>138</v>
      </c>
      <c r="B423">
        <v>1</v>
      </c>
      <c r="C423">
        <v>3.458322046435731</v>
      </c>
      <c r="D423">
        <v>3.673067934163359</v>
      </c>
      <c r="E423">
        <v>9.433852923006823</v>
      </c>
      <c r="F423">
        <v>0</v>
      </c>
      <c r="G423">
        <v>-0.1450301476305981</v>
      </c>
    </row>
    <row r="424" spans="1:7">
      <c r="A424" t="s">
        <v>138</v>
      </c>
      <c r="B424">
        <v>1</v>
      </c>
      <c r="C424">
        <v>3.491655379769064</v>
      </c>
      <c r="D424">
        <v>3.668233810223511</v>
      </c>
      <c r="E424">
        <v>9.556207950889579</v>
      </c>
      <c r="F424">
        <v>0</v>
      </c>
      <c r="G424">
        <v>-0.1450172917719879</v>
      </c>
    </row>
    <row r="425" spans="1:7">
      <c r="A425" t="s">
        <v>138</v>
      </c>
      <c r="B425">
        <v>1</v>
      </c>
      <c r="C425">
        <v>3.524988713102398</v>
      </c>
      <c r="D425">
        <v>3.663400114511146</v>
      </c>
      <c r="E425">
        <v>9.678401848446473</v>
      </c>
      <c r="F425">
        <v>0</v>
      </c>
      <c r="G425">
        <v>-0.1450044539806893</v>
      </c>
    </row>
    <row r="426" spans="1:7">
      <c r="A426" t="s">
        <v>138</v>
      </c>
      <c r="B426">
        <v>1</v>
      </c>
      <c r="C426">
        <v>3.558322046435731</v>
      </c>
      <c r="D426">
        <v>3.658566846424118</v>
      </c>
      <c r="E426">
        <v>9.800434629941716</v>
      </c>
      <c r="F426">
        <v>0</v>
      </c>
      <c r="G426">
        <v>-0.1449916342506074</v>
      </c>
    </row>
    <row r="427" spans="1:7">
      <c r="A427" t="s">
        <v>138</v>
      </c>
      <c r="B427">
        <v>1</v>
      </c>
      <c r="C427">
        <v>3.591655379769064</v>
      </c>
      <c r="D427">
        <v>3.653734005360492</v>
      </c>
      <c r="E427">
        <v>9.922306309619453</v>
      </c>
      <c r="F427">
        <v>0</v>
      </c>
      <c r="G427">
        <v>-0.1449788325756565</v>
      </c>
    </row>
    <row r="428" spans="1:7">
      <c r="A428" t="s">
        <v>138</v>
      </c>
      <c r="B428">
        <v>1</v>
      </c>
      <c r="C428">
        <v>3.624988713102398</v>
      </c>
      <c r="D428">
        <v>3.64890159071853</v>
      </c>
      <c r="E428">
        <v>10.04401690170377</v>
      </c>
      <c r="F428">
        <v>0</v>
      </c>
      <c r="G428">
        <v>-0.1449660489497602</v>
      </c>
    </row>
    <row r="429" spans="1:7">
      <c r="A429" t="s">
        <v>138</v>
      </c>
      <c r="B429">
        <v>1</v>
      </c>
      <c r="C429">
        <v>3.658322046435731</v>
      </c>
      <c r="D429">
        <v>3.644069601896697</v>
      </c>
      <c r="E429">
        <v>10.16556642039869</v>
      </c>
      <c r="F429">
        <v>0</v>
      </c>
      <c r="G429">
        <v>-0.1449532833668515</v>
      </c>
    </row>
    <row r="430" spans="1:7">
      <c r="A430" t="s">
        <v>138</v>
      </c>
      <c r="B430">
        <v>1</v>
      </c>
      <c r="C430">
        <v>3.691655379769064</v>
      </c>
      <c r="D430">
        <v>3.639238038293663</v>
      </c>
      <c r="E430">
        <v>10.2869548798882</v>
      </c>
      <c r="F430">
        <v>0</v>
      </c>
      <c r="G430">
        <v>-0.1449405358208729</v>
      </c>
    </row>
    <row r="431" spans="1:7">
      <c r="A431" t="s">
        <v>138</v>
      </c>
      <c r="B431">
        <v>1</v>
      </c>
      <c r="C431">
        <v>3.724988713102397</v>
      </c>
      <c r="D431">
        <v>3.634406899308296</v>
      </c>
      <c r="E431">
        <v>10.40818229433624</v>
      </c>
      <c r="F431">
        <v>0</v>
      </c>
      <c r="G431">
        <v>-0.1449278063057761</v>
      </c>
    </row>
    <row r="432" spans="1:7">
      <c r="A432" t="s">
        <v>138</v>
      </c>
      <c r="B432">
        <v>1</v>
      </c>
      <c r="C432">
        <v>3.758322046435731</v>
      </c>
      <c r="D432">
        <v>3.629576184339669</v>
      </c>
      <c r="E432">
        <v>10.52924867788672</v>
      </c>
      <c r="F432">
        <v>0</v>
      </c>
      <c r="G432">
        <v>-0.1449150948155221</v>
      </c>
    </row>
    <row r="433" spans="1:7">
      <c r="A433" t="s">
        <v>138</v>
      </c>
      <c r="B433">
        <v>1</v>
      </c>
      <c r="C433">
        <v>3.791655379769064</v>
      </c>
      <c r="D433">
        <v>3.624745892787052</v>
      </c>
      <c r="E433">
        <v>10.65015404466351</v>
      </c>
      <c r="F433">
        <v>0</v>
      </c>
      <c r="G433">
        <v>-0.1449024013440813</v>
      </c>
    </row>
    <row r="434" spans="1:7">
      <c r="A434" t="s">
        <v>137</v>
      </c>
      <c r="B434">
        <v>2</v>
      </c>
      <c r="C434">
        <v>3.798310720910578</v>
      </c>
      <c r="D434">
        <v>3.631029575889954</v>
      </c>
      <c r="E434">
        <v>10.67429887078663</v>
      </c>
      <c r="F434">
        <v>1385.63252592815</v>
      </c>
      <c r="G434">
        <v>0.9443538774038176</v>
      </c>
    </row>
    <row r="435" spans="1:7">
      <c r="A435" t="s">
        <v>137</v>
      </c>
      <c r="B435">
        <v>2</v>
      </c>
      <c r="C435">
        <v>3.804963286205127</v>
      </c>
      <c r="D435">
        <v>3.637313258992855</v>
      </c>
      <c r="E435">
        <v>10.69847542908348</v>
      </c>
      <c r="F435">
        <v>1388.030434154462</v>
      </c>
      <c r="G435">
        <v>0.9447469721983021</v>
      </c>
    </row>
    <row r="436" spans="1:7">
      <c r="A436" t="s">
        <v>137</v>
      </c>
      <c r="B436">
        <v>2</v>
      </c>
      <c r="C436">
        <v>3.811613090116299</v>
      </c>
      <c r="D436">
        <v>3.643596942095757</v>
      </c>
      <c r="E436">
        <v>10.72268373732296</v>
      </c>
      <c r="F436">
        <v>1390.428342380773</v>
      </c>
      <c r="G436">
        <v>0.9451383406055816</v>
      </c>
    </row>
    <row r="437" spans="1:7">
      <c r="A437" t="s">
        <v>137</v>
      </c>
      <c r="B437">
        <v>2</v>
      </c>
      <c r="C437">
        <v>3.818260147074549</v>
      </c>
      <c r="D437">
        <v>3.649880625198659</v>
      </c>
      <c r="E437">
        <v>10.7469238134258</v>
      </c>
      <c r="F437">
        <v>1392.826250607084</v>
      </c>
      <c r="G437">
        <v>0.9455279826256557</v>
      </c>
    </row>
    <row r="438" spans="1:7">
      <c r="A438" t="s">
        <v>137</v>
      </c>
      <c r="B438">
        <v>2</v>
      </c>
      <c r="C438">
        <v>3.824904471477414</v>
      </c>
      <c r="D438">
        <v>3.656164308301561</v>
      </c>
      <c r="E438">
        <v>10.77119567546451</v>
      </c>
      <c r="F438">
        <v>1395.224158833395</v>
      </c>
      <c r="G438">
        <v>0.9459158982585255</v>
      </c>
    </row>
    <row r="439" spans="1:7">
      <c r="A439" t="s">
        <v>137</v>
      </c>
      <c r="B439">
        <v>2</v>
      </c>
      <c r="C439">
        <v>3.831546077689724</v>
      </c>
      <c r="D439">
        <v>3.662447991404462</v>
      </c>
      <c r="E439">
        <v>10.79549934166333</v>
      </c>
      <c r="F439">
        <v>1397.622067059707</v>
      </c>
      <c r="G439">
        <v>0.9463020875041901</v>
      </c>
    </row>
    <row r="440" spans="1:7">
      <c r="A440" t="s">
        <v>137</v>
      </c>
      <c r="B440">
        <v>2</v>
      </c>
      <c r="C440">
        <v>3.838184980043811</v>
      </c>
      <c r="D440">
        <v>3.668731674507364</v>
      </c>
      <c r="E440">
        <v>10.81983483039815</v>
      </c>
      <c r="F440">
        <v>1400.019975286018</v>
      </c>
      <c r="G440">
        <v>0.9466865503626487</v>
      </c>
    </row>
    <row r="441" spans="1:7">
      <c r="A441" t="s">
        <v>137</v>
      </c>
      <c r="B441">
        <v>2</v>
      </c>
      <c r="C441">
        <v>3.84482119283972</v>
      </c>
      <c r="D441">
        <v>3.675015357610266</v>
      </c>
      <c r="E441">
        <v>10.84420216019652</v>
      </c>
      <c r="F441">
        <v>1402.417883512329</v>
      </c>
      <c r="G441">
        <v>0.9470692868339036</v>
      </c>
    </row>
    <row r="442" spans="1:7">
      <c r="A442" t="s">
        <v>137</v>
      </c>
      <c r="B442">
        <v>2</v>
      </c>
      <c r="C442">
        <v>3.851454730345421</v>
      </c>
      <c r="D442">
        <v>3.681299040713168</v>
      </c>
      <c r="E442">
        <v>10.86860134973755</v>
      </c>
      <c r="F442">
        <v>1404.81579173864</v>
      </c>
      <c r="G442">
        <v>0.947450296917952</v>
      </c>
    </row>
    <row r="443" spans="1:7">
      <c r="A443" t="s">
        <v>137</v>
      </c>
      <c r="B443">
        <v>2</v>
      </c>
      <c r="C443">
        <v>3.85808560679701</v>
      </c>
      <c r="D443">
        <v>3.687582723816069</v>
      </c>
      <c r="E443">
        <v>10.89303241785189</v>
      </c>
      <c r="F443">
        <v>1407.213699964951</v>
      </c>
      <c r="G443">
        <v>0.9478295806147967</v>
      </c>
    </row>
    <row r="444" spans="1:7">
      <c r="A444" t="s">
        <v>137</v>
      </c>
      <c r="B444">
        <v>2</v>
      </c>
      <c r="C444">
        <v>3.864713836398921</v>
      </c>
      <c r="D444">
        <v>3.693866406918971</v>
      </c>
      <c r="E444">
        <v>10.91749538352172</v>
      </c>
      <c r="F444">
        <v>1409.611608191262</v>
      </c>
      <c r="G444">
        <v>0.9482071379244352</v>
      </c>
    </row>
    <row r="445" spans="1:7">
      <c r="A445" t="s">
        <v>137</v>
      </c>
      <c r="B445">
        <v>2</v>
      </c>
      <c r="C445">
        <v>3.871339433324132</v>
      </c>
      <c r="D445">
        <v>3.700150090021872</v>
      </c>
      <c r="E445">
        <v>10.94199026588065</v>
      </c>
      <c r="F445">
        <v>1412.009516417573</v>
      </c>
      <c r="G445">
        <v>0.9485829688468692</v>
      </c>
    </row>
    <row r="446" spans="1:7">
      <c r="A446" t="s">
        <v>137</v>
      </c>
      <c r="B446">
        <v>2</v>
      </c>
      <c r="C446">
        <v>3.877962411714365</v>
      </c>
      <c r="D446">
        <v>3.706433773124774</v>
      </c>
      <c r="E446">
        <v>10.96651708421378</v>
      </c>
      <c r="F446">
        <v>1414.407424643885</v>
      </c>
      <c r="G446">
        <v>0.9489570733820979</v>
      </c>
    </row>
    <row r="447" spans="1:7">
      <c r="A447" t="s">
        <v>137</v>
      </c>
      <c r="B447">
        <v>2</v>
      </c>
      <c r="C447">
        <v>3.884582785680296</v>
      </c>
      <c r="D447">
        <v>3.712717456227676</v>
      </c>
      <c r="E447">
        <v>10.99107585795756</v>
      </c>
      <c r="F447">
        <v>1416.805332870196</v>
      </c>
      <c r="G447">
        <v>0.9493294515301214</v>
      </c>
    </row>
    <row r="448" spans="1:7">
      <c r="A448" t="s">
        <v>137</v>
      </c>
      <c r="B448">
        <v>2</v>
      </c>
      <c r="C448">
        <v>3.891200569301754</v>
      </c>
      <c r="D448">
        <v>3.719001139330578</v>
      </c>
      <c r="E448">
        <v>11.01566660669986</v>
      </c>
      <c r="F448">
        <v>1419.203241096507</v>
      </c>
      <c r="G448">
        <v>0.9497001032909405</v>
      </c>
    </row>
    <row r="449" spans="1:7">
      <c r="A449" t="s">
        <v>137</v>
      </c>
      <c r="B449">
        <v>2</v>
      </c>
      <c r="C449">
        <v>3.897815776627922</v>
      </c>
      <c r="D449">
        <v>3.725284822433479</v>
      </c>
      <c r="E449">
        <v>11.0402893501799</v>
      </c>
      <c r="F449">
        <v>1421.601149322818</v>
      </c>
      <c r="G449">
        <v>0.9500690286645537</v>
      </c>
    </row>
    <row r="450" spans="1:7">
      <c r="A450" t="s">
        <v>137</v>
      </c>
      <c r="B450">
        <v>2</v>
      </c>
      <c r="C450">
        <v>3.904428421677542</v>
      </c>
      <c r="D450">
        <v>3.731568505536381</v>
      </c>
      <c r="E450">
        <v>11.06494410828824</v>
      </c>
      <c r="F450">
        <v>1423.999057549129</v>
      </c>
      <c r="G450">
        <v>0.9504362276509624</v>
      </c>
    </row>
    <row r="451" spans="1:7">
      <c r="A451" t="s">
        <v>137</v>
      </c>
      <c r="B451">
        <v>2</v>
      </c>
      <c r="C451">
        <v>3.91103851843911</v>
      </c>
      <c r="D451">
        <v>3.737852188639283</v>
      </c>
      <c r="E451">
        <v>11.08963090106674</v>
      </c>
      <c r="F451">
        <v>1426.396965775441</v>
      </c>
      <c r="G451">
        <v>0.9508017002501659</v>
      </c>
    </row>
    <row r="452" spans="1:7">
      <c r="A452" t="s">
        <v>137</v>
      </c>
      <c r="B452">
        <v>2</v>
      </c>
      <c r="C452">
        <v>3.917646080871083</v>
      </c>
      <c r="D452">
        <v>3.744135871742184</v>
      </c>
      <c r="E452">
        <v>11.11434974870858</v>
      </c>
      <c r="F452">
        <v>1428.794874001751</v>
      </c>
      <c r="G452">
        <v>0.9511654464621641</v>
      </c>
    </row>
    <row r="453" spans="1:7">
      <c r="A453" t="s">
        <v>137</v>
      </c>
      <c r="B453">
        <v>2</v>
      </c>
      <c r="C453">
        <v>3.924251122902066</v>
      </c>
      <c r="D453">
        <v>3.750419554845086</v>
      </c>
      <c r="E453">
        <v>11.13910067155823</v>
      </c>
      <c r="F453">
        <v>1431.192782228063</v>
      </c>
      <c r="G453">
        <v>0.9515274662869574</v>
      </c>
    </row>
    <row r="454" spans="1:7">
      <c r="A454" t="s">
        <v>137</v>
      </c>
      <c r="B454">
        <v>2</v>
      </c>
      <c r="C454">
        <v>3.930853658431019</v>
      </c>
      <c r="D454">
        <v>3.756703237947988</v>
      </c>
      <c r="E454">
        <v>11.16388369011143</v>
      </c>
      <c r="F454">
        <v>1433.590690454374</v>
      </c>
      <c r="G454">
        <v>0.9518877597245456</v>
      </c>
    </row>
    <row r="455" spans="1:7">
      <c r="A455" t="s">
        <v>137</v>
      </c>
      <c r="B455">
        <v>2</v>
      </c>
      <c r="C455">
        <v>3.937453701327448</v>
      </c>
      <c r="D455">
        <v>3.762986921050889</v>
      </c>
      <c r="E455">
        <v>11.18869882501521</v>
      </c>
      <c r="F455">
        <v>1435.988598680685</v>
      </c>
      <c r="G455">
        <v>0.9522463267749286</v>
      </c>
    </row>
    <row r="456" spans="1:7">
      <c r="A456" t="s">
        <v>137</v>
      </c>
      <c r="B456">
        <v>2</v>
      </c>
      <c r="C456">
        <v>3.944051265431602</v>
      </c>
      <c r="D456">
        <v>3.769270604153791</v>
      </c>
      <c r="E456">
        <v>11.21354609706785</v>
      </c>
      <c r="F456">
        <v>1438.386506906996</v>
      </c>
      <c r="G456">
        <v>0.9526031674381069</v>
      </c>
    </row>
    <row r="457" spans="1:7">
      <c r="A457" t="s">
        <v>137</v>
      </c>
      <c r="B457">
        <v>2</v>
      </c>
      <c r="C457">
        <v>3.950646364554669</v>
      </c>
      <c r="D457">
        <v>3.775554287256693</v>
      </c>
      <c r="E457">
        <v>11.23842552721892</v>
      </c>
      <c r="F457">
        <v>1440.784415133307</v>
      </c>
      <c r="G457">
        <v>0.9529582817140798</v>
      </c>
    </row>
    <row r="458" spans="1:7">
      <c r="A458" t="s">
        <v>137</v>
      </c>
      <c r="B458">
        <v>2</v>
      </c>
      <c r="C458">
        <v>3.957239012478966</v>
      </c>
      <c r="D458">
        <v>3.781837970359594</v>
      </c>
      <c r="E458">
        <v>11.26333713656923</v>
      </c>
      <c r="F458">
        <v>1443.182323359619</v>
      </c>
      <c r="G458">
        <v>0.9533116696028477</v>
      </c>
    </row>
    <row r="459" spans="1:7">
      <c r="A459" t="s">
        <v>137</v>
      </c>
      <c r="B459">
        <v>2</v>
      </c>
      <c r="C459">
        <v>3.963829222958134</v>
      </c>
      <c r="D459">
        <v>3.788121653462496</v>
      </c>
      <c r="E459">
        <v>11.28828094637088</v>
      </c>
      <c r="F459">
        <v>1445.58023158593</v>
      </c>
      <c r="G459">
        <v>0.9536633311044105</v>
      </c>
    </row>
    <row r="460" spans="1:7">
      <c r="A460" t="s">
        <v>137</v>
      </c>
      <c r="B460">
        <v>2</v>
      </c>
      <c r="C460">
        <v>3.970417009717332</v>
      </c>
      <c r="D460">
        <v>3.794405336565398</v>
      </c>
      <c r="E460">
        <v>11.31325697802726</v>
      </c>
      <c r="F460">
        <v>1447.978139812241</v>
      </c>
      <c r="G460">
        <v>0.9540132662187684</v>
      </c>
    </row>
    <row r="461" spans="1:7">
      <c r="A461" t="s">
        <v>137</v>
      </c>
      <c r="B461">
        <v>2</v>
      </c>
      <c r="C461">
        <v>3.977002386453422</v>
      </c>
      <c r="D461">
        <v>3.8006890196683</v>
      </c>
      <c r="E461">
        <v>11.33826525309303</v>
      </c>
      <c r="F461">
        <v>1450.376048038552</v>
      </c>
      <c r="G461">
        <v>0.9543614749459212</v>
      </c>
    </row>
    <row r="462" spans="1:7">
      <c r="A462" t="s">
        <v>137</v>
      </c>
      <c r="B462">
        <v>2</v>
      </c>
      <c r="C462">
        <v>3.983585366835166</v>
      </c>
      <c r="D462">
        <v>3.806972702771201</v>
      </c>
      <c r="E462">
        <v>11.36330579327415</v>
      </c>
      <c r="F462">
        <v>1452.773956264864</v>
      </c>
      <c r="G462">
        <v>0.9547079572858685</v>
      </c>
    </row>
    <row r="463" spans="1:7">
      <c r="A463" t="s">
        <v>137</v>
      </c>
      <c r="B463">
        <v>2</v>
      </c>
      <c r="C463">
        <v>3.990165964503409</v>
      </c>
      <c r="D463">
        <v>3.813256385874103</v>
      </c>
      <c r="E463">
        <v>11.38837862042791</v>
      </c>
      <c r="F463">
        <v>1455.171864491175</v>
      </c>
      <c r="G463">
        <v>0.9550527132386114</v>
      </c>
    </row>
    <row r="464" spans="1:7">
      <c r="A464" t="s">
        <v>137</v>
      </c>
      <c r="B464">
        <v>2</v>
      </c>
      <c r="C464">
        <v>3.996744193071273</v>
      </c>
      <c r="D464">
        <v>3.819540068977004</v>
      </c>
      <c r="E464">
        <v>11.41348375656292</v>
      </c>
      <c r="F464">
        <v>1457.569772717486</v>
      </c>
      <c r="G464">
        <v>0.9553957428041486</v>
      </c>
    </row>
    <row r="465" spans="1:7">
      <c r="A465" t="s">
        <v>137</v>
      </c>
      <c r="B465">
        <v>2</v>
      </c>
      <c r="C465">
        <v>4.003320066124342</v>
      </c>
      <c r="D465">
        <v>3.825823752079907</v>
      </c>
      <c r="E465">
        <v>11.43862122383915</v>
      </c>
      <c r="F465">
        <v>1459.967680943797</v>
      </c>
      <c r="G465">
        <v>0.9557370459824811</v>
      </c>
    </row>
    <row r="466" spans="1:7">
      <c r="A466" t="s">
        <v>137</v>
      </c>
      <c r="B466">
        <v>2</v>
      </c>
      <c r="C466">
        <v>4.009893597220846</v>
      </c>
      <c r="D466">
        <v>3.832107435182808</v>
      </c>
      <c r="E466">
        <v>11.46379104456794</v>
      </c>
      <c r="F466">
        <v>1462.365589170108</v>
      </c>
      <c r="G466">
        <v>0.9560766227736083</v>
      </c>
    </row>
    <row r="467" spans="1:7">
      <c r="A467" t="s">
        <v>137</v>
      </c>
      <c r="B467">
        <v>2</v>
      </c>
      <c r="C467">
        <v>4.016464799891853</v>
      </c>
      <c r="D467">
        <v>3.83839111828571</v>
      </c>
      <c r="E467">
        <v>11.48899324121204</v>
      </c>
      <c r="F467">
        <v>1464.763497396419</v>
      </c>
      <c r="G467">
        <v>0.9564144731775307</v>
      </c>
    </row>
    <row r="468" spans="1:7">
      <c r="A468" t="s">
        <v>137</v>
      </c>
      <c r="B468">
        <v>2</v>
      </c>
      <c r="C468">
        <v>4.023033687641449</v>
      </c>
      <c r="D468">
        <v>3.844674801388611</v>
      </c>
      <c r="E468">
        <v>11.51422783638562</v>
      </c>
      <c r="F468">
        <v>1467.16140562273</v>
      </c>
      <c r="G468">
        <v>0.9567505971942477</v>
      </c>
    </row>
    <row r="469" spans="1:7">
      <c r="A469" t="s">
        <v>137</v>
      </c>
      <c r="B469">
        <v>2</v>
      </c>
      <c r="C469">
        <v>4.029600273946925</v>
      </c>
      <c r="D469">
        <v>3.850958484491513</v>
      </c>
      <c r="E469">
        <v>11.53949485285432</v>
      </c>
      <c r="F469">
        <v>1469.559313849042</v>
      </c>
      <c r="G469">
        <v>0.9570849948237597</v>
      </c>
    </row>
    <row r="470" spans="1:7">
      <c r="A470" t="s">
        <v>137</v>
      </c>
      <c r="B470">
        <v>2</v>
      </c>
      <c r="C470">
        <v>4.036164572258957</v>
      </c>
      <c r="D470">
        <v>3.857242167594415</v>
      </c>
      <c r="E470">
        <v>11.56479431353526</v>
      </c>
      <c r="F470">
        <v>1471.957222075353</v>
      </c>
      <c r="G470">
        <v>0.957417666066067</v>
      </c>
    </row>
    <row r="471" spans="1:7">
      <c r="A471" t="s">
        <v>137</v>
      </c>
      <c r="B471">
        <v>2</v>
      </c>
      <c r="C471">
        <v>4.042726596001795</v>
      </c>
      <c r="D471">
        <v>3.863525850697317</v>
      </c>
      <c r="E471">
        <v>11.59012624149712</v>
      </c>
      <c r="F471">
        <v>1474.355130301664</v>
      </c>
      <c r="G471">
        <v>0.9577486109211686</v>
      </c>
    </row>
    <row r="472" spans="1:7">
      <c r="A472" t="s">
        <v>137</v>
      </c>
      <c r="B472">
        <v>2</v>
      </c>
      <c r="C472">
        <v>4.049286358573438</v>
      </c>
      <c r="D472">
        <v>3.869809533800218</v>
      </c>
      <c r="E472">
        <v>11.6154906599601</v>
      </c>
      <c r="F472">
        <v>1476.753038527975</v>
      </c>
      <c r="G472">
        <v>0.9580778293890655</v>
      </c>
    </row>
    <row r="473" spans="1:7">
      <c r="A473" t="s">
        <v>137</v>
      </c>
      <c r="B473">
        <v>2</v>
      </c>
      <c r="C473">
        <v>4.05584387334582</v>
      </c>
      <c r="D473">
        <v>3.87609321690312</v>
      </c>
      <c r="E473">
        <v>11.64088759229607</v>
      </c>
      <c r="F473">
        <v>1479.150946754286</v>
      </c>
      <c r="G473">
        <v>0.9584053214697574</v>
      </c>
    </row>
    <row r="474" spans="1:7">
      <c r="A474" t="s">
        <v>137</v>
      </c>
      <c r="B474">
        <v>2</v>
      </c>
      <c r="C474">
        <v>4.062399153664987</v>
      </c>
      <c r="D474">
        <v>3.882376900006022</v>
      </c>
      <c r="E474">
        <v>11.6663170620285</v>
      </c>
      <c r="F474">
        <v>1481.548854980598</v>
      </c>
      <c r="G474">
        <v>0.9587310871632443</v>
      </c>
    </row>
    <row r="475" spans="1:7">
      <c r="A475" t="s">
        <v>137</v>
      </c>
      <c r="B475">
        <v>2</v>
      </c>
      <c r="C475">
        <v>4.068952212851281</v>
      </c>
      <c r="D475">
        <v>3.888660583108923</v>
      </c>
      <c r="E475">
        <v>11.69177909283261</v>
      </c>
      <c r="F475">
        <v>1483.946763206909</v>
      </c>
      <c r="G475">
        <v>0.959055126469526</v>
      </c>
    </row>
    <row r="476" spans="1:7">
      <c r="A476" t="s">
        <v>137</v>
      </c>
      <c r="B476">
        <v>2</v>
      </c>
      <c r="C476">
        <v>4.075503064199511</v>
      </c>
      <c r="D476">
        <v>3.894944266211825</v>
      </c>
      <c r="E476">
        <v>11.71727370853533</v>
      </c>
      <c r="F476">
        <v>1486.34467143322</v>
      </c>
      <c r="G476">
        <v>0.9593774393886026</v>
      </c>
    </row>
    <row r="477" spans="1:7">
      <c r="A477" t="s">
        <v>137</v>
      </c>
      <c r="B477">
        <v>2</v>
      </c>
      <c r="C477">
        <v>4.08205172097914</v>
      </c>
      <c r="D477">
        <v>3.901227949314727</v>
      </c>
      <c r="E477">
        <v>11.74280093311543</v>
      </c>
      <c r="F477">
        <v>1488.742579659531</v>
      </c>
      <c r="G477">
        <v>0.9596980259204744</v>
      </c>
    </row>
    <row r="478" spans="1:7">
      <c r="A478" t="s">
        <v>137</v>
      </c>
      <c r="B478">
        <v>2</v>
      </c>
      <c r="C478">
        <v>4.088598196434456</v>
      </c>
      <c r="D478">
        <v>3.907511632417628</v>
      </c>
      <c r="E478">
        <v>11.76836079070352</v>
      </c>
      <c r="F478">
        <v>1491.140487885842</v>
      </c>
      <c r="G478">
        <v>0.9600168860651402</v>
      </c>
    </row>
    <row r="479" spans="1:7">
      <c r="A479" t="s">
        <v>137</v>
      </c>
      <c r="B479">
        <v>2</v>
      </c>
      <c r="C479">
        <v>4.09514250378475</v>
      </c>
      <c r="D479">
        <v>3.91379531552053</v>
      </c>
      <c r="E479">
        <v>11.79395330558212</v>
      </c>
      <c r="F479">
        <v>1493.538396112154</v>
      </c>
      <c r="G479">
        <v>0.9603340198226024</v>
      </c>
    </row>
    <row r="480" spans="1:7">
      <c r="A480" t="s">
        <v>137</v>
      </c>
      <c r="B480">
        <v>2</v>
      </c>
      <c r="C480">
        <v>4.101684656224495</v>
      </c>
      <c r="D480">
        <v>3.920078998623432</v>
      </c>
      <c r="E480">
        <v>11.81957850218575</v>
      </c>
      <c r="F480">
        <v>1495.936304338465</v>
      </c>
      <c r="G480">
        <v>0.9606494271928582</v>
      </c>
    </row>
    <row r="481" spans="1:7">
      <c r="A481" t="s">
        <v>137</v>
      </c>
      <c r="B481">
        <v>2</v>
      </c>
      <c r="C481">
        <v>4.108224666923515</v>
      </c>
      <c r="D481">
        <v>3.926362681726333</v>
      </c>
      <c r="E481">
        <v>11.84523640510094</v>
      </c>
      <c r="F481">
        <v>1498.334212564776</v>
      </c>
      <c r="G481">
        <v>0.9609631081759095</v>
      </c>
    </row>
    <row r="482" spans="1:7">
      <c r="A482" t="s">
        <v>137</v>
      </c>
      <c r="B482">
        <v>2</v>
      </c>
      <c r="C482">
        <v>4.114762549027166</v>
      </c>
      <c r="D482">
        <v>3.932646364829235</v>
      </c>
      <c r="E482">
        <v>11.87092703906635</v>
      </c>
      <c r="F482">
        <v>1500.732120791087</v>
      </c>
      <c r="G482">
        <v>0.9612750627717558</v>
      </c>
    </row>
    <row r="483" spans="1:7">
      <c r="A483" t="s">
        <v>137</v>
      </c>
      <c r="B483">
        <v>2</v>
      </c>
      <c r="C483">
        <v>4.121298315656501</v>
      </c>
      <c r="D483">
        <v>3.938930047932137</v>
      </c>
      <c r="E483">
        <v>11.89665042897281</v>
      </c>
      <c r="F483">
        <v>1503.130029017398</v>
      </c>
      <c r="G483">
        <v>0.9615852909803964</v>
      </c>
    </row>
    <row r="484" spans="1:7">
      <c r="A484" t="s">
        <v>137</v>
      </c>
      <c r="B484">
        <v>2</v>
      </c>
      <c r="C484">
        <v>4.127831979908454</v>
      </c>
      <c r="D484">
        <v>3.945213731035039</v>
      </c>
      <c r="E484">
        <v>11.92240659986336</v>
      </c>
      <c r="F484">
        <v>1505.527937243709</v>
      </c>
      <c r="G484">
        <v>0.9618937928018327</v>
      </c>
    </row>
    <row r="485" spans="1:7">
      <c r="A485" t="s">
        <v>137</v>
      </c>
      <c r="B485">
        <v>2</v>
      </c>
      <c r="C485">
        <v>4.134363554856003</v>
      </c>
      <c r="D485">
        <v>3.95149741413794</v>
      </c>
      <c r="E485">
        <v>11.94819557693341</v>
      </c>
      <c r="F485">
        <v>1507.925845470021</v>
      </c>
      <c r="G485">
        <v>0.9622005682360636</v>
      </c>
    </row>
    <row r="486" spans="1:7">
      <c r="A486" t="s">
        <v>137</v>
      </c>
      <c r="B486">
        <v>2</v>
      </c>
      <c r="C486">
        <v>4.140893053548345</v>
      </c>
      <c r="D486">
        <v>3.957781097240842</v>
      </c>
      <c r="E486">
        <v>11.97401738553073</v>
      </c>
      <c r="F486">
        <v>1510.323753696332</v>
      </c>
      <c r="G486">
        <v>0.9625056172830894</v>
      </c>
    </row>
    <row r="487" spans="1:7">
      <c r="A487" t="s">
        <v>137</v>
      </c>
      <c r="B487">
        <v>2</v>
      </c>
      <c r="C487">
        <v>4.147420489011065</v>
      </c>
      <c r="D487">
        <v>3.964064780343743</v>
      </c>
      <c r="E487">
        <v>11.99987205115555</v>
      </c>
      <c r="F487">
        <v>1512.721661922643</v>
      </c>
      <c r="G487">
        <v>0.9628089399429103</v>
      </c>
    </row>
    <row r="488" spans="1:7">
      <c r="A488" t="s">
        <v>137</v>
      </c>
      <c r="B488">
        <v>2</v>
      </c>
      <c r="C488">
        <v>4.153945874246309</v>
      </c>
      <c r="D488">
        <v>3.970348463446645</v>
      </c>
      <c r="E488">
        <v>12.02575959946069</v>
      </c>
      <c r="F488">
        <v>1515.119570148954</v>
      </c>
      <c r="G488">
        <v>0.9631105362155259</v>
      </c>
    </row>
    <row r="489" spans="1:7">
      <c r="A489" t="s">
        <v>137</v>
      </c>
      <c r="B489">
        <v>2</v>
      </c>
      <c r="C489">
        <v>4.160469222232953</v>
      </c>
      <c r="D489">
        <v>3.976632146549547</v>
      </c>
      <c r="E489">
        <v>12.05168005625158</v>
      </c>
      <c r="F489">
        <v>1517.517478375265</v>
      </c>
      <c r="G489">
        <v>0.9634104061009365</v>
      </c>
    </row>
    <row r="490" spans="1:7">
      <c r="A490" t="s">
        <v>137</v>
      </c>
      <c r="B490">
        <v>2</v>
      </c>
      <c r="C490">
        <v>4.166990545926766</v>
      </c>
      <c r="D490">
        <v>3.982915829652449</v>
      </c>
      <c r="E490">
        <v>12.07763344748636</v>
      </c>
      <c r="F490">
        <v>1519.915386601577</v>
      </c>
      <c r="G490">
        <v>0.963708549599142</v>
      </c>
    </row>
    <row r="491" spans="1:7">
      <c r="A491" t="s">
        <v>137</v>
      </c>
      <c r="B491">
        <v>2</v>
      </c>
      <c r="C491">
        <v>4.173509858260586</v>
      </c>
      <c r="D491">
        <v>3.98919951275535</v>
      </c>
      <c r="E491">
        <v>12.10361979927602</v>
      </c>
      <c r="F491">
        <v>1522.313294827888</v>
      </c>
      <c r="G491">
        <v>0.9640049667101427</v>
      </c>
    </row>
    <row r="492" spans="1:7">
      <c r="A492" t="s">
        <v>137</v>
      </c>
      <c r="B492">
        <v>2</v>
      </c>
      <c r="C492">
        <v>4.180027172144483</v>
      </c>
      <c r="D492">
        <v>3.995483195858252</v>
      </c>
      <c r="E492">
        <v>12.12963913788442</v>
      </c>
      <c r="F492">
        <v>1524.711203054199</v>
      </c>
      <c r="G492">
        <v>0.9642996574339378</v>
      </c>
    </row>
    <row r="493" spans="1:7">
      <c r="A493" t="s">
        <v>137</v>
      </c>
      <c r="B493">
        <v>2</v>
      </c>
      <c r="C493">
        <v>4.186542500465923</v>
      </c>
      <c r="D493">
        <v>4.001766878961154</v>
      </c>
      <c r="E493">
        <v>12.15569148972843</v>
      </c>
      <c r="F493">
        <v>1527.10911128051</v>
      </c>
      <c r="G493">
        <v>0.9645926217705283</v>
      </c>
    </row>
    <row r="494" spans="1:7">
      <c r="A494" t="s">
        <v>137</v>
      </c>
      <c r="B494">
        <v>2</v>
      </c>
      <c r="C494">
        <v>4.193055856089943</v>
      </c>
      <c r="D494">
        <v>4.008050562064056</v>
      </c>
      <c r="E494">
        <v>12.18177688137802</v>
      </c>
      <c r="F494">
        <v>1529.507019506821</v>
      </c>
      <c r="G494">
        <v>0.9648838597199136</v>
      </c>
    </row>
    <row r="495" spans="1:7">
      <c r="A495" t="s">
        <v>137</v>
      </c>
      <c r="B495">
        <v>2</v>
      </c>
      <c r="C495">
        <v>4.199567251859306</v>
      </c>
      <c r="D495">
        <v>4.014334245166957</v>
      </c>
      <c r="E495">
        <v>12.20789533955632</v>
      </c>
      <c r="F495">
        <v>1531.904927733132</v>
      </c>
      <c r="G495">
        <v>0.9651733712820938</v>
      </c>
    </row>
    <row r="496" spans="1:7">
      <c r="A496" t="s">
        <v>137</v>
      </c>
      <c r="B496">
        <v>2</v>
      </c>
      <c r="C496">
        <v>4.206076700594672</v>
      </c>
      <c r="D496">
        <v>4.020617928269859</v>
      </c>
      <c r="E496">
        <v>12.2340468911398</v>
      </c>
      <c r="F496">
        <v>1534.302835959444</v>
      </c>
      <c r="G496">
        <v>0.9654611564570686</v>
      </c>
    </row>
    <row r="497" spans="1:7">
      <c r="A497" t="s">
        <v>137</v>
      </c>
      <c r="B497">
        <v>2</v>
      </c>
      <c r="C497">
        <v>4.21258421509476</v>
      </c>
      <c r="D497">
        <v>4.026901611372761</v>
      </c>
      <c r="E497">
        <v>12.2602315631583</v>
      </c>
      <c r="F497">
        <v>1536.700744185755</v>
      </c>
      <c r="G497">
        <v>0.9657472152448388</v>
      </c>
    </row>
    <row r="498" spans="1:7">
      <c r="A498" t="s">
        <v>137</v>
      </c>
      <c r="B498">
        <v>2</v>
      </c>
      <c r="C498">
        <v>4.219089808136512</v>
      </c>
      <c r="D498">
        <v>4.033185294475662</v>
      </c>
      <c r="E498">
        <v>12.28644938279517</v>
      </c>
      <c r="F498">
        <v>1539.098652412066</v>
      </c>
      <c r="G498">
        <v>0.9660315476454037</v>
      </c>
    </row>
    <row r="499" spans="1:7">
      <c r="A499" t="s">
        <v>137</v>
      </c>
      <c r="B499">
        <v>2</v>
      </c>
      <c r="C499">
        <v>4.225593492475255</v>
      </c>
      <c r="D499">
        <v>4.039468977578564</v>
      </c>
      <c r="E499">
        <v>12.31270037738738</v>
      </c>
      <c r="F499">
        <v>1541.496560638377</v>
      </c>
      <c r="G499">
        <v>0.9663141536587638</v>
      </c>
    </row>
    <row r="500" spans="1:7">
      <c r="A500" t="s">
        <v>137</v>
      </c>
      <c r="B500">
        <v>2</v>
      </c>
      <c r="C500">
        <v>4.232095280844863</v>
      </c>
      <c r="D500">
        <v>4.045752660681465</v>
      </c>
      <c r="E500">
        <v>12.33898457442562</v>
      </c>
      <c r="F500">
        <v>1543.894468864688</v>
      </c>
      <c r="G500">
        <v>0.9665950332849185</v>
      </c>
    </row>
    <row r="501" spans="1:7">
      <c r="A501" t="s">
        <v>137</v>
      </c>
      <c r="B501">
        <v>2</v>
      </c>
      <c r="C501">
        <v>4.238595185957921</v>
      </c>
      <c r="D501">
        <v>4.052036343784367</v>
      </c>
      <c r="E501">
        <v>12.36530200155445</v>
      </c>
      <c r="F501">
        <v>1546.292377090999</v>
      </c>
      <c r="G501">
        <v>0.966874186523868</v>
      </c>
    </row>
    <row r="502" spans="1:7">
      <c r="A502" t="s">
        <v>137</v>
      </c>
      <c r="B502">
        <v>2</v>
      </c>
      <c r="C502">
        <v>4.245093220505884</v>
      </c>
      <c r="D502">
        <v>4.058320026887269</v>
      </c>
      <c r="E502">
        <v>12.39165268657236</v>
      </c>
      <c r="F502">
        <v>1548.690285317311</v>
      </c>
      <c r="G502">
        <v>0.9671516133756128</v>
      </c>
    </row>
    <row r="503" spans="1:7">
      <c r="A503" t="s">
        <v>137</v>
      </c>
      <c r="B503">
        <v>2</v>
      </c>
      <c r="C503">
        <v>4.251589397159233</v>
      </c>
      <c r="D503">
        <v>4.064603709990171</v>
      </c>
      <c r="E503">
        <v>12.41803665743192</v>
      </c>
      <c r="F503">
        <v>1551.088193543622</v>
      </c>
      <c r="G503">
        <v>0.9674273138401526</v>
      </c>
    </row>
    <row r="504" spans="1:7">
      <c r="A504" t="s">
        <v>137</v>
      </c>
      <c r="B504">
        <v>2</v>
      </c>
      <c r="C504">
        <v>4.258083728567645</v>
      </c>
      <c r="D504">
        <v>4.070887393093073</v>
      </c>
      <c r="E504">
        <v>12.44445394223992</v>
      </c>
      <c r="F504">
        <v>1553.486101769933</v>
      </c>
      <c r="G504">
        <v>0.9677012879174874</v>
      </c>
    </row>
    <row r="505" spans="1:7">
      <c r="A505" t="s">
        <v>137</v>
      </c>
      <c r="B505">
        <v>2</v>
      </c>
      <c r="C505">
        <v>4.264576227360144</v>
      </c>
      <c r="D505">
        <v>4.077171076195974</v>
      </c>
      <c r="E505">
        <v>12.47090456925747</v>
      </c>
      <c r="F505">
        <v>1555.884009996244</v>
      </c>
      <c r="G505">
        <v>0.9679735356076167</v>
      </c>
    </row>
    <row r="506" spans="1:7">
      <c r="A506" t="s">
        <v>137</v>
      </c>
      <c r="B506">
        <v>2</v>
      </c>
      <c r="C506">
        <v>4.27106690614526</v>
      </c>
      <c r="D506">
        <v>4.083454759298876</v>
      </c>
      <c r="E506">
        <v>12.49738856690014</v>
      </c>
      <c r="F506">
        <v>1558.281918222556</v>
      </c>
      <c r="G506">
        <v>0.9682440569105407</v>
      </c>
    </row>
    <row r="507" spans="1:7">
      <c r="A507" t="s">
        <v>137</v>
      </c>
      <c r="B507">
        <v>2</v>
      </c>
      <c r="C507">
        <v>4.277555777511191</v>
      </c>
      <c r="D507">
        <v>4.089738442401777</v>
      </c>
      <c r="E507">
        <v>12.52390596373807</v>
      </c>
      <c r="F507">
        <v>1560.679826448867</v>
      </c>
      <c r="G507">
        <v>0.9685128518262601</v>
      </c>
    </row>
    <row r="508" spans="1:7">
      <c r="A508" t="s">
        <v>137</v>
      </c>
      <c r="B508">
        <v>2</v>
      </c>
      <c r="C508">
        <v>4.284042854025956</v>
      </c>
      <c r="D508">
        <v>4.096022125504679</v>
      </c>
      <c r="E508">
        <v>12.55045678849615</v>
      </c>
      <c r="F508">
        <v>1563.077734675177</v>
      </c>
      <c r="G508">
        <v>0.9687799203547746</v>
      </c>
    </row>
    <row r="509" spans="1:7">
      <c r="A509" t="s">
        <v>137</v>
      </c>
      <c r="B509">
        <v>2</v>
      </c>
      <c r="C509">
        <v>4.290528148237555</v>
      </c>
      <c r="D509">
        <v>4.102305808607581</v>
      </c>
      <c r="E509">
        <v>12.57704107005408</v>
      </c>
      <c r="F509">
        <v>1565.475642901489</v>
      </c>
      <c r="G509">
        <v>0.9690452624960836</v>
      </c>
    </row>
    <row r="510" spans="1:7">
      <c r="A510" t="s">
        <v>137</v>
      </c>
      <c r="B510">
        <v>2</v>
      </c>
      <c r="C510">
        <v>4.297011672674121</v>
      </c>
      <c r="D510">
        <v>4.108589491710482</v>
      </c>
      <c r="E510">
        <v>12.60365883744659</v>
      </c>
      <c r="F510">
        <v>1567.8735511278</v>
      </c>
      <c r="G510">
        <v>0.9693088782501873</v>
      </c>
    </row>
    <row r="511" spans="1:7">
      <c r="A511" t="s">
        <v>137</v>
      </c>
      <c r="B511">
        <v>2</v>
      </c>
      <c r="C511">
        <v>4.303493439844083</v>
      </c>
      <c r="D511">
        <v>4.114873174813384</v>
      </c>
      <c r="E511">
        <v>12.63031011986352</v>
      </c>
      <c r="F511">
        <v>1570.271459354111</v>
      </c>
      <c r="G511">
        <v>0.9695707676170867</v>
      </c>
    </row>
    <row r="512" spans="1:7">
      <c r="A512" t="s">
        <v>137</v>
      </c>
      <c r="B512">
        <v>2</v>
      </c>
      <c r="C512">
        <v>4.309973462236313</v>
      </c>
      <c r="D512">
        <v>4.121156857916286</v>
      </c>
      <c r="E512">
        <v>12.65699494665</v>
      </c>
      <c r="F512">
        <v>1572.669367580422</v>
      </c>
      <c r="G512">
        <v>0.9698309305967805</v>
      </c>
    </row>
    <row r="513" spans="1:7">
      <c r="A513" t="s">
        <v>137</v>
      </c>
      <c r="B513">
        <v>2</v>
      </c>
      <c r="C513">
        <v>4.316451752320286</v>
      </c>
      <c r="D513">
        <v>4.127440541019188</v>
      </c>
      <c r="E513">
        <v>12.68371334730657</v>
      </c>
      <c r="F513">
        <v>1575.067275806734</v>
      </c>
      <c r="G513">
        <v>0.9700893671892694</v>
      </c>
    </row>
    <row r="514" spans="1:7">
      <c r="A514" t="s">
        <v>137</v>
      </c>
      <c r="B514">
        <v>2</v>
      </c>
      <c r="C514">
        <v>4.322928322546229</v>
      </c>
      <c r="D514">
        <v>4.133724224122089</v>
      </c>
      <c r="E514">
        <v>12.71046535148934</v>
      </c>
      <c r="F514">
        <v>1577.465184033045</v>
      </c>
      <c r="G514">
        <v>0.9703460773945534</v>
      </c>
    </row>
    <row r="515" spans="1:7">
      <c r="A515" t="s">
        <v>137</v>
      </c>
      <c r="B515">
        <v>2</v>
      </c>
      <c r="C515">
        <v>4.329403185345281</v>
      </c>
      <c r="D515">
        <v>4.140007907224991</v>
      </c>
      <c r="E515">
        <v>12.73725098901016</v>
      </c>
      <c r="F515">
        <v>1579.863092259356</v>
      </c>
      <c r="G515">
        <v>0.9706010612126323</v>
      </c>
    </row>
    <row r="516" spans="1:7">
      <c r="A516" t="s">
        <v>137</v>
      </c>
      <c r="B516">
        <v>2</v>
      </c>
      <c r="C516">
        <v>4.335876353129641</v>
      </c>
      <c r="D516">
        <v>4.146291590327893</v>
      </c>
      <c r="E516">
        <v>12.76407028983672</v>
      </c>
      <c r="F516">
        <v>1582.261000485667</v>
      </c>
      <c r="G516">
        <v>0.9708543186435052</v>
      </c>
    </row>
    <row r="517" spans="1:7">
      <c r="A517" t="s">
        <v>137</v>
      </c>
      <c r="B517">
        <v>2</v>
      </c>
      <c r="C517">
        <v>4.342347838292718</v>
      </c>
      <c r="D517">
        <v>4.152575273430794</v>
      </c>
      <c r="E517">
        <v>12.79092328409277</v>
      </c>
      <c r="F517">
        <v>1584.658908711978</v>
      </c>
      <c r="G517">
        <v>0.9711058496871741</v>
      </c>
    </row>
    <row r="518" spans="1:7">
      <c r="A518" t="s">
        <v>137</v>
      </c>
      <c r="B518">
        <v>2</v>
      </c>
      <c r="C518">
        <v>4.348817653209292</v>
      </c>
      <c r="D518">
        <v>4.158858956533696</v>
      </c>
      <c r="E518">
        <v>12.81781000205823</v>
      </c>
      <c r="F518">
        <v>1587.05681693829</v>
      </c>
      <c r="G518">
        <v>0.9713556543436377</v>
      </c>
    </row>
    <row r="519" spans="1:7">
      <c r="A519" t="s">
        <v>137</v>
      </c>
      <c r="B519">
        <v>2</v>
      </c>
      <c r="C519">
        <v>4.355285810235655</v>
      </c>
      <c r="D519">
        <v>4.165142639636597</v>
      </c>
      <c r="E519">
        <v>12.84473047416938</v>
      </c>
      <c r="F519">
        <v>1589.4547251646</v>
      </c>
      <c r="G519">
        <v>0.9716037326128959</v>
      </c>
    </row>
    <row r="520" spans="1:7">
      <c r="A520" t="s">
        <v>137</v>
      </c>
      <c r="B520">
        <v>2</v>
      </c>
      <c r="C520">
        <v>4.361752321709768</v>
      </c>
      <c r="D520">
        <v>4.171426322739499</v>
      </c>
      <c r="E520">
        <v>12.871684731019</v>
      </c>
      <c r="F520">
        <v>1591.852633390912</v>
      </c>
      <c r="G520">
        <v>0.9718500844949493</v>
      </c>
    </row>
    <row r="521" spans="1:7">
      <c r="A521" t="s">
        <v>137</v>
      </c>
      <c r="B521">
        <v>2</v>
      </c>
      <c r="C521">
        <v>4.36821719995141</v>
      </c>
      <c r="D521">
        <v>4.177710005842401</v>
      </c>
      <c r="E521">
        <v>12.89867280335656</v>
      </c>
      <c r="F521">
        <v>1594.250541617223</v>
      </c>
      <c r="G521">
        <v>0.9720947099897977</v>
      </c>
    </row>
    <row r="522" spans="1:7">
      <c r="A522" t="s">
        <v>137</v>
      </c>
      <c r="B522">
        <v>2</v>
      </c>
      <c r="C522">
        <v>4.374680457262323</v>
      </c>
      <c r="D522">
        <v>4.183993688945303</v>
      </c>
      <c r="E522">
        <v>12.92569472208838</v>
      </c>
      <c r="F522">
        <v>1596.648449843534</v>
      </c>
      <c r="G522">
        <v>0.9723376090974412</v>
      </c>
    </row>
    <row r="523" spans="1:7">
      <c r="A523" t="s">
        <v>137</v>
      </c>
      <c r="B523">
        <v>2</v>
      </c>
      <c r="C523">
        <v>4.381142105926371</v>
      </c>
      <c r="D523">
        <v>4.190277372048205</v>
      </c>
      <c r="E523">
        <v>12.95275051827779</v>
      </c>
      <c r="F523">
        <v>1599.046358069845</v>
      </c>
      <c r="G523">
        <v>0.9725787818178788</v>
      </c>
    </row>
    <row r="524" spans="1:7">
      <c r="A524" t="s">
        <v>137</v>
      </c>
      <c r="B524">
        <v>2</v>
      </c>
      <c r="C524">
        <v>4.38760215820968</v>
      </c>
      <c r="D524">
        <v>4.196561055151106</v>
      </c>
      <c r="E524">
        <v>12.97984022314532</v>
      </c>
      <c r="F524">
        <v>1601.444266296156</v>
      </c>
      <c r="G524">
        <v>0.9728182281511122</v>
      </c>
    </row>
    <row r="525" spans="1:7">
      <c r="A525" t="s">
        <v>137</v>
      </c>
      <c r="B525">
        <v>2</v>
      </c>
      <c r="C525">
        <v>4.39406062636079</v>
      </c>
      <c r="D525">
        <v>4.202844738254008</v>
      </c>
      <c r="E525">
        <v>13.00696386806886</v>
      </c>
      <c r="F525">
        <v>1603.842174522468</v>
      </c>
      <c r="G525">
        <v>0.9730559480971405</v>
      </c>
    </row>
    <row r="526" spans="1:7">
      <c r="A526" t="s">
        <v>137</v>
      </c>
      <c r="B526">
        <v>2</v>
      </c>
      <c r="C526">
        <v>4.400517522610801</v>
      </c>
      <c r="D526">
        <v>4.20912842135691</v>
      </c>
      <c r="E526">
        <v>13.03412148458387</v>
      </c>
      <c r="F526">
        <v>1606.240082748779</v>
      </c>
      <c r="G526">
        <v>0.9732919416559628</v>
      </c>
    </row>
    <row r="527" spans="1:7">
      <c r="A527" t="s">
        <v>137</v>
      </c>
      <c r="B527">
        <v>2</v>
      </c>
      <c r="C527">
        <v>4.406972859173519</v>
      </c>
      <c r="D527">
        <v>4.215412104459811</v>
      </c>
      <c r="E527">
        <v>13.06131310438351</v>
      </c>
      <c r="F527">
        <v>1608.63799097509</v>
      </c>
      <c r="G527">
        <v>0.9735262088275807</v>
      </c>
    </row>
    <row r="528" spans="1:7">
      <c r="A528" t="s">
        <v>137</v>
      </c>
      <c r="B528">
        <v>2</v>
      </c>
      <c r="C528">
        <v>4.413426648245609</v>
      </c>
      <c r="D528">
        <v>4.221695787562713</v>
      </c>
      <c r="E528">
        <v>13.08853875931889</v>
      </c>
      <c r="F528">
        <v>1611.035899201401</v>
      </c>
      <c r="G528">
        <v>0.9737587496119934</v>
      </c>
    </row>
    <row r="529" spans="1:7">
      <c r="A529" t="s">
        <v>137</v>
      </c>
      <c r="B529">
        <v>2</v>
      </c>
      <c r="C529">
        <v>4.419878902006733</v>
      </c>
      <c r="D529">
        <v>4.227979470665614</v>
      </c>
      <c r="E529">
        <v>13.11579848139919</v>
      </c>
      <c r="F529">
        <v>1613.433807427712</v>
      </c>
      <c r="G529">
        <v>0.9739895640092011</v>
      </c>
    </row>
    <row r="530" spans="1:7">
      <c r="A530" t="s">
        <v>137</v>
      </c>
      <c r="B530">
        <v>2</v>
      </c>
      <c r="C530">
        <v>4.426329632619704</v>
      </c>
      <c r="D530">
        <v>4.234263153768516</v>
      </c>
      <c r="E530">
        <v>13.14309230279191</v>
      </c>
      <c r="F530">
        <v>1615.831715654024</v>
      </c>
      <c r="G530">
        <v>0.9742186520192037</v>
      </c>
    </row>
    <row r="531" spans="1:7">
      <c r="A531" t="s">
        <v>137</v>
      </c>
      <c r="B531">
        <v>2</v>
      </c>
      <c r="C531">
        <v>4.432778852230623</v>
      </c>
      <c r="D531">
        <v>4.240546836871419</v>
      </c>
      <c r="E531">
        <v>13.170420255823</v>
      </c>
      <c r="F531">
        <v>1618.229623880335</v>
      </c>
      <c r="G531">
        <v>0.9744460136420011</v>
      </c>
    </row>
    <row r="532" spans="1:7">
      <c r="A532" t="s">
        <v>137</v>
      </c>
      <c r="B532">
        <v>2</v>
      </c>
      <c r="C532">
        <v>4.439226572969027</v>
      </c>
      <c r="D532">
        <v>4.24683051997432</v>
      </c>
      <c r="E532">
        <v>13.19778237297711</v>
      </c>
      <c r="F532">
        <v>1620.627532106646</v>
      </c>
      <c r="G532">
        <v>0.9746716488775935</v>
      </c>
    </row>
    <row r="533" spans="1:7">
      <c r="A533" t="s">
        <v>137</v>
      </c>
      <c r="B533">
        <v>2</v>
      </c>
      <c r="C533">
        <v>4.44567280694804</v>
      </c>
      <c r="D533">
        <v>4.253114203077222</v>
      </c>
      <c r="E533">
        <v>13.22517868689776</v>
      </c>
      <c r="F533">
        <v>1623.025440332957</v>
      </c>
      <c r="G533">
        <v>0.9748955577259811</v>
      </c>
    </row>
    <row r="534" spans="1:7">
      <c r="A534" t="s">
        <v>137</v>
      </c>
      <c r="B534">
        <v>2</v>
      </c>
      <c r="C534">
        <v>4.452117566264503</v>
      </c>
      <c r="D534">
        <v>4.259397886180123</v>
      </c>
      <c r="E534">
        <v>13.25260923038755</v>
      </c>
      <c r="F534">
        <v>1625.423348559268</v>
      </c>
      <c r="G534">
        <v>0.9751177401871636</v>
      </c>
    </row>
    <row r="535" spans="1:7">
      <c r="A535" t="s">
        <v>137</v>
      </c>
      <c r="B535">
        <v>2</v>
      </c>
      <c r="C535">
        <v>4.458560862999133</v>
      </c>
      <c r="D535">
        <v>4.265681569283025</v>
      </c>
      <c r="E535">
        <v>13.28007403640836</v>
      </c>
      <c r="F535">
        <v>1627.82125678558</v>
      </c>
      <c r="G535">
        <v>0.9753381962611409</v>
      </c>
    </row>
    <row r="536" spans="1:7">
      <c r="A536" t="s">
        <v>137</v>
      </c>
      <c r="B536">
        <v>2</v>
      </c>
      <c r="C536">
        <v>4.465002709216653</v>
      </c>
      <c r="D536">
        <v>4.271965252385927</v>
      </c>
      <c r="E536">
        <v>13.30757313808152</v>
      </c>
      <c r="F536">
        <v>1630.219165011891</v>
      </c>
      <c r="G536">
        <v>0.9755569259479127</v>
      </c>
    </row>
    <row r="537" spans="1:7">
      <c r="A537" t="s">
        <v>137</v>
      </c>
      <c r="B537">
        <v>2</v>
      </c>
      <c r="C537">
        <v>4.471443116965941</v>
      </c>
      <c r="D537">
        <v>4.278248935488828</v>
      </c>
      <c r="E537">
        <v>13.33510656868809</v>
      </c>
      <c r="F537">
        <v>1632.617073238202</v>
      </c>
      <c r="G537">
        <v>0.9757739292474797</v>
      </c>
    </row>
    <row r="538" spans="1:7">
      <c r="A538" t="s">
        <v>137</v>
      </c>
      <c r="B538">
        <v>2</v>
      </c>
      <c r="C538">
        <v>4.477882098280173</v>
      </c>
      <c r="D538">
        <v>4.28453261859173</v>
      </c>
      <c r="E538">
        <v>13.36267436166901</v>
      </c>
      <c r="F538">
        <v>1635.014981464513</v>
      </c>
      <c r="G538">
        <v>0.9759892061598421</v>
      </c>
    </row>
    <row r="539" spans="1:7">
      <c r="A539" t="s">
        <v>137</v>
      </c>
      <c r="B539">
        <v>2</v>
      </c>
      <c r="C539">
        <v>4.484319665176962</v>
      </c>
      <c r="D539">
        <v>4.290816301694631</v>
      </c>
      <c r="E539">
        <v>13.39027655062533</v>
      </c>
      <c r="F539">
        <v>1637.412889690824</v>
      </c>
      <c r="G539">
        <v>0.9762027566849989</v>
      </c>
    </row>
    <row r="540" spans="1:7">
      <c r="A540" t="s">
        <v>137</v>
      </c>
      <c r="B540">
        <v>2</v>
      </c>
      <c r="C540">
        <v>4.490755829658498</v>
      </c>
      <c r="D540">
        <v>4.297099984797534</v>
      </c>
      <c r="E540">
        <v>13.41791316931844</v>
      </c>
      <c r="F540">
        <v>1639.810797917135</v>
      </c>
      <c r="G540">
        <v>0.9764145808229512</v>
      </c>
    </row>
    <row r="541" spans="1:7">
      <c r="A541" t="s">
        <v>137</v>
      </c>
      <c r="B541">
        <v>2</v>
      </c>
      <c r="C541">
        <v>4.497190603711693</v>
      </c>
      <c r="D541">
        <v>4.303383667900435</v>
      </c>
      <c r="E541">
        <v>13.44558425167024</v>
      </c>
      <c r="F541">
        <v>1642.208706143447</v>
      </c>
      <c r="G541">
        <v>0.9766246785736975</v>
      </c>
    </row>
    <row r="542" spans="1:7">
      <c r="A542" t="s">
        <v>137</v>
      </c>
      <c r="B542">
        <v>2</v>
      </c>
      <c r="C542">
        <v>4.503623999308318</v>
      </c>
      <c r="D542">
        <v>4.309667351003337</v>
      </c>
      <c r="E542">
        <v>13.47328983176346</v>
      </c>
      <c r="F542">
        <v>1644.606614369758</v>
      </c>
      <c r="G542">
        <v>0.9768330499372394</v>
      </c>
    </row>
    <row r="543" spans="1:7">
      <c r="A543" t="s">
        <v>137</v>
      </c>
      <c r="B543">
        <v>2</v>
      </c>
      <c r="C543">
        <v>4.510056028405144</v>
      </c>
      <c r="D543">
        <v>4.315951034106238</v>
      </c>
      <c r="E543">
        <v>13.50102994384175</v>
      </c>
      <c r="F543">
        <v>1647.004522596069</v>
      </c>
      <c r="G543">
        <v>0.977039694913576</v>
      </c>
    </row>
    <row r="544" spans="1:7">
      <c r="A544" t="s">
        <v>137</v>
      </c>
      <c r="B544">
        <v>2</v>
      </c>
      <c r="C544">
        <v>4.516486702944082</v>
      </c>
      <c r="D544">
        <v>4.32223471720914</v>
      </c>
      <c r="E544">
        <v>13.52880462231003</v>
      </c>
      <c r="F544">
        <v>1649.40243082238</v>
      </c>
      <c r="G544">
        <v>0.9772446135027073</v>
      </c>
    </row>
    <row r="545" spans="1:7">
      <c r="A545" t="s">
        <v>137</v>
      </c>
      <c r="B545">
        <v>2</v>
      </c>
      <c r="C545">
        <v>4.522916034852322</v>
      </c>
      <c r="D545">
        <v>4.328518400312042</v>
      </c>
      <c r="E545">
        <v>13.55661390173462</v>
      </c>
      <c r="F545">
        <v>1651.800339048691</v>
      </c>
      <c r="G545">
        <v>0.9774478057046339</v>
      </c>
    </row>
    <row r="546" spans="1:7">
      <c r="A546" t="s">
        <v>137</v>
      </c>
      <c r="B546">
        <v>2</v>
      </c>
      <c r="C546">
        <v>4.529344036042469</v>
      </c>
      <c r="D546">
        <v>4.334802083414943</v>
      </c>
      <c r="E546">
        <v>13.58445781684353</v>
      </c>
      <c r="F546">
        <v>1654.198247275002</v>
      </c>
      <c r="G546">
        <v>0.977649271519355</v>
      </c>
    </row>
    <row r="547" spans="1:7">
      <c r="A547" t="s">
        <v>137</v>
      </c>
      <c r="B547">
        <v>2</v>
      </c>
      <c r="C547">
        <v>4.535770718412689</v>
      </c>
      <c r="D547">
        <v>4.341085766517845</v>
      </c>
      <c r="E547">
        <v>13.61233640252669</v>
      </c>
      <c r="F547">
        <v>1656.596155501314</v>
      </c>
      <c r="G547">
        <v>0.9778490109468719</v>
      </c>
    </row>
    <row r="548" spans="1:7">
      <c r="A548" t="s">
        <v>137</v>
      </c>
      <c r="B548">
        <v>2</v>
      </c>
      <c r="C548">
        <v>4.542196093846835</v>
      </c>
      <c r="D548">
        <v>4.347369449620746</v>
      </c>
      <c r="E548">
        <v>13.64024969383616</v>
      </c>
      <c r="F548">
        <v>1658.994063727625</v>
      </c>
      <c r="G548">
        <v>0.9780470239871826</v>
      </c>
    </row>
    <row r="549" spans="1:7">
      <c r="A549" t="s">
        <v>137</v>
      </c>
      <c r="B549">
        <v>2</v>
      </c>
      <c r="C549">
        <v>4.548620174214597</v>
      </c>
      <c r="D549">
        <v>4.353653132723649</v>
      </c>
      <c r="E549">
        <v>13.66819772598638</v>
      </c>
      <c r="F549">
        <v>1661.391971953936</v>
      </c>
      <c r="G549">
        <v>0.9782433106402891</v>
      </c>
    </row>
    <row r="550" spans="1:7">
      <c r="A550" t="s">
        <v>137</v>
      </c>
      <c r="B550">
        <v>2</v>
      </c>
      <c r="C550">
        <v>4.555042971371631</v>
      </c>
      <c r="D550">
        <v>4.359936815826551</v>
      </c>
      <c r="E550">
        <v>13.69618053435441</v>
      </c>
      <c r="F550">
        <v>1663.789880180247</v>
      </c>
      <c r="G550">
        <v>0.9784378709061903</v>
      </c>
    </row>
    <row r="551" spans="1:7">
      <c r="A551" t="s">
        <v>137</v>
      </c>
      <c r="B551">
        <v>2</v>
      </c>
      <c r="C551">
        <v>4.561464497159697</v>
      </c>
      <c r="D551">
        <v>4.366220498929452</v>
      </c>
      <c r="E551">
        <v>13.7241981544802</v>
      </c>
      <c r="F551">
        <v>1666.187788406558</v>
      </c>
      <c r="G551">
        <v>0.9786307047848865</v>
      </c>
    </row>
    <row r="552" spans="1:7">
      <c r="A552" t="s">
        <v>137</v>
      </c>
      <c r="B552">
        <v>2</v>
      </c>
      <c r="C552">
        <v>4.567884763406799</v>
      </c>
      <c r="D552">
        <v>4.372504182032354</v>
      </c>
      <c r="E552">
        <v>13.7522506220668</v>
      </c>
      <c r="F552">
        <v>1668.585696632869</v>
      </c>
      <c r="G552">
        <v>0.9788218122763778</v>
      </c>
    </row>
    <row r="553" spans="1:7">
      <c r="A553" t="s">
        <v>137</v>
      </c>
      <c r="B553">
        <v>2</v>
      </c>
      <c r="C553">
        <v>4.574303781927316</v>
      </c>
      <c r="D553">
        <v>4.378787865135255</v>
      </c>
      <c r="E553">
        <v>13.7803379729806</v>
      </c>
      <c r="F553">
        <v>1670.983604859181</v>
      </c>
      <c r="G553">
        <v>0.9790111933806633</v>
      </c>
    </row>
    <row r="554" spans="1:7">
      <c r="A554" t="s">
        <v>137</v>
      </c>
      <c r="B554">
        <v>2</v>
      </c>
      <c r="C554">
        <v>4.580721564522142</v>
      </c>
      <c r="D554">
        <v>4.385071548238157</v>
      </c>
      <c r="E554">
        <v>13.80846024325165</v>
      </c>
      <c r="F554">
        <v>1673.381513085492</v>
      </c>
      <c r="G554">
        <v>0.9791988480977443</v>
      </c>
    </row>
    <row r="555" spans="1:7">
      <c r="A555" t="s">
        <v>137</v>
      </c>
      <c r="B555">
        <v>2</v>
      </c>
      <c r="C555">
        <v>4.58713812297882</v>
      </c>
      <c r="D555">
        <v>4.391355231341059</v>
      </c>
      <c r="E555">
        <v>13.83661746907384</v>
      </c>
      <c r="F555">
        <v>1675.779421311803</v>
      </c>
      <c r="G555">
        <v>0.9793847764276197</v>
      </c>
    </row>
    <row r="556" spans="1:7">
      <c r="A556" t="s">
        <v>137</v>
      </c>
      <c r="B556">
        <v>2</v>
      </c>
      <c r="C556">
        <v>4.593553469071671</v>
      </c>
      <c r="D556">
        <v>4.39763891444396</v>
      </c>
      <c r="E556">
        <v>13.86480968680518</v>
      </c>
      <c r="F556">
        <v>1678.177329538114</v>
      </c>
      <c r="G556">
        <v>0.9795689783702907</v>
      </c>
    </row>
    <row r="557" spans="1:7">
      <c r="A557" t="s">
        <v>137</v>
      </c>
      <c r="B557">
        <v>2</v>
      </c>
      <c r="C557">
        <v>4.599967614561943</v>
      </c>
      <c r="D557">
        <v>4.403922597546862</v>
      </c>
      <c r="E557">
        <v>13.89303693296811</v>
      </c>
      <c r="F557">
        <v>1680.575237764425</v>
      </c>
      <c r="G557">
        <v>0.9797514539257562</v>
      </c>
    </row>
    <row r="558" spans="1:7">
      <c r="A558" t="s">
        <v>137</v>
      </c>
      <c r="B558">
        <v>2</v>
      </c>
      <c r="C558">
        <v>4.606380571197927</v>
      </c>
      <c r="D558">
        <v>4.410206280649763</v>
      </c>
      <c r="E558">
        <v>13.92129924424966</v>
      </c>
      <c r="F558">
        <v>1682.973145990737</v>
      </c>
      <c r="G558">
        <v>0.9799322030940166</v>
      </c>
    </row>
    <row r="559" spans="1:7">
      <c r="A559" t="s">
        <v>137</v>
      </c>
      <c r="B559">
        <v>2</v>
      </c>
      <c r="C559">
        <v>4.612792350715106</v>
      </c>
      <c r="D559">
        <v>4.416489963752666</v>
      </c>
      <c r="E559">
        <v>13.94959665750182</v>
      </c>
      <c r="F559">
        <v>1685.371054217048</v>
      </c>
      <c r="G559">
        <v>0.9801112258750724</v>
      </c>
    </row>
    <row r="560" spans="1:7">
      <c r="A560" t="s">
        <v>137</v>
      </c>
      <c r="B560">
        <v>2</v>
      </c>
      <c r="C560">
        <v>4.619202964836278</v>
      </c>
      <c r="D560">
        <v>4.422773646855568</v>
      </c>
      <c r="E560">
        <v>13.97792920974174</v>
      </c>
      <c r="F560">
        <v>1687.768962443359</v>
      </c>
      <c r="G560">
        <v>0.9802885222689227</v>
      </c>
    </row>
    <row r="561" spans="1:7">
      <c r="A561" t="s">
        <v>137</v>
      </c>
      <c r="B561">
        <v>2</v>
      </c>
      <c r="C561">
        <v>4.625612425271695</v>
      </c>
      <c r="D561">
        <v>4.429057329958469</v>
      </c>
      <c r="E561">
        <v>14.00629693815204</v>
      </c>
      <c r="F561">
        <v>1690.16687066967</v>
      </c>
      <c r="G561">
        <v>0.9804640922755683</v>
      </c>
    </row>
    <row r="562" spans="1:7">
      <c r="A562" t="s">
        <v>137</v>
      </c>
      <c r="B562">
        <v>2</v>
      </c>
      <c r="C562">
        <v>4.632020743719198</v>
      </c>
      <c r="D562">
        <v>4.435341013061371</v>
      </c>
      <c r="E562">
        <v>14.03469988008104</v>
      </c>
      <c r="F562">
        <v>1692.564778895981</v>
      </c>
      <c r="G562">
        <v>0.980637935895008</v>
      </c>
    </row>
    <row r="563" spans="1:7">
      <c r="A563" t="s">
        <v>137</v>
      </c>
      <c r="B563">
        <v>2</v>
      </c>
      <c r="C563">
        <v>4.638427931864338</v>
      </c>
      <c r="D563">
        <v>4.441624696164272</v>
      </c>
      <c r="E563">
        <v>14.06313807304308</v>
      </c>
      <c r="F563">
        <v>1694.962687122293</v>
      </c>
      <c r="G563">
        <v>0.9808100531272433</v>
      </c>
    </row>
    <row r="564" spans="1:7">
      <c r="A564" t="s">
        <v>137</v>
      </c>
      <c r="B564">
        <v>2</v>
      </c>
      <c r="C564">
        <v>4.644834001380522</v>
      </c>
      <c r="D564">
        <v>4.447908379267174</v>
      </c>
      <c r="E564">
        <v>14.09161155471878</v>
      </c>
      <c r="F564">
        <v>1697.360595348604</v>
      </c>
      <c r="G564">
        <v>0.9809804439722732</v>
      </c>
    </row>
    <row r="565" spans="1:7">
      <c r="A565" t="s">
        <v>137</v>
      </c>
      <c r="B565">
        <v>2</v>
      </c>
      <c r="C565">
        <v>4.651238963929136</v>
      </c>
      <c r="D565">
        <v>4.454192062370076</v>
      </c>
      <c r="E565">
        <v>14.12012036295532</v>
      </c>
      <c r="F565">
        <v>1699.758503574915</v>
      </c>
      <c r="G565">
        <v>0.9811491084300984</v>
      </c>
    </row>
    <row r="566" spans="1:7">
      <c r="A566" t="s">
        <v>137</v>
      </c>
      <c r="B566">
        <v>2</v>
      </c>
      <c r="C566">
        <v>4.657642831159678</v>
      </c>
      <c r="D566">
        <v>4.460475745472977</v>
      </c>
      <c r="E566">
        <v>14.14866453576671</v>
      </c>
      <c r="F566">
        <v>1702.156411801226</v>
      </c>
      <c r="G566">
        <v>0.9813160465007186</v>
      </c>
    </row>
    <row r="567" spans="1:7">
      <c r="A567" t="s">
        <v>137</v>
      </c>
      <c r="B567">
        <v>2</v>
      </c>
      <c r="C567">
        <v>4.664045614709893</v>
      </c>
      <c r="D567">
        <v>4.466759428575879</v>
      </c>
      <c r="E567">
        <v>14.17724411133412</v>
      </c>
      <c r="F567">
        <v>1704.554320027537</v>
      </c>
      <c r="G567">
        <v>0.9814812581841333</v>
      </c>
    </row>
    <row r="568" spans="1:7">
      <c r="A568" t="s">
        <v>137</v>
      </c>
      <c r="B568">
        <v>2</v>
      </c>
      <c r="C568">
        <v>4.670447326205896</v>
      </c>
      <c r="D568">
        <v>4.473043111678781</v>
      </c>
      <c r="E568">
        <v>14.20585912800612</v>
      </c>
      <c r="F568">
        <v>1706.952228253848</v>
      </c>
      <c r="G568">
        <v>0.9816447434803434</v>
      </c>
    </row>
    <row r="569" spans="1:7">
      <c r="A569" t="s">
        <v>137</v>
      </c>
      <c r="B569">
        <v>2</v>
      </c>
      <c r="C569">
        <v>4.676847977262315</v>
      </c>
      <c r="D569">
        <v>4.479326794781683</v>
      </c>
      <c r="E569">
        <v>14.23450962429899</v>
      </c>
      <c r="F569">
        <v>1709.35013648016</v>
      </c>
      <c r="G569">
        <v>0.9818065023893476</v>
      </c>
    </row>
    <row r="570" spans="1:7">
      <c r="A570" t="s">
        <v>137</v>
      </c>
      <c r="B570">
        <v>2</v>
      </c>
      <c r="C570">
        <v>4.683247579482406</v>
      </c>
      <c r="D570">
        <v>4.485610477884584</v>
      </c>
      <c r="E570">
        <v>14.26319563889702</v>
      </c>
      <c r="F570">
        <v>1711.748044706471</v>
      </c>
      <c r="G570">
        <v>0.9819665349111476</v>
      </c>
    </row>
    <row r="571" spans="1:7">
      <c r="A571" t="s">
        <v>137</v>
      </c>
      <c r="B571">
        <v>2</v>
      </c>
      <c r="C571">
        <v>4.689646144458194</v>
      </c>
      <c r="D571">
        <v>4.491894160987486</v>
      </c>
      <c r="E571">
        <v>14.29191721065283</v>
      </c>
      <c r="F571">
        <v>1714.145952932782</v>
      </c>
      <c r="G571">
        <v>0.9821248410457419</v>
      </c>
    </row>
    <row r="572" spans="1:7">
      <c r="A572" t="s">
        <v>137</v>
      </c>
      <c r="B572">
        <v>2</v>
      </c>
      <c r="C572">
        <v>4.696043683770601</v>
      </c>
      <c r="D572">
        <v>4.498177844090388</v>
      </c>
      <c r="E572">
        <v>14.32067437858761</v>
      </c>
      <c r="F572">
        <v>1716.543861159093</v>
      </c>
      <c r="G572">
        <v>0.9822814207931316</v>
      </c>
    </row>
    <row r="573" spans="1:7">
      <c r="A573" t="s">
        <v>137</v>
      </c>
      <c r="B573">
        <v>2</v>
      </c>
      <c r="C573">
        <v>4.702440208989566</v>
      </c>
      <c r="D573">
        <v>4.504461527193289</v>
      </c>
      <c r="E573">
        <v>14.34946718189146</v>
      </c>
      <c r="F573">
        <v>1718.941769385405</v>
      </c>
      <c r="G573">
        <v>0.982436274153316</v>
      </c>
    </row>
    <row r="574" spans="1:7">
      <c r="A574" t="s">
        <v>137</v>
      </c>
      <c r="B574">
        <v>2</v>
      </c>
      <c r="C574">
        <v>4.70883573167419</v>
      </c>
      <c r="D574">
        <v>4.510745210296191</v>
      </c>
      <c r="E574">
        <v>14.37829565992373</v>
      </c>
      <c r="F574">
        <v>1721.339677611716</v>
      </c>
      <c r="G574">
        <v>0.9825894011262956</v>
      </c>
    </row>
    <row r="575" spans="1:7">
      <c r="A575" t="s">
        <v>137</v>
      </c>
      <c r="B575">
        <v>2</v>
      </c>
      <c r="C575">
        <v>4.71523026337285</v>
      </c>
      <c r="D575">
        <v>4.517028893399092</v>
      </c>
      <c r="E575">
        <v>14.40715985221325</v>
      </c>
      <c r="F575">
        <v>1723.737585838027</v>
      </c>
      <c r="G575">
        <v>0.9827408017120695</v>
      </c>
    </row>
    <row r="576" spans="1:7">
      <c r="A576" t="s">
        <v>137</v>
      </c>
      <c r="B576">
        <v>2</v>
      </c>
      <c r="C576">
        <v>4.721623815623336</v>
      </c>
      <c r="D576">
        <v>4.523312576501994</v>
      </c>
      <c r="E576">
        <v>14.43605979845869</v>
      </c>
      <c r="F576">
        <v>1726.135494064338</v>
      </c>
      <c r="G576">
        <v>0.9828904759106388</v>
      </c>
    </row>
    <row r="577" spans="1:7">
      <c r="A577" t="s">
        <v>137</v>
      </c>
      <c r="B577">
        <v>2</v>
      </c>
      <c r="C577">
        <v>4.728016399952976</v>
      </c>
      <c r="D577">
        <v>4.529596259604896</v>
      </c>
      <c r="E577">
        <v>14.46499553852889</v>
      </c>
      <c r="F577">
        <v>1728.533402290649</v>
      </c>
      <c r="G577">
        <v>0.9830384237220029</v>
      </c>
    </row>
    <row r="578" spans="1:7">
      <c r="A578" t="s">
        <v>137</v>
      </c>
      <c r="B578">
        <v>2</v>
      </c>
      <c r="C578">
        <v>4.734408027878764</v>
      </c>
      <c r="D578">
        <v>4.535879942707798</v>
      </c>
      <c r="E578">
        <v>14.49396711246314</v>
      </c>
      <c r="F578">
        <v>1730.93131051696</v>
      </c>
      <c r="G578">
        <v>0.9831846451461622</v>
      </c>
    </row>
    <row r="579" spans="1:7">
      <c r="A579" t="s">
        <v>137</v>
      </c>
      <c r="B579">
        <v>2</v>
      </c>
      <c r="C579">
        <v>4.740798710907488</v>
      </c>
      <c r="D579">
        <v>4.5421636258107</v>
      </c>
      <c r="E579">
        <v>14.52297456047149</v>
      </c>
      <c r="F579">
        <v>1733.329218743272</v>
      </c>
      <c r="G579">
        <v>0.9833291401831157</v>
      </c>
    </row>
    <row r="580" spans="1:7">
      <c r="A580" t="s">
        <v>137</v>
      </c>
      <c r="B580">
        <v>2</v>
      </c>
      <c r="C580">
        <v>4.747188460535855</v>
      </c>
      <c r="D580">
        <v>4.548447308913601</v>
      </c>
      <c r="E580">
        <v>14.55201792293511</v>
      </c>
      <c r="F580">
        <v>1735.727126969583</v>
      </c>
      <c r="G580">
        <v>0.9834719088328649</v>
      </c>
    </row>
    <row r="581" spans="1:7">
      <c r="A581" t="s">
        <v>137</v>
      </c>
      <c r="B581">
        <v>2</v>
      </c>
      <c r="C581">
        <v>4.753577288250625</v>
      </c>
      <c r="D581">
        <v>4.554730992016503</v>
      </c>
      <c r="E581">
        <v>14.58109724040661</v>
      </c>
      <c r="F581">
        <v>1738.125035195894</v>
      </c>
      <c r="G581">
        <v>0.9836129510954089</v>
      </c>
    </row>
    <row r="582" spans="1:7">
      <c r="A582" t="s">
        <v>137</v>
      </c>
      <c r="B582">
        <v>2</v>
      </c>
      <c r="C582">
        <v>4.759965205528728</v>
      </c>
      <c r="D582">
        <v>4.561014675119404</v>
      </c>
      <c r="E582">
        <v>14.61021255361034</v>
      </c>
      <c r="F582">
        <v>1740.522943422205</v>
      </c>
      <c r="G582">
        <v>0.9837522669707475</v>
      </c>
    </row>
    <row r="583" spans="1:7">
      <c r="A583" t="s">
        <v>137</v>
      </c>
      <c r="B583">
        <v>2</v>
      </c>
      <c r="C583">
        <v>4.766352223837397</v>
      </c>
      <c r="D583">
        <v>4.567298358222306</v>
      </c>
      <c r="E583">
        <v>14.63936390344274</v>
      </c>
      <c r="F583">
        <v>1742.920851648516</v>
      </c>
      <c r="G583">
        <v>0.9838898564588815</v>
      </c>
    </row>
    <row r="584" spans="1:7">
      <c r="A584" t="s">
        <v>137</v>
      </c>
      <c r="B584">
        <v>2</v>
      </c>
      <c r="C584">
        <v>4.772738354634294</v>
      </c>
      <c r="D584">
        <v>4.573582041325208</v>
      </c>
      <c r="E584">
        <v>14.66855133097267</v>
      </c>
      <c r="F584">
        <v>1745.318759874827</v>
      </c>
      <c r="G584">
        <v>0.9840257195598099</v>
      </c>
    </row>
    <row r="585" spans="1:7">
      <c r="A585" t="s">
        <v>137</v>
      </c>
      <c r="B585">
        <v>2</v>
      </c>
      <c r="C585">
        <v>4.77912360936763</v>
      </c>
      <c r="D585">
        <v>4.579865724428109</v>
      </c>
      <c r="E585">
        <v>14.69777487744175</v>
      </c>
      <c r="F585">
        <v>1747.716668101139</v>
      </c>
      <c r="G585">
        <v>0.9841598562735336</v>
      </c>
    </row>
    <row r="586" spans="1:7">
      <c r="A586" t="s">
        <v>137</v>
      </c>
      <c r="B586">
        <v>2</v>
      </c>
      <c r="C586">
        <v>4.785507999476303</v>
      </c>
      <c r="D586">
        <v>4.586149407531011</v>
      </c>
      <c r="E586">
        <v>14.72703458426468</v>
      </c>
      <c r="F586">
        <v>1750.11457632745</v>
      </c>
      <c r="G586">
        <v>0.9842922666000522</v>
      </c>
    </row>
    <row r="587" spans="1:7">
      <c r="A587" t="s">
        <v>137</v>
      </c>
      <c r="B587">
        <v>2</v>
      </c>
      <c r="C587">
        <v>4.791891536390006</v>
      </c>
      <c r="D587">
        <v>4.592433090633913</v>
      </c>
      <c r="E587">
        <v>14.7563304930296</v>
      </c>
      <c r="F587">
        <v>1752.512484553761</v>
      </c>
      <c r="G587">
        <v>0.9844229505393653</v>
      </c>
    </row>
    <row r="588" spans="1:7">
      <c r="A588" t="s">
        <v>137</v>
      </c>
      <c r="B588">
        <v>2</v>
      </c>
      <c r="C588">
        <v>4.79827423152937</v>
      </c>
      <c r="D588">
        <v>4.598716773736815</v>
      </c>
      <c r="E588">
        <v>14.78566264549845</v>
      </c>
      <c r="F588">
        <v>1754.910392780072</v>
      </c>
      <c r="G588">
        <v>0.9845519080914736</v>
      </c>
    </row>
    <row r="589" spans="1:7">
      <c r="A589" t="s">
        <v>137</v>
      </c>
      <c r="B589">
        <v>2</v>
      </c>
      <c r="C589">
        <v>4.804656096306076</v>
      </c>
      <c r="D589">
        <v>4.605000456839717</v>
      </c>
      <c r="E589">
        <v>14.81503108360727</v>
      </c>
      <c r="F589">
        <v>1757.308301006384</v>
      </c>
      <c r="G589">
        <v>0.9846791392563772</v>
      </c>
    </row>
    <row r="590" spans="1:7">
      <c r="A590" t="s">
        <v>137</v>
      </c>
      <c r="B590">
        <v>2</v>
      </c>
      <c r="C590">
        <v>4.811037142122986</v>
      </c>
      <c r="D590">
        <v>4.611284139942618</v>
      </c>
      <c r="E590">
        <v>14.84443584946657</v>
      </c>
      <c r="F590">
        <v>1759.706209232695</v>
      </c>
      <c r="G590">
        <v>0.984804644034075</v>
      </c>
    </row>
    <row r="591" spans="1:7">
      <c r="A591" t="s">
        <v>137</v>
      </c>
      <c r="B591">
        <v>2</v>
      </c>
      <c r="C591">
        <v>4.817417380374266</v>
      </c>
      <c r="D591">
        <v>4.61756782304552</v>
      </c>
      <c r="E591">
        <v>14.87387698536173</v>
      </c>
      <c r="F591">
        <v>1762.104117459006</v>
      </c>
      <c r="G591">
        <v>0.9849284224245679</v>
      </c>
    </row>
    <row r="592" spans="1:7">
      <c r="A592" t="s">
        <v>137</v>
      </c>
      <c r="B592">
        <v>2</v>
      </c>
      <c r="C592">
        <v>4.82379682244551</v>
      </c>
      <c r="D592">
        <v>4.623851506148421</v>
      </c>
      <c r="E592">
        <v>14.90335453375326</v>
      </c>
      <c r="F592">
        <v>1764.502025685316</v>
      </c>
      <c r="G592">
        <v>0.9850504744278564</v>
      </c>
    </row>
    <row r="593" spans="1:7">
      <c r="A593" t="s">
        <v>137</v>
      </c>
      <c r="B593">
        <v>2</v>
      </c>
      <c r="C593">
        <v>4.830175479713865</v>
      </c>
      <c r="D593">
        <v>4.630135189251323</v>
      </c>
      <c r="E593">
        <v>14.93286853727727</v>
      </c>
      <c r="F593">
        <v>1766.899933911628</v>
      </c>
      <c r="G593">
        <v>0.9851708000439394</v>
      </c>
    </row>
    <row r="594" spans="1:7">
      <c r="A594" t="s">
        <v>137</v>
      </c>
      <c r="B594">
        <v>2</v>
      </c>
      <c r="C594">
        <v>4.836553363548154</v>
      </c>
      <c r="D594">
        <v>4.636418872354225</v>
      </c>
      <c r="E594">
        <v>14.96241903874573</v>
      </c>
      <c r="F594">
        <v>1769.297842137939</v>
      </c>
      <c r="G594">
        <v>0.9852893992728172</v>
      </c>
    </row>
    <row r="595" spans="1:7">
      <c r="A595" t="s">
        <v>137</v>
      </c>
      <c r="B595">
        <v>2</v>
      </c>
      <c r="C595">
        <v>4.842930485308997</v>
      </c>
      <c r="D595">
        <v>4.642702555457126</v>
      </c>
      <c r="E595">
        <v>14.9920060811469</v>
      </c>
      <c r="F595">
        <v>1771.69575036425</v>
      </c>
      <c r="G595">
        <v>0.9854062721144901</v>
      </c>
    </row>
    <row r="596" spans="1:7">
      <c r="A596" t="s">
        <v>137</v>
      </c>
      <c r="B596">
        <v>2</v>
      </c>
      <c r="C596">
        <v>4.849306856348941</v>
      </c>
      <c r="D596">
        <v>4.648986238560028</v>
      </c>
      <c r="E596">
        <v>15.02162970764566</v>
      </c>
      <c r="F596">
        <v>1774.093658590562</v>
      </c>
      <c r="G596">
        <v>0.9855214185689576</v>
      </c>
    </row>
    <row r="597" spans="1:7">
      <c r="A597" t="s">
        <v>137</v>
      </c>
      <c r="B597">
        <v>2</v>
      </c>
      <c r="C597">
        <v>4.855682488012577</v>
      </c>
      <c r="D597">
        <v>4.65526992166293</v>
      </c>
      <c r="E597">
        <v>15.05128996158392</v>
      </c>
      <c r="F597">
        <v>1776.491566816873</v>
      </c>
      <c r="G597">
        <v>0.9856348386362207</v>
      </c>
    </row>
    <row r="598" spans="1:7">
      <c r="A598" t="s">
        <v>137</v>
      </c>
      <c r="B598">
        <v>2</v>
      </c>
      <c r="C598">
        <v>4.862057391636665</v>
      </c>
      <c r="D598">
        <v>4.661553604765832</v>
      </c>
      <c r="E598">
        <v>15.08098688648094</v>
      </c>
      <c r="F598">
        <v>1778.889475043184</v>
      </c>
      <c r="G598">
        <v>0.985746532316278</v>
      </c>
    </row>
    <row r="599" spans="1:7">
      <c r="A599" t="s">
        <v>137</v>
      </c>
      <c r="B599">
        <v>2</v>
      </c>
      <c r="C599">
        <v>4.868431578550259</v>
      </c>
      <c r="D599">
        <v>4.667837287868734</v>
      </c>
      <c r="E599">
        <v>15.11072052603375</v>
      </c>
      <c r="F599">
        <v>1781.287383269495</v>
      </c>
      <c r="G599">
        <v>0.9858564996091306</v>
      </c>
    </row>
    <row r="600" spans="1:7">
      <c r="A600" t="s">
        <v>137</v>
      </c>
      <c r="B600">
        <v>2</v>
      </c>
      <c r="C600">
        <v>4.874805060074822</v>
      </c>
      <c r="D600">
        <v>4.674120970971635</v>
      </c>
      <c r="E600">
        <v>15.14049092411751</v>
      </c>
      <c r="F600">
        <v>1783.685291495806</v>
      </c>
      <c r="G600">
        <v>0.9859647405147779</v>
      </c>
    </row>
    <row r="601" spans="1:7">
      <c r="A601" t="s">
        <v>137</v>
      </c>
      <c r="B601">
        <v>2</v>
      </c>
      <c r="C601">
        <v>4.88117784752436</v>
      </c>
      <c r="D601">
        <v>4.680404654074536</v>
      </c>
      <c r="E601">
        <v>15.1702981247859</v>
      </c>
      <c r="F601">
        <v>1786.083199722117</v>
      </c>
      <c r="G601">
        <v>0.9860712550332202</v>
      </c>
    </row>
    <row r="602" spans="1:7">
      <c r="A602" t="s">
        <v>137</v>
      </c>
      <c r="B602">
        <v>2</v>
      </c>
      <c r="C602">
        <v>4.887549952205536</v>
      </c>
      <c r="D602">
        <v>4.686688337177438</v>
      </c>
      <c r="E602">
        <v>15.20014217227148</v>
      </c>
      <c r="F602">
        <v>1788.481107948429</v>
      </c>
      <c r="G602">
        <v>0.9861760431644574</v>
      </c>
    </row>
    <row r="603" spans="1:7">
      <c r="A603" t="s">
        <v>137</v>
      </c>
      <c r="B603">
        <v>2</v>
      </c>
      <c r="C603">
        <v>4.89392138541779</v>
      </c>
      <c r="D603">
        <v>4.69297202028034</v>
      </c>
      <c r="E603">
        <v>15.23002311098612</v>
      </c>
      <c r="F603">
        <v>1790.87901617474</v>
      </c>
      <c r="G603">
        <v>0.98627910490849</v>
      </c>
    </row>
    <row r="604" spans="1:7">
      <c r="A604" t="s">
        <v>137</v>
      </c>
      <c r="B604">
        <v>2</v>
      </c>
      <c r="C604">
        <v>4.900292158453468</v>
      </c>
      <c r="D604">
        <v>4.699255703383241</v>
      </c>
      <c r="E604">
        <v>15.25994098552133</v>
      </c>
      <c r="F604">
        <v>1793.276924401051</v>
      </c>
      <c r="G604">
        <v>0.986380440265317</v>
      </c>
    </row>
    <row r="605" spans="1:7">
      <c r="A605" t="s">
        <v>137</v>
      </c>
      <c r="B605">
        <v>2</v>
      </c>
      <c r="C605">
        <v>4.90666228259794</v>
      </c>
      <c r="D605">
        <v>4.705539386486143</v>
      </c>
      <c r="E605">
        <v>15.28989584064873</v>
      </c>
      <c r="F605">
        <v>1795.674832627363</v>
      </c>
      <c r="G605">
        <v>0.986480049234939</v>
      </c>
    </row>
    <row r="606" spans="1:7">
      <c r="A606" t="s">
        <v>137</v>
      </c>
      <c r="B606">
        <v>2</v>
      </c>
      <c r="C606">
        <v>4.913031769129719</v>
      </c>
      <c r="D606">
        <v>4.711823069589045</v>
      </c>
      <c r="E606">
        <v>15.31988772132038</v>
      </c>
      <c r="F606">
        <v>1798.072740853673</v>
      </c>
      <c r="G606">
        <v>0.986577931817356</v>
      </c>
    </row>
    <row r="607" spans="1:7">
      <c r="A607" t="s">
        <v>137</v>
      </c>
      <c r="B607">
        <v>2</v>
      </c>
      <c r="C607">
        <v>4.919400629320588</v>
      </c>
      <c r="D607">
        <v>4.718106752691947</v>
      </c>
      <c r="E607">
        <v>15.3499166726692</v>
      </c>
      <c r="F607">
        <v>1800.470649079984</v>
      </c>
      <c r="G607">
        <v>0.9866740880125682</v>
      </c>
    </row>
    <row r="608" spans="1:7">
      <c r="A608" t="s">
        <v>137</v>
      </c>
      <c r="B608">
        <v>2</v>
      </c>
      <c r="C608">
        <v>4.925768874435715</v>
      </c>
      <c r="D608">
        <v>4.724390435794849</v>
      </c>
      <c r="E608">
        <v>15.3799827400094</v>
      </c>
      <c r="F608">
        <v>1802.868557306296</v>
      </c>
      <c r="G608">
        <v>0.986768517820575</v>
      </c>
    </row>
    <row r="609" spans="1:7">
      <c r="A609" t="s">
        <v>137</v>
      </c>
      <c r="B609">
        <v>2</v>
      </c>
      <c r="C609">
        <v>4.932136515733775</v>
      </c>
      <c r="D609">
        <v>4.73067411889775</v>
      </c>
      <c r="E609">
        <v>15.41008596883683</v>
      </c>
      <c r="F609">
        <v>1805.266465532607</v>
      </c>
      <c r="G609">
        <v>0.9868612212413767</v>
      </c>
    </row>
    <row r="610" spans="1:7">
      <c r="A610" t="s">
        <v>137</v>
      </c>
      <c r="B610">
        <v>2</v>
      </c>
      <c r="C610">
        <v>4.938503564467076</v>
      </c>
      <c r="D610">
        <v>4.736957802000652</v>
      </c>
      <c r="E610">
        <v>15.44022640482945</v>
      </c>
      <c r="F610">
        <v>1807.664373758918</v>
      </c>
      <c r="G610">
        <v>0.9869521982749733</v>
      </c>
    </row>
    <row r="611" spans="1:7">
      <c r="A611" t="s">
        <v>137</v>
      </c>
      <c r="B611">
        <v>2</v>
      </c>
      <c r="C611">
        <v>4.944870031881671</v>
      </c>
      <c r="D611">
        <v>4.743241485103553</v>
      </c>
      <c r="E611">
        <v>15.47040409384768</v>
      </c>
      <c r="F611">
        <v>1810.062281985229</v>
      </c>
      <c r="G611">
        <v>0.9870414489213651</v>
      </c>
    </row>
    <row r="612" spans="1:7">
      <c r="A612" t="s">
        <v>137</v>
      </c>
      <c r="B612">
        <v>2</v>
      </c>
      <c r="C612">
        <v>4.951235929217487</v>
      </c>
      <c r="D612">
        <v>4.749525168206455</v>
      </c>
      <c r="E612">
        <v>15.50061908193488</v>
      </c>
      <c r="F612">
        <v>1812.46019021154</v>
      </c>
      <c r="G612">
        <v>0.9871289731805516</v>
      </c>
    </row>
    <row r="613" spans="1:7">
      <c r="A613" t="s">
        <v>137</v>
      </c>
      <c r="B613">
        <v>2</v>
      </c>
      <c r="C613">
        <v>4.957601267708439</v>
      </c>
      <c r="D613">
        <v>4.755808851309357</v>
      </c>
      <c r="E613">
        <v>15.53087141531769</v>
      </c>
      <c r="F613">
        <v>1814.858098437852</v>
      </c>
      <c r="G613">
        <v>0.9872147710525334</v>
      </c>
    </row>
    <row r="614" spans="1:7">
      <c r="A614" t="s">
        <v>137</v>
      </c>
      <c r="B614">
        <v>2</v>
      </c>
      <c r="C614">
        <v>4.96396605858255</v>
      </c>
      <c r="D614">
        <v>4.762092534412258</v>
      </c>
      <c r="E614">
        <v>15.56116114040651</v>
      </c>
      <c r="F614">
        <v>1817.256006664162</v>
      </c>
      <c r="G614">
        <v>0.9872988425373096</v>
      </c>
    </row>
    <row r="615" spans="1:7">
      <c r="A615" t="s">
        <v>137</v>
      </c>
      <c r="B615">
        <v>2</v>
      </c>
      <c r="C615">
        <v>4.970330313062078</v>
      </c>
      <c r="D615">
        <v>4.76837621751516</v>
      </c>
      <c r="E615">
        <v>15.59148830379592</v>
      </c>
      <c r="F615">
        <v>1819.653914890474</v>
      </c>
      <c r="G615">
        <v>0.987381187634881</v>
      </c>
    </row>
    <row r="616" spans="1:7">
      <c r="A616" t="s">
        <v>137</v>
      </c>
      <c r="B616">
        <v>2</v>
      </c>
      <c r="C616">
        <v>4.976694042363625</v>
      </c>
      <c r="D616">
        <v>4.774659900618062</v>
      </c>
      <c r="E616">
        <v>15.62185295226505</v>
      </c>
      <c r="F616">
        <v>1822.051823116785</v>
      </c>
      <c r="G616">
        <v>0.9874618063452469</v>
      </c>
    </row>
    <row r="617" spans="1:7">
      <c r="A617" t="s">
        <v>137</v>
      </c>
      <c r="B617">
        <v>2</v>
      </c>
      <c r="C617">
        <v>4.983057257698266</v>
      </c>
      <c r="D617">
        <v>4.780943583720964</v>
      </c>
      <c r="E617">
        <v>15.6522551327781</v>
      </c>
      <c r="F617">
        <v>1824.449731343096</v>
      </c>
      <c r="G617">
        <v>0.9875406986684083</v>
      </c>
    </row>
    <row r="618" spans="1:7">
      <c r="A618" t="s">
        <v>137</v>
      </c>
      <c r="B618">
        <v>2</v>
      </c>
      <c r="C618">
        <v>4.989419970271662</v>
      </c>
      <c r="D618">
        <v>4.787227266823866</v>
      </c>
      <c r="E618">
        <v>15.68269489248468</v>
      </c>
      <c r="F618">
        <v>1826.847639569407</v>
      </c>
      <c r="G618">
        <v>0.9876178646043644</v>
      </c>
    </row>
    <row r="619" spans="1:7">
      <c r="A619" t="s">
        <v>137</v>
      </c>
      <c r="B619">
        <v>2</v>
      </c>
      <c r="C619">
        <v>4.995782191284182</v>
      </c>
      <c r="D619">
        <v>4.793510949926767</v>
      </c>
      <c r="E619">
        <v>15.71317227872031</v>
      </c>
      <c r="F619">
        <v>1829.245547795718</v>
      </c>
      <c r="G619">
        <v>0.9876933041531154</v>
      </c>
    </row>
    <row r="620" spans="1:7">
      <c r="A620" t="s">
        <v>137</v>
      </c>
      <c r="B620">
        <v>2</v>
      </c>
      <c r="C620">
        <v>5.002143931931022</v>
      </c>
      <c r="D620">
        <v>4.799794633029669</v>
      </c>
      <c r="E620">
        <v>15.74368733900681</v>
      </c>
      <c r="F620">
        <v>1831.64345602203</v>
      </c>
      <c r="G620">
        <v>0.9877670173146613</v>
      </c>
    </row>
    <row r="621" spans="1:7">
      <c r="A621" t="s">
        <v>137</v>
      </c>
      <c r="B621">
        <v>2</v>
      </c>
      <c r="C621">
        <v>5.008505203402325</v>
      </c>
      <c r="D621">
        <v>4.80607831613257</v>
      </c>
      <c r="E621">
        <v>15.77424012105279</v>
      </c>
      <c r="F621">
        <v>1834.041364248341</v>
      </c>
      <c r="G621">
        <v>0.9878390040890024</v>
      </c>
    </row>
    <row r="622" spans="1:7">
      <c r="A622" t="s">
        <v>137</v>
      </c>
      <c r="B622">
        <v>2</v>
      </c>
      <c r="C622">
        <v>5.014866016883297</v>
      </c>
      <c r="D622">
        <v>4.812361999235472</v>
      </c>
      <c r="E622">
        <v>15.80483067275407</v>
      </c>
      <c r="F622">
        <v>1836.439272474652</v>
      </c>
      <c r="G622">
        <v>0.9879092644761379</v>
      </c>
    </row>
    <row r="623" spans="1:7">
      <c r="A623" t="s">
        <v>137</v>
      </c>
      <c r="B623">
        <v>2</v>
      </c>
      <c r="C623">
        <v>5.021226383554328</v>
      </c>
      <c r="D623">
        <v>4.818645682338374</v>
      </c>
      <c r="E623">
        <v>15.83545904219411</v>
      </c>
      <c r="F623">
        <v>1838.837180700964</v>
      </c>
      <c r="G623">
        <v>0.9879777984760687</v>
      </c>
    </row>
    <row r="624" spans="1:7">
      <c r="A624" t="s">
        <v>137</v>
      </c>
      <c r="B624">
        <v>2</v>
      </c>
      <c r="C624">
        <v>5.02758631459111</v>
      </c>
      <c r="D624">
        <v>4.824929365441275</v>
      </c>
      <c r="E624">
        <v>15.86612527764449</v>
      </c>
      <c r="F624">
        <v>1841.235088927274</v>
      </c>
      <c r="G624">
        <v>0.9880446060887943</v>
      </c>
    </row>
    <row r="625" spans="1:7">
      <c r="A625" t="s">
        <v>137</v>
      </c>
      <c r="B625">
        <v>2</v>
      </c>
      <c r="C625">
        <v>5.033945821164755</v>
      </c>
      <c r="D625">
        <v>4.831213048544178</v>
      </c>
      <c r="E625">
        <v>15.89682942756536</v>
      </c>
      <c r="F625">
        <v>1843.632997153586</v>
      </c>
      <c r="G625">
        <v>0.9881096873143153</v>
      </c>
    </row>
    <row r="626" spans="1:7">
      <c r="A626" t="s">
        <v>137</v>
      </c>
      <c r="B626">
        <v>2</v>
      </c>
      <c r="C626">
        <v>5.040304914441913</v>
      </c>
      <c r="D626">
        <v>4.837496731647079</v>
      </c>
      <c r="E626">
        <v>15.92757154060588</v>
      </c>
      <c r="F626">
        <v>1846.030905379897</v>
      </c>
      <c r="G626">
        <v>0.9881730421526306</v>
      </c>
    </row>
    <row r="627" spans="1:7">
      <c r="A627" t="s">
        <v>137</v>
      </c>
      <c r="B627">
        <v>2</v>
      </c>
      <c r="C627">
        <v>5.046663605584895</v>
      </c>
      <c r="D627">
        <v>4.843780414749981</v>
      </c>
      <c r="E627">
        <v>15.9583516656047</v>
      </c>
      <c r="F627">
        <v>1848.428813606208</v>
      </c>
      <c r="G627">
        <v>0.988234670603741</v>
      </c>
    </row>
    <row r="628" spans="1:7">
      <c r="A628" t="s">
        <v>137</v>
      </c>
      <c r="B628">
        <v>2</v>
      </c>
      <c r="C628">
        <v>5.05302190575178</v>
      </c>
      <c r="D628">
        <v>4.850064097852883</v>
      </c>
      <c r="E628">
        <v>15.98916985159039</v>
      </c>
      <c r="F628">
        <v>1850.826721832519</v>
      </c>
      <c r="G628">
        <v>0.9882945726676462</v>
      </c>
    </row>
    <row r="629" spans="1:7">
      <c r="A629" t="s">
        <v>137</v>
      </c>
      <c r="B629">
        <v>2</v>
      </c>
      <c r="C629">
        <v>5.059379826096546</v>
      </c>
      <c r="D629">
        <v>4.856347780955784</v>
      </c>
      <c r="E629">
        <v>16.02002614778196</v>
      </c>
      <c r="F629">
        <v>1853.22463005883</v>
      </c>
      <c r="G629">
        <v>0.9883527483443468</v>
      </c>
    </row>
    <row r="630" spans="1:7">
      <c r="A630" t="s">
        <v>137</v>
      </c>
      <c r="B630">
        <v>2</v>
      </c>
      <c r="C630">
        <v>5.065737377769179</v>
      </c>
      <c r="D630">
        <v>4.862631464058685</v>
      </c>
      <c r="E630">
        <v>16.05092060358927</v>
      </c>
      <c r="F630">
        <v>1855.622538285141</v>
      </c>
      <c r="G630">
        <v>0.9884091976338417</v>
      </c>
    </row>
    <row r="631" spans="1:7">
      <c r="A631" t="s">
        <v>137</v>
      </c>
      <c r="B631">
        <v>2</v>
      </c>
      <c r="C631">
        <v>5.072094571915795</v>
      </c>
      <c r="D631">
        <v>4.868915147161587</v>
      </c>
      <c r="E631">
        <v>16.08185326861357</v>
      </c>
      <c r="F631">
        <v>1858.020446511453</v>
      </c>
      <c r="G631">
        <v>0.9884639205361324</v>
      </c>
    </row>
    <row r="632" spans="1:7">
      <c r="A632" t="s">
        <v>137</v>
      </c>
      <c r="B632">
        <v>2</v>
      </c>
      <c r="C632">
        <v>5.078451419678757</v>
      </c>
      <c r="D632">
        <v>4.875198830264489</v>
      </c>
      <c r="E632">
        <v>16.1128241926479</v>
      </c>
      <c r="F632">
        <v>1860.418354737764</v>
      </c>
      <c r="G632">
        <v>0.9885169170512172</v>
      </c>
    </row>
    <row r="633" spans="1:7">
      <c r="A633" t="s">
        <v>137</v>
      </c>
      <c r="B633">
        <v>2</v>
      </c>
      <c r="C633">
        <v>5.08480793219679</v>
      </c>
      <c r="D633">
        <v>4.881482513367391</v>
      </c>
      <c r="E633">
        <v>16.14383342567763</v>
      </c>
      <c r="F633">
        <v>1862.816262964075</v>
      </c>
      <c r="G633">
        <v>0.9885681871790974</v>
      </c>
    </row>
    <row r="634" spans="1:7">
      <c r="A634" t="s">
        <v>137</v>
      </c>
      <c r="B634">
        <v>2</v>
      </c>
      <c r="C634">
        <v>5.091164120605099</v>
      </c>
      <c r="D634">
        <v>4.887766196470293</v>
      </c>
      <c r="E634">
        <v>16.1748810178809</v>
      </c>
      <c r="F634">
        <v>1865.214171190386</v>
      </c>
      <c r="G634">
        <v>0.9886177309197723</v>
      </c>
    </row>
    <row r="635" spans="1:7">
      <c r="A635" t="s">
        <v>137</v>
      </c>
      <c r="B635">
        <v>2</v>
      </c>
      <c r="C635">
        <v>5.097519996035493</v>
      </c>
      <c r="D635">
        <v>4.894049879573194</v>
      </c>
      <c r="E635">
        <v>16.20596701962916</v>
      </c>
      <c r="F635">
        <v>1867.612079416697</v>
      </c>
      <c r="G635">
        <v>0.9886655482732417</v>
      </c>
    </row>
    <row r="636" spans="1:7">
      <c r="A636" t="s">
        <v>137</v>
      </c>
      <c r="B636">
        <v>2</v>
      </c>
      <c r="C636">
        <v>5.103875569616496</v>
      </c>
      <c r="D636">
        <v>4.900333562676096</v>
      </c>
      <c r="E636">
        <v>16.2370914814876</v>
      </c>
      <c r="F636">
        <v>1870.009987643009</v>
      </c>
      <c r="G636">
        <v>0.988711639239507</v>
      </c>
    </row>
    <row r="637" spans="1:7">
      <c r="A637" t="s">
        <v>137</v>
      </c>
      <c r="B637">
        <v>2</v>
      </c>
      <c r="C637">
        <v>5.11023085247346</v>
      </c>
      <c r="D637">
        <v>4.906617245778998</v>
      </c>
      <c r="E637">
        <v>16.26825445421567</v>
      </c>
      <c r="F637">
        <v>1872.40789586932</v>
      </c>
      <c r="G637">
        <v>0.9887560038185664</v>
      </c>
    </row>
    <row r="638" spans="1:7">
      <c r="A638" t="s">
        <v>137</v>
      </c>
      <c r="B638">
        <v>2</v>
      </c>
      <c r="C638">
        <v>5.116585855728694</v>
      </c>
      <c r="D638">
        <v>4.912900928881899</v>
      </c>
      <c r="E638">
        <v>16.29945598876757</v>
      </c>
      <c r="F638">
        <v>1874.805804095631</v>
      </c>
      <c r="G638">
        <v>0.9887986420104214</v>
      </c>
    </row>
    <row r="639" spans="1:7">
      <c r="A639" t="s">
        <v>137</v>
      </c>
      <c r="B639">
        <v>2</v>
      </c>
      <c r="C639">
        <v>5.122940590501571</v>
      </c>
      <c r="D639">
        <v>4.919184611984801</v>
      </c>
      <c r="E639">
        <v>16.33069613629276</v>
      </c>
      <c r="F639">
        <v>1877.203712321942</v>
      </c>
      <c r="G639">
        <v>0.9888395538150707</v>
      </c>
    </row>
    <row r="640" spans="1:7">
      <c r="A640" t="s">
        <v>137</v>
      </c>
      <c r="B640">
        <v>2</v>
      </c>
      <c r="C640">
        <v>5.129295067908649</v>
      </c>
      <c r="D640">
        <v>4.925468295087702</v>
      </c>
      <c r="E640">
        <v>16.36197494813645</v>
      </c>
      <c r="F640">
        <v>1879.601620548253</v>
      </c>
      <c r="G640">
        <v>0.9888787392325155</v>
      </c>
    </row>
    <row r="641" spans="1:7">
      <c r="A641" t="s">
        <v>137</v>
      </c>
      <c r="B641">
        <v>2</v>
      </c>
      <c r="C641">
        <v>5.135649299063791</v>
      </c>
      <c r="D641">
        <v>4.931751978190604</v>
      </c>
      <c r="E641">
        <v>16.39329247584011</v>
      </c>
      <c r="F641">
        <v>1881.999528774564</v>
      </c>
      <c r="G641">
        <v>0.9889161982627546</v>
      </c>
    </row>
    <row r="642" spans="1:7">
      <c r="A642" t="s">
        <v>137</v>
      </c>
      <c r="B642">
        <v>2</v>
      </c>
      <c r="C642">
        <v>5.142003295078272</v>
      </c>
      <c r="D642">
        <v>4.938035661293506</v>
      </c>
      <c r="E642">
        <v>16.42464877114198</v>
      </c>
      <c r="F642">
        <v>1884.397437000876</v>
      </c>
      <c r="G642">
        <v>0.9889519309057889</v>
      </c>
    </row>
    <row r="643" spans="1:7">
      <c r="A643" t="s">
        <v>137</v>
      </c>
      <c r="B643">
        <v>2</v>
      </c>
      <c r="C643">
        <v>5.148357067060906</v>
      </c>
      <c r="D643">
        <v>4.944319344396408</v>
      </c>
      <c r="E643">
        <v>16.45604388597756</v>
      </c>
      <c r="F643">
        <v>1886.795345227187</v>
      </c>
      <c r="G643">
        <v>0.9889859371616185</v>
      </c>
    </row>
    <row r="644" spans="1:7">
      <c r="A644" t="s">
        <v>137</v>
      </c>
      <c r="B644">
        <v>2</v>
      </c>
      <c r="C644">
        <v>5.15471062611816</v>
      </c>
      <c r="D644">
        <v>4.95060302749931</v>
      </c>
      <c r="E644">
        <v>16.48747787248019</v>
      </c>
      <c r="F644">
        <v>1889.193253453498</v>
      </c>
      <c r="G644">
        <v>0.9890182170302423</v>
      </c>
    </row>
    <row r="645" spans="1:7">
      <c r="A645" t="s">
        <v>137</v>
      </c>
      <c r="B645">
        <v>2</v>
      </c>
      <c r="C645">
        <v>5.161063983354265</v>
      </c>
      <c r="D645">
        <v>4.956886710602211</v>
      </c>
      <c r="E645">
        <v>16.51895078298147</v>
      </c>
      <c r="F645">
        <v>1891.59116167981</v>
      </c>
      <c r="G645">
        <v>0.9890487705116617</v>
      </c>
    </row>
    <row r="646" spans="1:7">
      <c r="A646" t="s">
        <v>137</v>
      </c>
      <c r="B646">
        <v>2</v>
      </c>
      <c r="C646">
        <v>5.167417149871343</v>
      </c>
      <c r="D646">
        <v>4.963170393705113</v>
      </c>
      <c r="E646">
        <v>16.55046267001187</v>
      </c>
      <c r="F646">
        <v>1893.98906990612</v>
      </c>
      <c r="G646">
        <v>0.9890775976058757</v>
      </c>
    </row>
    <row r="647" spans="1:7">
      <c r="A647" t="s">
        <v>137</v>
      </c>
      <c r="B647">
        <v>2</v>
      </c>
      <c r="C647">
        <v>5.173770136769512</v>
      </c>
      <c r="D647">
        <v>4.969454076808015</v>
      </c>
      <c r="E647">
        <v>16.58201358630123</v>
      </c>
      <c r="F647">
        <v>1896.386978132432</v>
      </c>
      <c r="G647">
        <v>0.9891046983128847</v>
      </c>
    </row>
    <row r="648" spans="1:7">
      <c r="A648" t="s">
        <v>137</v>
      </c>
      <c r="B648">
        <v>2</v>
      </c>
      <c r="C648">
        <v>5.180122955147011</v>
      </c>
      <c r="D648">
        <v>4.975737759910916</v>
      </c>
      <c r="E648">
        <v>16.61360358477924</v>
      </c>
      <c r="F648">
        <v>1898.784886358743</v>
      </c>
      <c r="G648">
        <v>0.9891300726326888</v>
      </c>
    </row>
    <row r="649" spans="1:7">
      <c r="A649" t="s">
        <v>137</v>
      </c>
      <c r="B649">
        <v>2</v>
      </c>
      <c r="C649">
        <v>5.186475616100314</v>
      </c>
      <c r="D649">
        <v>4.982021443013818</v>
      </c>
      <c r="E649">
        <v>16.64523271857606</v>
      </c>
      <c r="F649">
        <v>1901.182794585054</v>
      </c>
      <c r="G649">
        <v>0.9891537205652878</v>
      </c>
    </row>
    <row r="650" spans="1:7">
      <c r="A650" t="s">
        <v>137</v>
      </c>
      <c r="B650">
        <v>2</v>
      </c>
      <c r="C650">
        <v>5.192828130724242</v>
      </c>
      <c r="D650">
        <v>4.988305126116719</v>
      </c>
      <c r="E650">
        <v>16.67690104102277</v>
      </c>
      <c r="F650">
        <v>1903.580702811365</v>
      </c>
      <c r="G650">
        <v>0.9891756421106815</v>
      </c>
    </row>
    <row r="651" spans="1:7">
      <c r="A651" t="s">
        <v>137</v>
      </c>
      <c r="B651">
        <v>2</v>
      </c>
      <c r="C651">
        <v>5.199180510112088</v>
      </c>
      <c r="D651">
        <v>4.994588809219621</v>
      </c>
      <c r="E651">
        <v>16.70860860565199</v>
      </c>
      <c r="F651">
        <v>1905.978611037676</v>
      </c>
      <c r="G651">
        <v>0.9891958372688696</v>
      </c>
    </row>
    <row r="652" spans="1:7">
      <c r="A652" t="s">
        <v>137</v>
      </c>
      <c r="B652">
        <v>2</v>
      </c>
      <c r="C652">
        <v>5.205532765355726</v>
      </c>
      <c r="D652">
        <v>5.000872492322523</v>
      </c>
      <c r="E652">
        <v>16.74035546619833</v>
      </c>
      <c r="F652">
        <v>1908.376519263988</v>
      </c>
      <c r="G652">
        <v>0.9892143060398536</v>
      </c>
    </row>
    <row r="653" spans="1:7">
      <c r="A653" t="s">
        <v>137</v>
      </c>
      <c r="B653">
        <v>2</v>
      </c>
      <c r="C653">
        <v>5.211884907545729</v>
      </c>
      <c r="D653">
        <v>5.007156175425425</v>
      </c>
      <c r="E653">
        <v>16.77214167659902</v>
      </c>
      <c r="F653">
        <v>1910.774427490299</v>
      </c>
      <c r="G653">
        <v>0.9892310484236319</v>
      </c>
    </row>
    <row r="654" spans="1:7">
      <c r="A654" t="s">
        <v>137</v>
      </c>
      <c r="B654">
        <v>2</v>
      </c>
      <c r="C654">
        <v>5.218236947771488</v>
      </c>
      <c r="D654">
        <v>5.013439858528327</v>
      </c>
      <c r="E654">
        <v>16.80396729099443</v>
      </c>
      <c r="F654">
        <v>1913.17233571661</v>
      </c>
      <c r="G654">
        <v>0.9892460644202059</v>
      </c>
    </row>
    <row r="655" spans="1:7">
      <c r="A655" t="s">
        <v>137</v>
      </c>
      <c r="B655">
        <v>2</v>
      </c>
      <c r="C655">
        <v>5.224588897121325</v>
      </c>
      <c r="D655">
        <v>5.019723541631228</v>
      </c>
      <c r="E655">
        <v>16.8358323637286</v>
      </c>
      <c r="F655">
        <v>1915.570243942921</v>
      </c>
      <c r="G655">
        <v>0.9892593540295739</v>
      </c>
    </row>
    <row r="656" spans="1:7">
      <c r="A656" t="s">
        <v>137</v>
      </c>
      <c r="B656">
        <v>2</v>
      </c>
      <c r="C656">
        <v>5.23094076668261</v>
      </c>
      <c r="D656">
        <v>5.02600722473413</v>
      </c>
      <c r="E656">
        <v>16.86773694934984</v>
      </c>
      <c r="F656">
        <v>1917.968152169232</v>
      </c>
      <c r="G656">
        <v>0.9892709172517371</v>
      </c>
    </row>
    <row r="657" spans="1:7">
      <c r="A657" t="s">
        <v>137</v>
      </c>
      <c r="B657">
        <v>2</v>
      </c>
      <c r="C657">
        <v>5.237292567541878</v>
      </c>
      <c r="D657">
        <v>5.032290907837032</v>
      </c>
      <c r="E657">
        <v>16.89968110261125</v>
      </c>
      <c r="F657">
        <v>1920.366060395543</v>
      </c>
      <c r="G657">
        <v>0.9892807540866955</v>
      </c>
    </row>
    <row r="658" spans="1:7">
      <c r="A658" t="s">
        <v>137</v>
      </c>
      <c r="B658">
        <v>2</v>
      </c>
      <c r="C658">
        <v>5.243644310784945</v>
      </c>
      <c r="D658">
        <v>5.038574590939933</v>
      </c>
      <c r="E658">
        <v>16.93166487847129</v>
      </c>
      <c r="F658">
        <v>1922.763968621855</v>
      </c>
      <c r="G658">
        <v>0.989288864534449</v>
      </c>
    </row>
    <row r="659" spans="1:7">
      <c r="A659" t="s">
        <v>137</v>
      </c>
      <c r="B659">
        <v>2</v>
      </c>
      <c r="C659">
        <v>5.249996007497024</v>
      </c>
      <c r="D659">
        <v>5.044858274042835</v>
      </c>
      <c r="E659">
        <v>16.96368833209439</v>
      </c>
      <c r="F659">
        <v>1925.161876848166</v>
      </c>
      <c r="G659">
        <v>0.9892952485949965</v>
      </c>
    </row>
    <row r="660" spans="1:7">
      <c r="A660" t="s">
        <v>137</v>
      </c>
      <c r="B660">
        <v>2</v>
      </c>
      <c r="C660">
        <v>5.256347668762837</v>
      </c>
      <c r="D660">
        <v>5.051141957145736</v>
      </c>
      <c r="E660">
        <v>16.99575151885145</v>
      </c>
      <c r="F660">
        <v>1927.559785074477</v>
      </c>
      <c r="G660">
        <v>0.98929990626834</v>
      </c>
    </row>
    <row r="661" spans="1:7">
      <c r="A661" t="s">
        <v>137</v>
      </c>
      <c r="B661">
        <v>2</v>
      </c>
      <c r="C661">
        <v>5.262699305666741</v>
      </c>
      <c r="D661">
        <v>5.057425640248638</v>
      </c>
      <c r="E661">
        <v>17.0278544943205</v>
      </c>
      <c r="F661">
        <v>1929.957693300788</v>
      </c>
      <c r="G661">
        <v>0.989302837554478</v>
      </c>
    </row>
    <row r="662" spans="1:7">
      <c r="A662" t="s">
        <v>137</v>
      </c>
      <c r="B662">
        <v>2</v>
      </c>
      <c r="C662">
        <v>5.269050929292835</v>
      </c>
      <c r="D662">
        <v>5.06370932335154</v>
      </c>
      <c r="E662">
        <v>17.05999731428719</v>
      </c>
      <c r="F662">
        <v>1932.355601527099</v>
      </c>
      <c r="G662">
        <v>0.9893040424534106</v>
      </c>
    </row>
    <row r="663" spans="1:7">
      <c r="A663" t="s">
        <v>137</v>
      </c>
      <c r="B663">
        <v>2</v>
      </c>
      <c r="C663">
        <v>5.275402550725076</v>
      </c>
      <c r="D663">
        <v>5.069993006454442</v>
      </c>
      <c r="E663">
        <v>17.09218003474542</v>
      </c>
      <c r="F663">
        <v>1934.753509753411</v>
      </c>
      <c r="G663">
        <v>0.9893035209651383</v>
      </c>
    </row>
    <row r="664" spans="1:7">
      <c r="A664" t="s">
        <v>137</v>
      </c>
      <c r="B664">
        <v>2</v>
      </c>
      <c r="C664">
        <v>5.281754181047402</v>
      </c>
      <c r="D664">
        <v>5.076276689557343</v>
      </c>
      <c r="E664">
        <v>17.12440271189793</v>
      </c>
      <c r="F664">
        <v>1937.151417979721</v>
      </c>
      <c r="G664">
        <v>0.9893012730896609</v>
      </c>
    </row>
    <row r="665" spans="1:7">
      <c r="A665" t="s">
        <v>137</v>
      </c>
      <c r="B665">
        <v>2</v>
      </c>
      <c r="C665">
        <v>5.288105831343844</v>
      </c>
      <c r="D665">
        <v>5.082560372660245</v>
      </c>
      <c r="E665">
        <v>17.15666540215689</v>
      </c>
      <c r="F665">
        <v>1939.549326206033</v>
      </c>
      <c r="G665">
        <v>0.9892972988269788</v>
      </c>
    </row>
    <row r="666" spans="1:7">
      <c r="A666" t="s">
        <v>137</v>
      </c>
      <c r="B666">
        <v>2</v>
      </c>
      <c r="C666">
        <v>5.294457512698641</v>
      </c>
      <c r="D666">
        <v>5.088844055763147</v>
      </c>
      <c r="E666">
        <v>17.18896816214444</v>
      </c>
      <c r="F666">
        <v>1941.947234432344</v>
      </c>
      <c r="G666">
        <v>0.9892915981770913</v>
      </c>
    </row>
    <row r="667" spans="1:7">
      <c r="A667" t="s">
        <v>137</v>
      </c>
      <c r="B667">
        <v>2</v>
      </c>
      <c r="C667">
        <v>5.300809236196356</v>
      </c>
      <c r="D667">
        <v>5.095127738866048</v>
      </c>
      <c r="E667">
        <v>17.22131104869336</v>
      </c>
      <c r="F667">
        <v>1944.345142658655</v>
      </c>
      <c r="G667">
        <v>0.9892841711399989</v>
      </c>
    </row>
    <row r="668" spans="1:7">
      <c r="A668" t="s">
        <v>137</v>
      </c>
      <c r="B668">
        <v>2</v>
      </c>
      <c r="C668">
        <v>5.307161012921995</v>
      </c>
      <c r="D668">
        <v>5.10141142196895</v>
      </c>
      <c r="E668">
        <v>17.25369411884761</v>
      </c>
      <c r="F668">
        <v>1946.743050884967</v>
      </c>
      <c r="G668">
        <v>0.9892750177157013</v>
      </c>
    </row>
    <row r="669" spans="1:7">
      <c r="A669" t="s">
        <v>137</v>
      </c>
      <c r="B669">
        <v>2</v>
      </c>
      <c r="C669">
        <v>5.31351285396112</v>
      </c>
      <c r="D669">
        <v>5.107695105071851</v>
      </c>
      <c r="E669">
        <v>17.28611742986298</v>
      </c>
      <c r="F669">
        <v>1949.140959111277</v>
      </c>
      <c r="G669">
        <v>0.9892641379041988</v>
      </c>
    </row>
    <row r="670" spans="1:7">
      <c r="A670" t="s">
        <v>137</v>
      </c>
      <c r="B670">
        <v>2</v>
      </c>
      <c r="C670">
        <v>5.319864770399969</v>
      </c>
      <c r="D670">
        <v>5.113978788174753</v>
      </c>
      <c r="E670">
        <v>17.31858103920766</v>
      </c>
      <c r="F670">
        <v>1951.538867337588</v>
      </c>
      <c r="G670">
        <v>0.9892515317054908</v>
      </c>
    </row>
    <row r="671" spans="1:7">
      <c r="A671" t="s">
        <v>137</v>
      </c>
      <c r="B671">
        <v>2</v>
      </c>
      <c r="C671">
        <v>5.326216773325567</v>
      </c>
      <c r="D671">
        <v>5.120262471277655</v>
      </c>
      <c r="E671">
        <v>17.3510850045629</v>
      </c>
      <c r="F671">
        <v>1953.9367755639</v>
      </c>
      <c r="G671">
        <v>0.9892371991195779</v>
      </c>
    </row>
    <row r="672" spans="1:7">
      <c r="A672" t="s">
        <v>137</v>
      </c>
      <c r="B672">
        <v>2</v>
      </c>
      <c r="C672">
        <v>5.332568873825845</v>
      </c>
      <c r="D672">
        <v>5.126546154380557</v>
      </c>
      <c r="E672">
        <v>17.38362938382354</v>
      </c>
      <c r="F672">
        <v>1956.334683790211</v>
      </c>
      <c r="G672">
        <v>0.9892211401464605</v>
      </c>
    </row>
    <row r="673" spans="1:7">
      <c r="A673" t="s">
        <v>137</v>
      </c>
      <c r="B673">
        <v>2</v>
      </c>
      <c r="C673">
        <v>5.338921082989757</v>
      </c>
      <c r="D673">
        <v>5.132829837483459</v>
      </c>
      <c r="E673">
        <v>17.41621423509872</v>
      </c>
      <c r="F673">
        <v>1958.732592016522</v>
      </c>
      <c r="G673">
        <v>0.9892033547861374</v>
      </c>
    </row>
    <row r="674" spans="1:7">
      <c r="A674" t="s">
        <v>137</v>
      </c>
      <c r="B674">
        <v>2</v>
      </c>
      <c r="C674">
        <v>5.345273411907394</v>
      </c>
      <c r="D674">
        <v>5.13911352058636</v>
      </c>
      <c r="E674">
        <v>17.44883961671245</v>
      </c>
      <c r="F674">
        <v>1961.130500242833</v>
      </c>
      <c r="G674">
        <v>0.9891838430386092</v>
      </c>
    </row>
    <row r="675" spans="1:7">
      <c r="A675" t="s">
        <v>137</v>
      </c>
      <c r="B675">
        <v>2</v>
      </c>
      <c r="C675">
        <v>5.351625871670103</v>
      </c>
      <c r="D675">
        <v>5.145397203689262</v>
      </c>
      <c r="E675">
        <v>17.48150558720426</v>
      </c>
      <c r="F675">
        <v>1963.528408469145</v>
      </c>
      <c r="G675">
        <v>0.9891626049038763</v>
      </c>
    </row>
    <row r="676" spans="1:7">
      <c r="A676" t="s">
        <v>137</v>
      </c>
      <c r="B676">
        <v>2</v>
      </c>
      <c r="C676">
        <v>5.357978473370599</v>
      </c>
      <c r="D676">
        <v>5.151680886792164</v>
      </c>
      <c r="E676">
        <v>17.51421220532982</v>
      </c>
      <c r="F676">
        <v>1965.926316695456</v>
      </c>
      <c r="G676">
        <v>0.9891396403819382</v>
      </c>
    </row>
    <row r="677" spans="1:7">
      <c r="A677" t="s">
        <v>137</v>
      </c>
      <c r="B677">
        <v>2</v>
      </c>
      <c r="C677">
        <v>5.364331228103084</v>
      </c>
      <c r="D677">
        <v>5.157964569895065</v>
      </c>
      <c r="E677">
        <v>17.54695953006154</v>
      </c>
      <c r="F677">
        <v>1968.324224921767</v>
      </c>
      <c r="G677">
        <v>0.9891149494727949</v>
      </c>
    </row>
    <row r="678" spans="1:7">
      <c r="A678" t="s">
        <v>137</v>
      </c>
      <c r="B678">
        <v>2</v>
      </c>
      <c r="C678">
        <v>5.370684146963366</v>
      </c>
      <c r="D678">
        <v>5.164248252997967</v>
      </c>
      <c r="E678">
        <v>17.57974762058929</v>
      </c>
      <c r="F678">
        <v>1970.722133148078</v>
      </c>
      <c r="G678">
        <v>0.9890885321764463</v>
      </c>
    </row>
    <row r="679" spans="1:7">
      <c r="A679" t="s">
        <v>137</v>
      </c>
      <c r="B679">
        <v>2</v>
      </c>
      <c r="C679">
        <v>5.377037241048969</v>
      </c>
      <c r="D679">
        <v>5.170531936100868</v>
      </c>
      <c r="E679">
        <v>17.61257653632095</v>
      </c>
      <c r="F679">
        <v>1973.120041374389</v>
      </c>
      <c r="G679">
        <v>0.9890603884928929</v>
      </c>
    </row>
    <row r="680" spans="1:7">
      <c r="A680" t="s">
        <v>137</v>
      </c>
      <c r="B680">
        <v>2</v>
      </c>
      <c r="C680">
        <v>5.383390521459256</v>
      </c>
      <c r="D680">
        <v>5.17681561920377</v>
      </c>
      <c r="E680">
        <v>17.64544633688315</v>
      </c>
      <c r="F680">
        <v>1975.517949600701</v>
      </c>
      <c r="G680">
        <v>0.989030518422135</v>
      </c>
    </row>
    <row r="681" spans="1:7">
      <c r="A681" t="s">
        <v>137</v>
      </c>
      <c r="B681">
        <v>2</v>
      </c>
      <c r="C681">
        <v>5.389743999295539</v>
      </c>
      <c r="D681">
        <v>5.183099302306672</v>
      </c>
      <c r="E681">
        <v>17.67835708212181</v>
      </c>
      <c r="F681">
        <v>1977.915857827011</v>
      </c>
      <c r="G681">
        <v>0.9889989219641713</v>
      </c>
    </row>
    <row r="682" spans="1:7">
      <c r="A682" t="s">
        <v>137</v>
      </c>
      <c r="B682">
        <v>2</v>
      </c>
      <c r="C682">
        <v>5.396097685661201</v>
      </c>
      <c r="D682">
        <v>5.189382985409574</v>
      </c>
      <c r="E682">
        <v>17.71130883210288</v>
      </c>
      <c r="F682">
        <v>1980.313766053323</v>
      </c>
      <c r="G682">
        <v>0.9889655991190025</v>
      </c>
    </row>
    <row r="683" spans="1:7">
      <c r="A683" t="s">
        <v>137</v>
      </c>
      <c r="B683">
        <v>2</v>
      </c>
      <c r="C683">
        <v>5.402451591661811</v>
      </c>
      <c r="D683">
        <v>5.195666668512476</v>
      </c>
      <c r="E683">
        <v>17.74430164711298</v>
      </c>
      <c r="F683">
        <v>1982.711674279634</v>
      </c>
      <c r="G683">
        <v>0.9889305498866289</v>
      </c>
    </row>
    <row r="684" spans="1:7">
      <c r="A684" t="s">
        <v>137</v>
      </c>
      <c r="B684">
        <v>2</v>
      </c>
      <c r="C684">
        <v>5.408805728405238</v>
      </c>
      <c r="D684">
        <v>5.201950351615377</v>
      </c>
      <c r="E684">
        <v>17.77733558766002</v>
      </c>
      <c r="F684">
        <v>1985.109582505945</v>
      </c>
      <c r="G684">
        <v>0.9888937742670503</v>
      </c>
    </row>
    <row r="685" spans="1:7">
      <c r="A685" t="s">
        <v>137</v>
      </c>
      <c r="B685">
        <v>2</v>
      </c>
      <c r="C685">
        <v>5.41516010700177</v>
      </c>
      <c r="D685">
        <v>5.208234034718279</v>
      </c>
      <c r="E685">
        <v>17.81041071447392</v>
      </c>
      <c r="F685">
        <v>1987.507490732257</v>
      </c>
      <c r="G685">
        <v>0.9888552722602664</v>
      </c>
    </row>
    <row r="686" spans="1:7">
      <c r="A686" t="s">
        <v>137</v>
      </c>
      <c r="B686">
        <v>2</v>
      </c>
      <c r="C686">
        <v>5.421514738564233</v>
      </c>
      <c r="D686">
        <v>5.214517717821181</v>
      </c>
      <c r="E686">
        <v>17.84352708850724</v>
      </c>
      <c r="F686">
        <v>1989.905398958568</v>
      </c>
      <c r="G686">
        <v>0.9888150438662775</v>
      </c>
    </row>
    <row r="687" spans="1:7">
      <c r="A687" t="s">
        <v>137</v>
      </c>
      <c r="B687">
        <v>2</v>
      </c>
      <c r="C687">
        <v>5.427869634208101</v>
      </c>
      <c r="D687">
        <v>5.220801400924082</v>
      </c>
      <c r="E687">
        <v>17.87668477093587</v>
      </c>
      <c r="F687">
        <v>1992.303307184879</v>
      </c>
      <c r="G687">
        <v>0.9887730890850832</v>
      </c>
    </row>
    <row r="688" spans="1:7">
      <c r="A688" t="s">
        <v>137</v>
      </c>
      <c r="B688">
        <v>2</v>
      </c>
      <c r="C688">
        <v>5.434224805051623</v>
      </c>
      <c r="D688">
        <v>5.227085084026984</v>
      </c>
      <c r="E688">
        <v>17.90988382315971</v>
      </c>
      <c r="F688">
        <v>1994.70121541119</v>
      </c>
      <c r="G688">
        <v>0.9887294079166846</v>
      </c>
    </row>
    <row r="689" spans="1:7">
      <c r="A689" t="s">
        <v>137</v>
      </c>
      <c r="B689">
        <v>2</v>
      </c>
      <c r="C689">
        <v>5.440580262215927</v>
      </c>
      <c r="D689">
        <v>5.233368767129885</v>
      </c>
      <c r="E689">
        <v>17.94312430680334</v>
      </c>
      <c r="F689">
        <v>1997.099123637501</v>
      </c>
      <c r="G689">
        <v>0.9886840003610801</v>
      </c>
    </row>
    <row r="690" spans="1:7">
      <c r="A690" t="s">
        <v>137</v>
      </c>
      <c r="B690">
        <v>2</v>
      </c>
      <c r="C690">
        <v>5.446936016825149</v>
      </c>
      <c r="D690">
        <v>5.239652450232787</v>
      </c>
      <c r="E690">
        <v>17.97640628371671</v>
      </c>
      <c r="F690">
        <v>1999.497031863812</v>
      </c>
      <c r="G690">
        <v>0.9886368664182709</v>
      </c>
    </row>
    <row r="691" spans="1:7">
      <c r="A691" t="s">
        <v>137</v>
      </c>
      <c r="B691">
        <v>2</v>
      </c>
      <c r="C691">
        <v>5.453292080006545</v>
      </c>
      <c r="D691">
        <v>5.24593613333569</v>
      </c>
      <c r="E691">
        <v>18.00972981597583</v>
      </c>
      <c r="F691">
        <v>2001.894940090124</v>
      </c>
      <c r="G691">
        <v>0.988588006088257</v>
      </c>
    </row>
    <row r="692" spans="1:7">
      <c r="A692" t="s">
        <v>137</v>
      </c>
      <c r="B692">
        <v>2</v>
      </c>
      <c r="C692">
        <v>5.459648462890605</v>
      </c>
      <c r="D692">
        <v>5.252219816438591</v>
      </c>
      <c r="E692">
        <v>18.04309496588348</v>
      </c>
      <c r="F692">
        <v>2004.292848316434</v>
      </c>
      <c r="G692">
        <v>0.9885374193710375</v>
      </c>
    </row>
    <row r="693" spans="1:7">
      <c r="A693" t="s">
        <v>137</v>
      </c>
      <c r="B693">
        <v>2</v>
      </c>
      <c r="C693">
        <v>5.466005176611177</v>
      </c>
      <c r="D693">
        <v>5.258503499541492</v>
      </c>
      <c r="E693">
        <v>18.07650179596986</v>
      </c>
      <c r="F693">
        <v>2006.690756542746</v>
      </c>
      <c r="G693">
        <v>0.9884851062666131</v>
      </c>
    </row>
    <row r="694" spans="1:7">
      <c r="A694" t="s">
        <v>137</v>
      </c>
      <c r="B694">
        <v>2</v>
      </c>
      <c r="C694">
        <v>5.472362232305582</v>
      </c>
      <c r="D694">
        <v>5.264787182644394</v>
      </c>
      <c r="E694">
        <v>18.10995036899335</v>
      </c>
      <c r="F694">
        <v>2009.088664769057</v>
      </c>
      <c r="G694">
        <v>0.9884310667749839</v>
      </c>
    </row>
    <row r="695" spans="1:7">
      <c r="A695" t="s">
        <v>137</v>
      </c>
      <c r="B695">
        <v>2</v>
      </c>
      <c r="C695">
        <v>5.478719641114727</v>
      </c>
      <c r="D695">
        <v>5.271070865747296</v>
      </c>
      <c r="E695">
        <v>18.14344074794119</v>
      </c>
      <c r="F695">
        <v>2011.486572995368</v>
      </c>
      <c r="G695">
        <v>0.988375300896149</v>
      </c>
    </row>
    <row r="696" spans="1:7">
      <c r="A696" t="s">
        <v>137</v>
      </c>
      <c r="B696">
        <v>2</v>
      </c>
      <c r="C696">
        <v>5.485077414183226</v>
      </c>
      <c r="D696">
        <v>5.277354548850197</v>
      </c>
      <c r="E696">
        <v>18.17697299603017</v>
      </c>
      <c r="F696">
        <v>2013.884481221679</v>
      </c>
      <c r="G696">
        <v>0.9883178086301097</v>
      </c>
    </row>
    <row r="697" spans="1:7">
      <c r="A697" t="s">
        <v>137</v>
      </c>
      <c r="B697">
        <v>2</v>
      </c>
      <c r="C697">
        <v>5.491435562659522</v>
      </c>
      <c r="D697">
        <v>5.283638231953099</v>
      </c>
      <c r="E697">
        <v>18.21054717670738</v>
      </c>
      <c r="F697">
        <v>2016.28238944799</v>
      </c>
      <c r="G697">
        <v>0.9882585899768647</v>
      </c>
    </row>
    <row r="698" spans="1:7">
      <c r="A698" t="s">
        <v>137</v>
      </c>
      <c r="B698">
        <v>2</v>
      </c>
      <c r="C698">
        <v>5.497794097695995</v>
      </c>
      <c r="D698">
        <v>5.289921915056</v>
      </c>
      <c r="E698">
        <v>18.2441633536509</v>
      </c>
      <c r="F698">
        <v>2018.680297674302</v>
      </c>
      <c r="G698">
        <v>0.9881976449364152</v>
      </c>
    </row>
    <row r="699" spans="1:7">
      <c r="A699" t="s">
        <v>137</v>
      </c>
      <c r="B699">
        <v>2</v>
      </c>
      <c r="C699">
        <v>5.504153030449091</v>
      </c>
      <c r="D699">
        <v>5.296205598158902</v>
      </c>
      <c r="E699">
        <v>18.27782159077056</v>
      </c>
      <c r="F699">
        <v>2021.078205900613</v>
      </c>
      <c r="G699">
        <v>0.9881349735087602</v>
      </c>
    </row>
    <row r="700" spans="1:7">
      <c r="A700" t="s">
        <v>137</v>
      </c>
      <c r="B700">
        <v>2</v>
      </c>
      <c r="C700">
        <v>5.510512372079429</v>
      </c>
      <c r="D700">
        <v>5.302489281261805</v>
      </c>
      <c r="E700">
        <v>18.31152195220862</v>
      </c>
      <c r="F700">
        <v>2023.476114126924</v>
      </c>
      <c r="G700">
        <v>0.9880705756939003</v>
      </c>
    </row>
    <row r="701" spans="1:7">
      <c r="A701" t="s">
        <v>137</v>
      </c>
      <c r="B701">
        <v>2</v>
      </c>
      <c r="C701">
        <v>5.516872133751926</v>
      </c>
      <c r="D701">
        <v>5.308772964364706</v>
      </c>
      <c r="E701">
        <v>18.34526450234052</v>
      </c>
      <c r="F701">
        <v>2025.874022353235</v>
      </c>
      <c r="G701">
        <v>0.9880044514918346</v>
      </c>
    </row>
    <row r="702" spans="1:7">
      <c r="A702" t="s">
        <v>137</v>
      </c>
      <c r="B702">
        <v>2</v>
      </c>
      <c r="C702">
        <v>5.523232326635916</v>
      </c>
      <c r="D702">
        <v>5.315056647467608</v>
      </c>
      <c r="E702">
        <v>18.37904930577564</v>
      </c>
      <c r="F702">
        <v>2028.271930579547</v>
      </c>
      <c r="G702">
        <v>0.9879366009025652</v>
      </c>
    </row>
    <row r="703" spans="1:7">
      <c r="A703" t="s">
        <v>137</v>
      </c>
      <c r="B703">
        <v>2</v>
      </c>
      <c r="C703">
        <v>5.529592961905261</v>
      </c>
      <c r="D703">
        <v>5.321340330570509</v>
      </c>
      <c r="E703">
        <v>18.41287642735801</v>
      </c>
      <c r="F703">
        <v>2030.669838805857</v>
      </c>
      <c r="G703">
        <v>0.9878670239260899</v>
      </c>
    </row>
    <row r="704" spans="1:7">
      <c r="A704" t="s">
        <v>137</v>
      </c>
      <c r="B704">
        <v>2</v>
      </c>
      <c r="C704">
        <v>5.535954050738481</v>
      </c>
      <c r="D704">
        <v>5.327624013673411</v>
      </c>
      <c r="E704">
        <v>18.44674593216707</v>
      </c>
      <c r="F704">
        <v>2033.067747032169</v>
      </c>
      <c r="G704">
        <v>0.9877957205624097</v>
      </c>
    </row>
    <row r="705" spans="1:7">
      <c r="A705" t="s">
        <v>137</v>
      </c>
      <c r="B705">
        <v>2</v>
      </c>
      <c r="C705">
        <v>5.542315604318859</v>
      </c>
      <c r="D705">
        <v>5.333907696776313</v>
      </c>
      <c r="E705">
        <v>18.48065788551839</v>
      </c>
      <c r="F705">
        <v>2035.46565525848</v>
      </c>
      <c r="G705">
        <v>0.9877226908115246</v>
      </c>
    </row>
    <row r="706" spans="1:7">
      <c r="A706" t="s">
        <v>137</v>
      </c>
      <c r="B706">
        <v>2</v>
      </c>
      <c r="C706">
        <v>5.548677633834568</v>
      </c>
      <c r="D706">
        <v>5.340191379879214</v>
      </c>
      <c r="E706">
        <v>18.51461235296448</v>
      </c>
      <c r="F706">
        <v>2037.863563484791</v>
      </c>
      <c r="G706">
        <v>0.987647934673434</v>
      </c>
    </row>
    <row r="707" spans="1:7">
      <c r="A707" t="s">
        <v>137</v>
      </c>
      <c r="B707">
        <v>2</v>
      </c>
      <c r="C707">
        <v>5.555040150478793</v>
      </c>
      <c r="D707">
        <v>5.346475062982116</v>
      </c>
      <c r="E707">
        <v>18.54860940029551</v>
      </c>
      <c r="F707">
        <v>2040.261471711102</v>
      </c>
      <c r="G707">
        <v>0.9875714521481387</v>
      </c>
    </row>
    <row r="708" spans="1:7">
      <c r="A708" t="s">
        <v>137</v>
      </c>
      <c r="B708">
        <v>2</v>
      </c>
      <c r="C708">
        <v>5.561403165449837</v>
      </c>
      <c r="D708">
        <v>5.352758746085017</v>
      </c>
      <c r="E708">
        <v>18.58264909354004</v>
      </c>
      <c r="F708">
        <v>2042.659379937414</v>
      </c>
      <c r="G708">
        <v>0.9874932432356381</v>
      </c>
    </row>
    <row r="709" spans="1:7">
      <c r="A709" t="s">
        <v>137</v>
      </c>
      <c r="B709">
        <v>2</v>
      </c>
      <c r="C709">
        <v>5.567766689951256</v>
      </c>
      <c r="D709">
        <v>5.35904242918792</v>
      </c>
      <c r="E709">
        <v>18.61673149896586</v>
      </c>
      <c r="F709">
        <v>2045.057288163724</v>
      </c>
      <c r="G709">
        <v>0.9874133079359326</v>
      </c>
    </row>
    <row r="710" spans="1:7">
      <c r="A710" t="s">
        <v>137</v>
      </c>
      <c r="B710">
        <v>2</v>
      </c>
      <c r="C710">
        <v>5.574130735191965</v>
      </c>
      <c r="D710">
        <v>5.365326112290822</v>
      </c>
      <c r="E710">
        <v>18.65085668308071</v>
      </c>
      <c r="F710">
        <v>2047.455196390036</v>
      </c>
      <c r="G710">
        <v>0.987331646249022</v>
      </c>
    </row>
    <row r="711" spans="1:7">
      <c r="A711" t="s">
        <v>137</v>
      </c>
      <c r="B711">
        <v>2</v>
      </c>
      <c r="C711">
        <v>5.580495312386365</v>
      </c>
      <c r="D711">
        <v>5.371609795393723</v>
      </c>
      <c r="E711">
        <v>18.68502471263307</v>
      </c>
      <c r="F711">
        <v>2049.853104616347</v>
      </c>
      <c r="G711">
        <v>0.9872482581749061</v>
      </c>
    </row>
    <row r="712" spans="1:7">
      <c r="A712" t="s">
        <v>137</v>
      </c>
      <c r="B712">
        <v>2</v>
      </c>
      <c r="C712">
        <v>5.58686043275446</v>
      </c>
      <c r="D712">
        <v>5.377893478496625</v>
      </c>
      <c r="E712">
        <v>18.71923565461293</v>
      </c>
      <c r="F712">
        <v>2052.251012842658</v>
      </c>
      <c r="G712">
        <v>0.9871631437135855</v>
      </c>
    </row>
    <row r="713" spans="1:7">
      <c r="A713" t="s">
        <v>137</v>
      </c>
      <c r="B713">
        <v>2</v>
      </c>
      <c r="C713">
        <v>5.593226107521975</v>
      </c>
      <c r="D713">
        <v>5.384177161599526</v>
      </c>
      <c r="E713">
        <v>18.75348957625261</v>
      </c>
      <c r="F713">
        <v>2054.64892106897</v>
      </c>
      <c r="G713">
        <v>0.9870763028650591</v>
      </c>
    </row>
    <row r="714" spans="1:7">
      <c r="A714" t="s">
        <v>137</v>
      </c>
      <c r="B714">
        <v>2</v>
      </c>
      <c r="C714">
        <v>5.599592347920481</v>
      </c>
      <c r="D714">
        <v>5.390460844702428</v>
      </c>
      <c r="E714">
        <v>18.78778654502749</v>
      </c>
      <c r="F714">
        <v>2057.046829295281</v>
      </c>
      <c r="G714">
        <v>0.9869877356293286</v>
      </c>
    </row>
    <row r="715" spans="1:7">
      <c r="A715" t="s">
        <v>137</v>
      </c>
      <c r="B715">
        <v>2</v>
      </c>
      <c r="C715">
        <v>5.605959165187509</v>
      </c>
      <c r="D715">
        <v>5.39674452780533</v>
      </c>
      <c r="E715">
        <v>18.82212662865687</v>
      </c>
      <c r="F715">
        <v>2059.444737521592</v>
      </c>
      <c r="G715">
        <v>0.9868974420063926</v>
      </c>
    </row>
    <row r="716" spans="1:7">
      <c r="A716" t="s">
        <v>137</v>
      </c>
      <c r="B716">
        <v>2</v>
      </c>
      <c r="C716">
        <v>5.612326570566673</v>
      </c>
      <c r="D716">
        <v>5.403028210908231</v>
      </c>
      <c r="E716">
        <v>18.85650989510469</v>
      </c>
      <c r="F716">
        <v>2061.842645747903</v>
      </c>
      <c r="G716">
        <v>0.9868054219962515</v>
      </c>
    </row>
    <row r="717" spans="1:7">
      <c r="A717" t="s">
        <v>137</v>
      </c>
      <c r="B717">
        <v>2</v>
      </c>
      <c r="C717">
        <v>5.618694575307789</v>
      </c>
      <c r="D717">
        <v>5.409311894011133</v>
      </c>
      <c r="E717">
        <v>18.89093641258043</v>
      </c>
      <c r="F717">
        <v>2064.240553974214</v>
      </c>
      <c r="G717">
        <v>0.9867116755989053</v>
      </c>
    </row>
    <row r="718" spans="1:7">
      <c r="A718" t="s">
        <v>137</v>
      </c>
      <c r="B718">
        <v>2</v>
      </c>
      <c r="C718">
        <v>5.625063190666999</v>
      </c>
      <c r="D718">
        <v>5.415595577114034</v>
      </c>
      <c r="E718">
        <v>18.92540624953982</v>
      </c>
      <c r="F718">
        <v>2066.638462200525</v>
      </c>
      <c r="G718">
        <v>0.9866162028143536</v>
      </c>
    </row>
    <row r="719" spans="1:7">
      <c r="A719" t="s">
        <v>137</v>
      </c>
      <c r="B719">
        <v>2</v>
      </c>
      <c r="C719">
        <v>5.631432427906888</v>
      </c>
      <c r="D719">
        <v>5.421879260216937</v>
      </c>
      <c r="E719">
        <v>18.95991947468573</v>
      </c>
      <c r="F719">
        <v>2069.036370426837</v>
      </c>
      <c r="G719">
        <v>0.9865190036425974</v>
      </c>
    </row>
    <row r="720" spans="1:7">
      <c r="A720" t="s">
        <v>137</v>
      </c>
      <c r="B720">
        <v>2</v>
      </c>
      <c r="C720">
        <v>5.637802298296603</v>
      </c>
      <c r="D720">
        <v>5.428162943319839</v>
      </c>
      <c r="E720">
        <v>18.99447615696895</v>
      </c>
      <c r="F720">
        <v>2071.434278653148</v>
      </c>
      <c r="G720">
        <v>0.9864200780836364</v>
      </c>
    </row>
    <row r="721" spans="1:7">
      <c r="A721" t="s">
        <v>137</v>
      </c>
      <c r="B721">
        <v>2</v>
      </c>
      <c r="C721">
        <v>5.644172813111979</v>
      </c>
      <c r="D721">
        <v>5.43444662642274</v>
      </c>
      <c r="E721">
        <v>19.029076365589</v>
      </c>
      <c r="F721">
        <v>2073.832186879459</v>
      </c>
      <c r="G721">
        <v>0.9863194261374695</v>
      </c>
    </row>
    <row r="722" spans="1:7">
      <c r="A722" t="s">
        <v>137</v>
      </c>
      <c r="B722">
        <v>2</v>
      </c>
      <c r="C722">
        <v>5.650543983635657</v>
      </c>
      <c r="D722">
        <v>5.440730309525641</v>
      </c>
      <c r="E722">
        <v>19.06372016999498</v>
      </c>
      <c r="F722">
        <v>2076.23009510577</v>
      </c>
      <c r="G722">
        <v>0.986217047804098</v>
      </c>
    </row>
    <row r="723" spans="1:7">
      <c r="A723" t="s">
        <v>137</v>
      </c>
      <c r="B723">
        <v>2</v>
      </c>
      <c r="C723">
        <v>5.656915821157208</v>
      </c>
      <c r="D723">
        <v>5.447013992628543</v>
      </c>
      <c r="E723">
        <v>19.0984076398864</v>
      </c>
      <c r="F723">
        <v>2078.628003332081</v>
      </c>
      <c r="G723">
        <v>0.9861129430835215</v>
      </c>
    </row>
    <row r="724" spans="1:7">
      <c r="A724" t="s">
        <v>137</v>
      </c>
      <c r="B724">
        <v>2</v>
      </c>
      <c r="C724">
        <v>5.663288336973248</v>
      </c>
      <c r="D724">
        <v>5.453297675731445</v>
      </c>
      <c r="E724">
        <v>19.13313884521402</v>
      </c>
      <c r="F724">
        <v>2081.025911558393</v>
      </c>
      <c r="G724">
        <v>0.9860071119757399</v>
      </c>
    </row>
    <row r="725" spans="1:7">
      <c r="A725" t="s">
        <v>137</v>
      </c>
      <c r="B725">
        <v>2</v>
      </c>
      <c r="C725">
        <v>5.669661542387568</v>
      </c>
      <c r="D725">
        <v>5.459581358834347</v>
      </c>
      <c r="E725">
        <v>19.16791385618066</v>
      </c>
      <c r="F725">
        <v>2083.423819784704</v>
      </c>
      <c r="G725">
        <v>0.9858995544807528</v>
      </c>
    </row>
    <row r="726" spans="1:7">
      <c r="A726" t="s">
        <v>137</v>
      </c>
      <c r="B726">
        <v>2</v>
      </c>
      <c r="C726">
        <v>5.676035448711249</v>
      </c>
      <c r="D726">
        <v>5.465865041937248</v>
      </c>
      <c r="E726">
        <v>19.20273274324208</v>
      </c>
      <c r="F726">
        <v>2085.821728011014</v>
      </c>
      <c r="G726">
        <v>0.9857902705985614</v>
      </c>
    </row>
    <row r="727" spans="1:7">
      <c r="A727" t="s">
        <v>137</v>
      </c>
      <c r="B727">
        <v>2</v>
      </c>
      <c r="C727">
        <v>5.68241006726279</v>
      </c>
      <c r="D727">
        <v>5.472148725040149</v>
      </c>
      <c r="E727">
        <v>19.23759557710782</v>
      </c>
      <c r="F727">
        <v>2088.219636237326</v>
      </c>
      <c r="G727">
        <v>0.9856792603291645</v>
      </c>
    </row>
    <row r="728" spans="1:7">
      <c r="A728" t="s">
        <v>137</v>
      </c>
      <c r="B728">
        <v>2</v>
      </c>
      <c r="C728">
        <v>5.688785409368226</v>
      </c>
      <c r="D728">
        <v>5.478432408143052</v>
      </c>
      <c r="E728">
        <v>19.27250242874205</v>
      </c>
      <c r="F728">
        <v>2090.617544463637</v>
      </c>
      <c r="G728">
        <v>0.9855665236725623</v>
      </c>
    </row>
    <row r="729" spans="1:7">
      <c r="A729" t="s">
        <v>137</v>
      </c>
      <c r="B729">
        <v>2</v>
      </c>
      <c r="C729">
        <v>5.695161486361251</v>
      </c>
      <c r="D729">
        <v>5.484716091245954</v>
      </c>
      <c r="E729">
        <v>19.30745336936444</v>
      </c>
      <c r="F729">
        <v>2093.015452689949</v>
      </c>
      <c r="G729">
        <v>0.9854520606287553</v>
      </c>
    </row>
    <row r="730" spans="1:7">
      <c r="A730" t="s">
        <v>137</v>
      </c>
      <c r="B730">
        <v>2</v>
      </c>
      <c r="C730">
        <v>5.70153830958334</v>
      </c>
      <c r="D730">
        <v>5.490999774348855</v>
      </c>
      <c r="E730">
        <v>19.34244847045101</v>
      </c>
      <c r="F730">
        <v>2095.41336091626</v>
      </c>
      <c r="G730">
        <v>0.9853358711977432</v>
      </c>
    </row>
    <row r="731" spans="1:7">
      <c r="A731" t="s">
        <v>137</v>
      </c>
      <c r="B731">
        <v>2</v>
      </c>
      <c r="C731">
        <v>5.707915890383877</v>
      </c>
      <c r="D731">
        <v>5.497283457451757</v>
      </c>
      <c r="E731">
        <v>19.37748780373502</v>
      </c>
      <c r="F731">
        <v>2097.81126914257</v>
      </c>
      <c r="G731">
        <v>0.9852179553795261</v>
      </c>
    </row>
    <row r="732" spans="1:7">
      <c r="A732" t="s">
        <v>137</v>
      </c>
      <c r="B732">
        <v>2</v>
      </c>
      <c r="C732">
        <v>5.71429424012027</v>
      </c>
      <c r="D732">
        <v>5.503567140554658</v>
      </c>
      <c r="E732">
        <v>19.41257144120783</v>
      </c>
      <c r="F732">
        <v>2100.209177368882</v>
      </c>
      <c r="G732">
        <v>0.9850983131741032</v>
      </c>
    </row>
    <row r="733" spans="1:7">
      <c r="A733" t="s">
        <v>137</v>
      </c>
      <c r="B733">
        <v>2</v>
      </c>
      <c r="C733">
        <v>5.720673370158083</v>
      </c>
      <c r="D733">
        <v>5.50985082365756</v>
      </c>
      <c r="E733">
        <v>19.4476994551198</v>
      </c>
      <c r="F733">
        <v>2102.607085595193</v>
      </c>
      <c r="G733">
        <v>0.9849769445814761</v>
      </c>
    </row>
    <row r="734" spans="1:7">
      <c r="A734" t="s">
        <v>137</v>
      </c>
      <c r="B734">
        <v>2</v>
      </c>
      <c r="C734">
        <v>5.727053291871152</v>
      </c>
      <c r="D734">
        <v>5.516134506760462</v>
      </c>
      <c r="E734">
        <v>19.48287191798115</v>
      </c>
      <c r="F734">
        <v>2105.004993821504</v>
      </c>
      <c r="G734">
        <v>0.9848538496016436</v>
      </c>
    </row>
    <row r="735" spans="1:7">
      <c r="A735" t="s">
        <v>137</v>
      </c>
      <c r="B735">
        <v>2</v>
      </c>
      <c r="C735">
        <v>5.73343401664171</v>
      </c>
      <c r="D735">
        <v>5.522418189863363</v>
      </c>
      <c r="E735">
        <v>19.51808890256286</v>
      </c>
      <c r="F735">
        <v>2107.402902047816</v>
      </c>
      <c r="G735">
        <v>0.984729028234606</v>
      </c>
    </row>
    <row r="736" spans="1:7">
      <c r="A736" t="s">
        <v>137</v>
      </c>
      <c r="B736">
        <v>2</v>
      </c>
      <c r="C736">
        <v>5.739815555860518</v>
      </c>
      <c r="D736">
        <v>5.528701872966265</v>
      </c>
      <c r="E736">
        <v>19.5533504818976</v>
      </c>
      <c r="F736">
        <v>2109.800810274126</v>
      </c>
      <c r="G736">
        <v>0.9846024804803637</v>
      </c>
    </row>
    <row r="737" spans="1:7">
      <c r="A737" t="s">
        <v>137</v>
      </c>
      <c r="B737">
        <v>2</v>
      </c>
      <c r="C737">
        <v>5.746197920926978</v>
      </c>
      <c r="D737">
        <v>5.534985556069167</v>
      </c>
      <c r="E737">
        <v>19.58865672928055</v>
      </c>
      <c r="F737">
        <v>2112.198718500438</v>
      </c>
      <c r="G737">
        <v>0.984474206338916</v>
      </c>
    </row>
    <row r="738" spans="1:7">
      <c r="A738" t="s">
        <v>137</v>
      </c>
      <c r="B738">
        <v>2</v>
      </c>
      <c r="C738">
        <v>5.752581123249267</v>
      </c>
      <c r="D738">
        <v>5.541269239172069</v>
      </c>
      <c r="E738">
        <v>19.6240077182704</v>
      </c>
      <c r="F738">
        <v>2114.596626726749</v>
      </c>
      <c r="G738">
        <v>0.9843442058102634</v>
      </c>
    </row>
    <row r="739" spans="1:7">
      <c r="A739" t="s">
        <v>137</v>
      </c>
      <c r="B739">
        <v>2</v>
      </c>
      <c r="C739">
        <v>5.758965174244457</v>
      </c>
      <c r="D739">
        <v>5.547552922274971</v>
      </c>
      <c r="E739">
        <v>19.65940352269021</v>
      </c>
      <c r="F739">
        <v>2116.99453495306</v>
      </c>
      <c r="G739">
        <v>0.9842124788944053</v>
      </c>
    </row>
    <row r="740" spans="1:7">
      <c r="A740" t="s">
        <v>137</v>
      </c>
      <c r="B740">
        <v>2</v>
      </c>
      <c r="C740">
        <v>5.765350085338639</v>
      </c>
      <c r="D740">
        <v>5.553836605377872</v>
      </c>
      <c r="E740">
        <v>19.6948442166283</v>
      </c>
      <c r="F740">
        <v>2119.392443179371</v>
      </c>
      <c r="G740">
        <v>0.9840790255913429</v>
      </c>
    </row>
    <row r="741" spans="1:7">
      <c r="A741" t="s">
        <v>137</v>
      </c>
      <c r="B741">
        <v>2</v>
      </c>
      <c r="C741">
        <v>5.771735867967053</v>
      </c>
      <c r="D741">
        <v>5.560120288480774</v>
      </c>
      <c r="E741">
        <v>19.73032987443927</v>
      </c>
      <c r="F741">
        <v>2121.790351405683</v>
      </c>
      <c r="G741">
        <v>0.9839438459010746</v>
      </c>
    </row>
    <row r="742" spans="1:7">
      <c r="A742" t="s">
        <v>137</v>
      </c>
      <c r="B742">
        <v>2</v>
      </c>
      <c r="C742">
        <v>5.778122533574206</v>
      </c>
      <c r="D742">
        <v>5.566403971583675</v>
      </c>
      <c r="E742">
        <v>19.76586057074481</v>
      </c>
      <c r="F742">
        <v>2124.188259631993</v>
      </c>
      <c r="G742">
        <v>0.9838069398236019</v>
      </c>
    </row>
    <row r="743" spans="1:7">
      <c r="A743" t="s">
        <v>137</v>
      </c>
      <c r="B743">
        <v>2</v>
      </c>
      <c r="C743">
        <v>5.784510093614006</v>
      </c>
      <c r="D743">
        <v>5.572687654686577</v>
      </c>
      <c r="E743">
        <v>19.80143638043472</v>
      </c>
      <c r="F743">
        <v>2126.586167858305</v>
      </c>
      <c r="G743">
        <v>0.9836683073589236</v>
      </c>
    </row>
    <row r="744" spans="1:7">
      <c r="A744" t="s">
        <v>137</v>
      </c>
      <c r="B744">
        <v>2</v>
      </c>
      <c r="C744">
        <v>5.790898559549882</v>
      </c>
      <c r="D744">
        <v>5.578971337789479</v>
      </c>
      <c r="E744">
        <v>19.83705737866778</v>
      </c>
      <c r="F744">
        <v>2128.984076084616</v>
      </c>
      <c r="G744">
        <v>0.9835279485070402</v>
      </c>
    </row>
    <row r="745" spans="1:7">
      <c r="A745" t="s">
        <v>137</v>
      </c>
      <c r="B745">
        <v>2</v>
      </c>
      <c r="C745">
        <v>5.79728794285491</v>
      </c>
      <c r="D745">
        <v>5.58525502089238</v>
      </c>
      <c r="E745">
        <v>19.87272364087277</v>
      </c>
      <c r="F745">
        <v>2131.381984310927</v>
      </c>
      <c r="G745">
        <v>0.9833858632679523</v>
      </c>
    </row>
    <row r="746" spans="1:7">
      <c r="A746" t="s">
        <v>137</v>
      </c>
      <c r="B746">
        <v>2</v>
      </c>
      <c r="C746">
        <v>5.803678255011943</v>
      </c>
      <c r="D746">
        <v>5.591538703995282</v>
      </c>
      <c r="E746">
        <v>19.90843524274934</v>
      </c>
      <c r="F746">
        <v>2133.779892537239</v>
      </c>
      <c r="G746">
        <v>0.983242051641659</v>
      </c>
    </row>
    <row r="747" spans="1:7">
      <c r="A747" t="s">
        <v>137</v>
      </c>
      <c r="B747">
        <v>2</v>
      </c>
      <c r="C747">
        <v>5.810069507513734</v>
      </c>
      <c r="D747">
        <v>5.597822387098184</v>
      </c>
      <c r="E747">
        <v>19.94419226026903</v>
      </c>
      <c r="F747">
        <v>2136.177800763549</v>
      </c>
      <c r="G747">
        <v>0.9830965136281602</v>
      </c>
    </row>
    <row r="748" spans="1:7">
      <c r="A748" t="s">
        <v>137</v>
      </c>
      <c r="B748">
        <v>2</v>
      </c>
      <c r="C748">
        <v>5.816461711863067</v>
      </c>
      <c r="D748">
        <v>5.604106070201086</v>
      </c>
      <c r="E748">
        <v>19.97999476967618</v>
      </c>
      <c r="F748">
        <v>2138.575708989861</v>
      </c>
      <c r="G748">
        <v>0.982949249227457</v>
      </c>
    </row>
    <row r="749" spans="1:7">
      <c r="A749" t="s">
        <v>137</v>
      </c>
      <c r="B749">
        <v>2</v>
      </c>
      <c r="C749">
        <v>5.822854879572882</v>
      </c>
      <c r="D749">
        <v>5.610389753303988</v>
      </c>
      <c r="E749">
        <v>20.01584284748893</v>
      </c>
      <c r="F749">
        <v>2140.973617216172</v>
      </c>
      <c r="G749">
        <v>0.9828002584395481</v>
      </c>
    </row>
    <row r="750" spans="1:7">
      <c r="A750" t="s">
        <v>137</v>
      </c>
      <c r="B750">
        <v>2</v>
      </c>
      <c r="C750">
        <v>5.829249022166397</v>
      </c>
      <c r="D750">
        <v>5.616673436406889</v>
      </c>
      <c r="E750">
        <v>20.05173657050015</v>
      </c>
      <c r="F750">
        <v>2143.371525442483</v>
      </c>
      <c r="G750">
        <v>0.9826495412644352</v>
      </c>
    </row>
    <row r="751" spans="1:7">
      <c r="A751" t="s">
        <v>137</v>
      </c>
      <c r="B751">
        <v>2</v>
      </c>
      <c r="C751">
        <v>5.835644151177247</v>
      </c>
      <c r="D751">
        <v>5.622957119509791</v>
      </c>
      <c r="E751">
        <v>20.08767601577849</v>
      </c>
      <c r="F751">
        <v>2145.769433668794</v>
      </c>
      <c r="G751">
        <v>0.9824970977021158</v>
      </c>
    </row>
    <row r="752" spans="1:7">
      <c r="A752" t="s">
        <v>137</v>
      </c>
      <c r="B752">
        <v>2</v>
      </c>
      <c r="C752">
        <v>5.842040278149603</v>
      </c>
      <c r="D752">
        <v>5.629240802612692</v>
      </c>
      <c r="E752">
        <v>20.12366126066927</v>
      </c>
      <c r="F752">
        <v>2148.167341895106</v>
      </c>
      <c r="G752">
        <v>0.9823429277525922</v>
      </c>
    </row>
    <row r="753" spans="1:7">
      <c r="A753" t="s">
        <v>137</v>
      </c>
      <c r="B753">
        <v>2</v>
      </c>
      <c r="C753">
        <v>5.848437414638305</v>
      </c>
      <c r="D753">
        <v>5.635524485715594</v>
      </c>
      <c r="E753">
        <v>20.15969238279553</v>
      </c>
      <c r="F753">
        <v>2150.565250121417</v>
      </c>
      <c r="G753">
        <v>0.9821870314158637</v>
      </c>
    </row>
    <row r="754" spans="1:7">
      <c r="A754" t="s">
        <v>137</v>
      </c>
      <c r="B754">
        <v>2</v>
      </c>
      <c r="C754">
        <v>5.854835572208986</v>
      </c>
      <c r="D754">
        <v>5.641808168818496</v>
      </c>
      <c r="E754">
        <v>20.19576946005901</v>
      </c>
      <c r="F754">
        <v>2152.963158347728</v>
      </c>
      <c r="G754">
        <v>0.9820294086919297</v>
      </c>
    </row>
    <row r="755" spans="1:7">
      <c r="A755" t="s">
        <v>137</v>
      </c>
      <c r="B755">
        <v>2</v>
      </c>
      <c r="C755">
        <v>5.861234762438206</v>
      </c>
      <c r="D755">
        <v>5.648091851921397</v>
      </c>
      <c r="E755">
        <v>20.23189257064113</v>
      </c>
      <c r="F755">
        <v>2155.361066574039</v>
      </c>
      <c r="G755">
        <v>0.9818700595807905</v>
      </c>
    </row>
    <row r="756" spans="1:7">
      <c r="A756" t="s">
        <v>137</v>
      </c>
      <c r="B756">
        <v>2</v>
      </c>
      <c r="C756">
        <v>5.867634996913578</v>
      </c>
      <c r="D756">
        <v>5.654375535024299</v>
      </c>
      <c r="E756">
        <v>20.26806179300401</v>
      </c>
      <c r="F756">
        <v>2157.75897480035</v>
      </c>
      <c r="G756">
        <v>0.9817089840824468</v>
      </c>
    </row>
    <row r="757" spans="1:7">
      <c r="A757" t="s">
        <v>137</v>
      </c>
      <c r="B757">
        <v>2</v>
      </c>
      <c r="C757">
        <v>5.874036287233898</v>
      </c>
      <c r="D757">
        <v>5.660659218127201</v>
      </c>
      <c r="E757">
        <v>20.30427720589149</v>
      </c>
      <c r="F757">
        <v>2160.156883026661</v>
      </c>
      <c r="G757">
        <v>0.9815461821968977</v>
      </c>
    </row>
    <row r="758" spans="1:7">
      <c r="A758" t="s">
        <v>137</v>
      </c>
      <c r="B758">
        <v>2</v>
      </c>
      <c r="C758">
        <v>5.880438645009276</v>
      </c>
      <c r="D758">
        <v>5.666942901230103</v>
      </c>
      <c r="E758">
        <v>20.34053888833013</v>
      </c>
      <c r="F758">
        <v>2162.554791252972</v>
      </c>
      <c r="G758">
        <v>0.9813816539241431</v>
      </c>
    </row>
    <row r="759" spans="1:7">
      <c r="A759" t="s">
        <v>137</v>
      </c>
      <c r="B759">
        <v>2</v>
      </c>
      <c r="C759">
        <v>5.886842081861263</v>
      </c>
      <c r="D759">
        <v>5.673226584333005</v>
      </c>
      <c r="E759">
        <v>20.37684691963022</v>
      </c>
      <c r="F759">
        <v>2164.952699479284</v>
      </c>
      <c r="G759">
        <v>0.981215399264184</v>
      </c>
    </row>
    <row r="760" spans="1:7">
      <c r="A760" t="s">
        <v>137</v>
      </c>
      <c r="B760">
        <v>2</v>
      </c>
      <c r="C760">
        <v>5.893246609422985</v>
      </c>
      <c r="D760">
        <v>5.679510267435906</v>
      </c>
      <c r="E760">
        <v>20.41320137938685</v>
      </c>
      <c r="F760">
        <v>2167.350607705595</v>
      </c>
      <c r="G760">
        <v>0.9810474182170197</v>
      </c>
    </row>
    <row r="761" spans="1:7">
      <c r="A761" t="s">
        <v>137</v>
      </c>
      <c r="B761">
        <v>2</v>
      </c>
      <c r="C761">
        <v>5.899652239339273</v>
      </c>
      <c r="D761">
        <v>5.685793950538807</v>
      </c>
      <c r="E761">
        <v>20.44960234748089</v>
      </c>
      <c r="F761">
        <v>2169.748515931906</v>
      </c>
      <c r="G761">
        <v>0.9808777107826501</v>
      </c>
    </row>
    <row r="762" spans="1:7">
      <c r="A762" t="s">
        <v>137</v>
      </c>
      <c r="B762">
        <v>2</v>
      </c>
      <c r="C762">
        <v>5.90605898326679</v>
      </c>
      <c r="D762">
        <v>5.692077633641709</v>
      </c>
      <c r="E762">
        <v>20.48604990408009</v>
      </c>
      <c r="F762">
        <v>2172.146424158217</v>
      </c>
      <c r="G762">
        <v>0.9807062769610755</v>
      </c>
    </row>
    <row r="763" spans="1:7">
      <c r="A763" t="s">
        <v>137</v>
      </c>
      <c r="B763">
        <v>2</v>
      </c>
      <c r="C763">
        <v>5.91246685287417</v>
      </c>
      <c r="D763">
        <v>5.698361316744611</v>
      </c>
      <c r="E763">
        <v>20.52254412964006</v>
      </c>
      <c r="F763">
        <v>2174.544332384529</v>
      </c>
      <c r="G763">
        <v>0.9805331167522964</v>
      </c>
    </row>
    <row r="764" spans="1:7">
      <c r="A764" t="s">
        <v>137</v>
      </c>
      <c r="B764">
        <v>2</v>
      </c>
      <c r="C764">
        <v>5.91887585984214</v>
      </c>
      <c r="D764">
        <v>5.704644999847513</v>
      </c>
      <c r="E764">
        <v>20.55908510490536</v>
      </c>
      <c r="F764">
        <v>2176.94224061084</v>
      </c>
      <c r="G764">
        <v>0.9803582301563114</v>
      </c>
    </row>
    <row r="765" spans="1:7">
      <c r="A765" t="s">
        <v>137</v>
      </c>
      <c r="B765">
        <v>2</v>
      </c>
      <c r="C765">
        <v>5.92528601586366</v>
      </c>
      <c r="D765">
        <v>5.710928682950414</v>
      </c>
      <c r="E765">
        <v>20.59567291091057</v>
      </c>
      <c r="F765">
        <v>2179.340148837151</v>
      </c>
      <c r="G765">
        <v>0.9801816171731219</v>
      </c>
    </row>
    <row r="766" spans="1:7">
      <c r="A766" t="s">
        <v>137</v>
      </c>
      <c r="B766">
        <v>2</v>
      </c>
      <c r="C766">
        <v>5.931697332644052</v>
      </c>
      <c r="D766">
        <v>5.717212366053316</v>
      </c>
      <c r="E766">
        <v>20.63230762898131</v>
      </c>
      <c r="F766">
        <v>2181.738057063462</v>
      </c>
      <c r="G766">
        <v>0.9800032778027267</v>
      </c>
    </row>
    <row r="767" spans="1:7">
      <c r="A767" t="s">
        <v>137</v>
      </c>
      <c r="B767">
        <v>2</v>
      </c>
      <c r="C767">
        <v>5.938109821901134</v>
      </c>
      <c r="D767">
        <v>5.723496049156218</v>
      </c>
      <c r="E767">
        <v>20.66898934073535</v>
      </c>
      <c r="F767">
        <v>2184.135965289773</v>
      </c>
      <c r="G767">
        <v>0.9798232120451271</v>
      </c>
    </row>
    <row r="768" spans="1:7">
      <c r="A768" t="s">
        <v>137</v>
      </c>
      <c r="B768">
        <v>2</v>
      </c>
      <c r="C768">
        <v>5.944523495365349</v>
      </c>
      <c r="D768">
        <v>5.72977973225912</v>
      </c>
      <c r="E768">
        <v>20.70571812808367</v>
      </c>
      <c r="F768">
        <v>2186.533873516084</v>
      </c>
      <c r="G768">
        <v>0.9796414199003224</v>
      </c>
    </row>
    <row r="769" spans="1:7">
      <c r="A769" t="s">
        <v>137</v>
      </c>
      <c r="B769">
        <v>2</v>
      </c>
      <c r="C769">
        <v>5.950938364779904</v>
      </c>
      <c r="D769">
        <v>5.736063415362021</v>
      </c>
      <c r="E769">
        <v>20.74249407323152</v>
      </c>
      <c r="F769">
        <v>2188.931781742395</v>
      </c>
      <c r="G769">
        <v>0.9794579013683121</v>
      </c>
    </row>
    <row r="770" spans="1:7">
      <c r="A770" t="s">
        <v>137</v>
      </c>
      <c r="B770">
        <v>2</v>
      </c>
      <c r="C770">
        <v>5.9573544419009</v>
      </c>
      <c r="D770">
        <v>5.742347098464923</v>
      </c>
      <c r="E770">
        <v>20.77931725867955</v>
      </c>
      <c r="F770">
        <v>2191.329689968707</v>
      </c>
      <c r="G770">
        <v>0.9792726564490969</v>
      </c>
    </row>
    <row r="771" spans="1:7">
      <c r="A771" t="s">
        <v>137</v>
      </c>
      <c r="B771">
        <v>2</v>
      </c>
      <c r="C771">
        <v>5.963771738497468</v>
      </c>
      <c r="D771">
        <v>5.748630781567824</v>
      </c>
      <c r="E771">
        <v>20.81618776722489</v>
      </c>
      <c r="F771">
        <v>2193.727598195018</v>
      </c>
      <c r="G771">
        <v>0.9790856851426768</v>
      </c>
    </row>
    <row r="772" spans="1:7">
      <c r="A772" t="s">
        <v>137</v>
      </c>
      <c r="B772">
        <v>2</v>
      </c>
      <c r="C772">
        <v>5.970190266351901</v>
      </c>
      <c r="D772">
        <v>5.754914464670726</v>
      </c>
      <c r="E772">
        <v>20.85310568196221</v>
      </c>
      <c r="F772">
        <v>2196.125506421329</v>
      </c>
      <c r="G772">
        <v>0.9788969874490517</v>
      </c>
    </row>
    <row r="773" spans="1:7">
      <c r="A773" t="s">
        <v>137</v>
      </c>
      <c r="B773">
        <v>2</v>
      </c>
      <c r="C773">
        <v>5.976610037259792</v>
      </c>
      <c r="D773">
        <v>5.761198147773628</v>
      </c>
      <c r="E773">
        <v>20.8900710862849</v>
      </c>
      <c r="F773">
        <v>2198.52341464764</v>
      </c>
      <c r="G773">
        <v>0.9787065633682214</v>
      </c>
    </row>
    <row r="774" spans="1:7">
      <c r="A774" t="s">
        <v>137</v>
      </c>
      <c r="B774">
        <v>2</v>
      </c>
      <c r="C774">
        <v>5.983031063030163</v>
      </c>
      <c r="D774">
        <v>5.767481830876529</v>
      </c>
      <c r="E774">
        <v>20.92708406388611</v>
      </c>
      <c r="F774">
        <v>2200.921322873951</v>
      </c>
      <c r="G774">
        <v>0.9785144129001861</v>
      </c>
    </row>
    <row r="775" spans="1:7">
      <c r="A775" t="s">
        <v>137</v>
      </c>
      <c r="B775">
        <v>2</v>
      </c>
      <c r="C775">
        <v>5.98945335548561</v>
      </c>
      <c r="D775">
        <v>5.773765513979431</v>
      </c>
      <c r="E775">
        <v>20.96414469875993</v>
      </c>
      <c r="F775">
        <v>2203.319231100262</v>
      </c>
      <c r="G775">
        <v>0.9783205360449452</v>
      </c>
    </row>
    <row r="776" spans="1:7">
      <c r="A776" t="s">
        <v>137</v>
      </c>
      <c r="B776">
        <v>2</v>
      </c>
      <c r="C776">
        <v>5.995876926462433</v>
      </c>
      <c r="D776">
        <v>5.780049197082333</v>
      </c>
      <c r="E776">
        <v>21.00125307520247</v>
      </c>
      <c r="F776">
        <v>2205.717139326573</v>
      </c>
      <c r="G776">
        <v>0.9781249328025</v>
      </c>
    </row>
    <row r="777" spans="1:7">
      <c r="A777" t="s">
        <v>137</v>
      </c>
      <c r="B777">
        <v>2</v>
      </c>
      <c r="C777">
        <v>6.00230178781077</v>
      </c>
      <c r="D777">
        <v>5.786332880185235</v>
      </c>
      <c r="E777">
        <v>21.03840927781301</v>
      </c>
      <c r="F777">
        <v>2208.115047552885</v>
      </c>
      <c r="G777">
        <v>0.9779276031728493</v>
      </c>
    </row>
    <row r="778" spans="1:7">
      <c r="A778" t="s">
        <v>137</v>
      </c>
      <c r="B778">
        <v>2</v>
      </c>
      <c r="C778">
        <v>6.008727951394737</v>
      </c>
      <c r="D778">
        <v>5.792616563288137</v>
      </c>
      <c r="E778">
        <v>21.07561339149517</v>
      </c>
      <c r="F778">
        <v>2210.512955779196</v>
      </c>
      <c r="G778">
        <v>0.9777285471559941</v>
      </c>
    </row>
    <row r="779" spans="1:7">
      <c r="A779" t="s">
        <v>137</v>
      </c>
      <c r="B779">
        <v>2</v>
      </c>
      <c r="C779">
        <v>6.015155429092564</v>
      </c>
      <c r="D779">
        <v>5.798900246391038</v>
      </c>
      <c r="E779">
        <v>21.11286550145797</v>
      </c>
      <c r="F779">
        <v>2212.910864005507</v>
      </c>
      <c r="G779">
        <v>0.9775277647519329</v>
      </c>
    </row>
    <row r="780" spans="1:7">
      <c r="A780" t="s">
        <v>137</v>
      </c>
      <c r="B780">
        <v>2</v>
      </c>
      <c r="C780">
        <v>6.021584232796736</v>
      </c>
      <c r="D780">
        <v>5.805183929493939</v>
      </c>
      <c r="E780">
        <v>21.1501656932171</v>
      </c>
      <c r="F780">
        <v>2215.308772231818</v>
      </c>
      <c r="G780">
        <v>0.9773252559606672</v>
      </c>
    </row>
    <row r="781" spans="1:7">
      <c r="A781" t="s">
        <v>137</v>
      </c>
      <c r="B781">
        <v>2</v>
      </c>
      <c r="C781">
        <v>6.028014374414126</v>
      </c>
      <c r="D781">
        <v>5.811467612596841</v>
      </c>
      <c r="E781">
        <v>21.18751405259597</v>
      </c>
      <c r="F781">
        <v>2217.70668045813</v>
      </c>
      <c r="G781">
        <v>0.9771210207821962</v>
      </c>
    </row>
    <row r="782" spans="1:7">
      <c r="A782" t="s">
        <v>137</v>
      </c>
      <c r="B782">
        <v>2</v>
      </c>
      <c r="C782">
        <v>6.034445865866133</v>
      </c>
      <c r="D782">
        <v>5.817751295699743</v>
      </c>
      <c r="E782">
        <v>21.22491066572694</v>
      </c>
      <c r="F782">
        <v>2220.104588684441</v>
      </c>
      <c r="G782">
        <v>0.9769150592165203</v>
      </c>
    </row>
    <row r="783" spans="1:7">
      <c r="A783" t="s">
        <v>137</v>
      </c>
      <c r="B783">
        <v>2</v>
      </c>
      <c r="C783">
        <v>6.040878719088824</v>
      </c>
      <c r="D783">
        <v>5.824034978802645</v>
      </c>
      <c r="E783">
        <v>21.26235561905246</v>
      </c>
      <c r="F783">
        <v>2222.502496910752</v>
      </c>
      <c r="G783">
        <v>0.9767073712636393</v>
      </c>
    </row>
    <row r="784" spans="1:7">
      <c r="A784" t="s">
        <v>137</v>
      </c>
      <c r="B784">
        <v>2</v>
      </c>
      <c r="C784">
        <v>6.04731294603307</v>
      </c>
      <c r="D784">
        <v>5.830318661905546</v>
      </c>
      <c r="E784">
        <v>21.29984899932627</v>
      </c>
      <c r="F784">
        <v>2224.900405137063</v>
      </c>
      <c r="G784">
        <v>0.9764979569235532</v>
      </c>
    </row>
    <row r="785" spans="1:7">
      <c r="A785" t="s">
        <v>137</v>
      </c>
      <c r="B785">
        <v>2</v>
      </c>
      <c r="C785">
        <v>6.053748558664688</v>
      </c>
      <c r="D785">
        <v>5.836602345008448</v>
      </c>
      <c r="E785">
        <v>21.33739089361457</v>
      </c>
      <c r="F785">
        <v>2227.298313363374</v>
      </c>
      <c r="G785">
        <v>0.9762868161962617</v>
      </c>
    </row>
    <row r="786" spans="1:7">
      <c r="A786" t="s">
        <v>137</v>
      </c>
      <c r="B786">
        <v>2</v>
      </c>
      <c r="C786">
        <v>6.060185568964581</v>
      </c>
      <c r="D786">
        <v>5.84288602811135</v>
      </c>
      <c r="E786">
        <v>21.37498138929724</v>
      </c>
      <c r="F786">
        <v>2229.696221589686</v>
      </c>
      <c r="G786">
        <v>0.9760739490817657</v>
      </c>
    </row>
    <row r="787" spans="1:7">
      <c r="A787" t="s">
        <v>137</v>
      </c>
      <c r="B787">
        <v>2</v>
      </c>
      <c r="C787">
        <v>6.066623988928873</v>
      </c>
      <c r="D787">
        <v>5.849169711214252</v>
      </c>
      <c r="E787">
        <v>21.41262057406898</v>
      </c>
      <c r="F787">
        <v>2232.094129815997</v>
      </c>
      <c r="G787">
        <v>0.9758593555800643</v>
      </c>
    </row>
    <row r="788" spans="1:7">
      <c r="A788" t="s">
        <v>137</v>
      </c>
      <c r="B788">
        <v>2</v>
      </c>
      <c r="C788">
        <v>6.073063830569055</v>
      </c>
      <c r="D788">
        <v>5.855453394317154</v>
      </c>
      <c r="E788">
        <v>21.45030853594058</v>
      </c>
      <c r="F788">
        <v>2234.492038042308</v>
      </c>
      <c r="G788">
        <v>0.9756430356911581</v>
      </c>
    </row>
    <row r="789" spans="1:7">
      <c r="A789" t="s">
        <v>137</v>
      </c>
      <c r="B789">
        <v>2</v>
      </c>
      <c r="C789">
        <v>6.079505105912123</v>
      </c>
      <c r="D789">
        <v>5.861737077420055</v>
      </c>
      <c r="E789">
        <v>21.48804536324008</v>
      </c>
      <c r="F789">
        <v>2236.889946268619</v>
      </c>
      <c r="G789">
        <v>0.9754249894150465</v>
      </c>
    </row>
    <row r="790" spans="1:7">
      <c r="A790" t="s">
        <v>137</v>
      </c>
      <c r="B790">
        <v>2</v>
      </c>
      <c r="C790">
        <v>6.085947827000723</v>
      </c>
      <c r="D790">
        <v>5.868020760522956</v>
      </c>
      <c r="E790">
        <v>21.52583114461405</v>
      </c>
      <c r="F790">
        <v>2239.28785449493</v>
      </c>
      <c r="G790">
        <v>0.9752052167517297</v>
      </c>
    </row>
    <row r="791" spans="1:7">
      <c r="A791" t="s">
        <v>137</v>
      </c>
      <c r="B791">
        <v>2</v>
      </c>
      <c r="C791">
        <v>6.092392005893292</v>
      </c>
      <c r="D791">
        <v>5.874304443625858</v>
      </c>
      <c r="E791">
        <v>21.56366596902875</v>
      </c>
      <c r="F791">
        <v>2241.685762721241</v>
      </c>
      <c r="G791">
        <v>0.9749837177012083</v>
      </c>
    </row>
    <row r="792" spans="1:7">
      <c r="A792" t="s">
        <v>137</v>
      </c>
      <c r="B792">
        <v>2</v>
      </c>
      <c r="C792">
        <v>6.098837654664196</v>
      </c>
      <c r="D792">
        <v>5.88058812672876</v>
      </c>
      <c r="E792">
        <v>21.6015499257714</v>
      </c>
      <c r="F792">
        <v>2244.083670947553</v>
      </c>
      <c r="G792">
        <v>0.9747604922634813</v>
      </c>
    </row>
    <row r="793" spans="1:7">
      <c r="A793" t="s">
        <v>137</v>
      </c>
      <c r="B793">
        <v>2</v>
      </c>
      <c r="C793">
        <v>6.105284785403876</v>
      </c>
      <c r="D793">
        <v>5.886871809831662</v>
      </c>
      <c r="E793">
        <v>21.63948310445144</v>
      </c>
      <c r="F793">
        <v>2246.481579173864</v>
      </c>
      <c r="G793">
        <v>0.9745355404385498</v>
      </c>
    </row>
    <row r="794" spans="1:7">
      <c r="A794" t="s">
        <v>137</v>
      </c>
      <c r="B794">
        <v>2</v>
      </c>
      <c r="C794">
        <v>6.111733410218993</v>
      </c>
      <c r="D794">
        <v>5.893155492934564</v>
      </c>
      <c r="E794">
        <v>21.67746559500171</v>
      </c>
      <c r="F794">
        <v>2248.879487400175</v>
      </c>
      <c r="G794">
        <v>0.9743088622264129</v>
      </c>
    </row>
    <row r="795" spans="1:7">
      <c r="A795" t="s">
        <v>137</v>
      </c>
      <c r="B795">
        <v>2</v>
      </c>
      <c r="C795">
        <v>6.118183541232568</v>
      </c>
      <c r="D795">
        <v>5.899439176037465</v>
      </c>
      <c r="E795">
        <v>21.71549748767979</v>
      </c>
      <c r="F795">
        <v>2251.277395626486</v>
      </c>
      <c r="G795">
        <v>0.9740804576270712</v>
      </c>
    </row>
    <row r="796" spans="1:7">
      <c r="A796" t="s">
        <v>137</v>
      </c>
      <c r="B796">
        <v>2</v>
      </c>
      <c r="C796">
        <v>6.124635190584132</v>
      </c>
      <c r="D796">
        <v>5.905722859140367</v>
      </c>
      <c r="E796">
        <v>21.7535788730692</v>
      </c>
      <c r="F796">
        <v>2253.675303852797</v>
      </c>
      <c r="G796">
        <v>0.9738503266405236</v>
      </c>
    </row>
    <row r="797" spans="1:7">
      <c r="A797" t="s">
        <v>137</v>
      </c>
      <c r="B797">
        <v>2</v>
      </c>
      <c r="C797">
        <v>6.131088370429862</v>
      </c>
      <c r="D797">
        <v>5.912006542243269</v>
      </c>
      <c r="E797">
        <v>21.79170984208069</v>
      </c>
      <c r="F797">
        <v>2256.073212079109</v>
      </c>
      <c r="G797">
        <v>0.973618469266772</v>
      </c>
    </row>
    <row r="798" spans="1:7">
      <c r="A798" t="s">
        <v>137</v>
      </c>
      <c r="B798">
        <v>2</v>
      </c>
      <c r="C798">
        <v>6.137543092942733</v>
      </c>
      <c r="D798">
        <v>5.91829022534617</v>
      </c>
      <c r="E798">
        <v>21.82989048595352</v>
      </c>
      <c r="F798">
        <v>2258.47112030542</v>
      </c>
      <c r="G798">
        <v>0.9733848855058148</v>
      </c>
    </row>
    <row r="799" spans="1:7">
      <c r="A799" t="s">
        <v>137</v>
      </c>
      <c r="B799">
        <v>2</v>
      </c>
      <c r="C799">
        <v>6.143999370312661</v>
      </c>
      <c r="D799">
        <v>5.924573908449072</v>
      </c>
      <c r="E799">
        <v>21.86812089625673</v>
      </c>
      <c r="F799">
        <v>2260.869028531731</v>
      </c>
      <c r="G799">
        <v>0.9731495753576529</v>
      </c>
    </row>
    <row r="800" spans="1:7">
      <c r="A800" t="s">
        <v>137</v>
      </c>
      <c r="B800">
        <v>2</v>
      </c>
      <c r="C800">
        <v>6.150457214746649</v>
      </c>
      <c r="D800">
        <v>5.930857591551973</v>
      </c>
      <c r="E800">
        <v>21.90640116489047</v>
      </c>
      <c r="F800">
        <v>2263.266936758042</v>
      </c>
      <c r="G800">
        <v>0.9729125388222855</v>
      </c>
    </row>
    <row r="801" spans="1:7">
      <c r="A801" t="s">
        <v>137</v>
      </c>
      <c r="B801">
        <v>2</v>
      </c>
      <c r="C801">
        <v>6.156916638468936</v>
      </c>
      <c r="D801">
        <v>5.937141274654875</v>
      </c>
      <c r="E801">
        <v>21.94473138408724</v>
      </c>
      <c r="F801">
        <v>2265.664844984353</v>
      </c>
      <c r="G801">
        <v>0.9726737758997128</v>
      </c>
    </row>
    <row r="802" spans="1:7">
      <c r="A802" t="s">
        <v>137</v>
      </c>
      <c r="B802">
        <v>2</v>
      </c>
      <c r="C802">
        <v>6.163377653721139</v>
      </c>
      <c r="D802">
        <v>5.943424957757777</v>
      </c>
      <c r="E802">
        <v>21.98311164641324</v>
      </c>
      <c r="F802">
        <v>2268.062753210665</v>
      </c>
      <c r="G802">
        <v>0.9724332865899354</v>
      </c>
    </row>
    <row r="803" spans="1:7">
      <c r="A803" t="s">
        <v>137</v>
      </c>
      <c r="B803">
        <v>2</v>
      </c>
      <c r="C803">
        <v>6.169840272762404</v>
      </c>
      <c r="D803">
        <v>5.949708640860679</v>
      </c>
      <c r="E803">
        <v>22.02154204476967</v>
      </c>
      <c r="F803">
        <v>2270.460661436975</v>
      </c>
      <c r="G803">
        <v>0.9721910708929528</v>
      </c>
    </row>
    <row r="804" spans="1:7">
      <c r="A804" t="s">
        <v>137</v>
      </c>
      <c r="B804">
        <v>2</v>
      </c>
      <c r="C804">
        <v>6.176304507869555</v>
      </c>
      <c r="D804">
        <v>5.95599232396358</v>
      </c>
      <c r="E804">
        <v>22.06002267239406</v>
      </c>
      <c r="F804">
        <v>2272.858569663286</v>
      </c>
      <c r="G804">
        <v>0.9719471288087653</v>
      </c>
    </row>
    <row r="805" spans="1:7">
      <c r="A805" t="s">
        <v>137</v>
      </c>
      <c r="B805">
        <v>2</v>
      </c>
      <c r="C805">
        <v>6.182770371337241</v>
      </c>
      <c r="D805">
        <v>5.962276007066482</v>
      </c>
      <c r="E805">
        <v>22.09855362286159</v>
      </c>
      <c r="F805">
        <v>2275.256477889598</v>
      </c>
      <c r="G805">
        <v>0.9717014603373727</v>
      </c>
    </row>
    <row r="806" spans="1:7">
      <c r="A806" t="s">
        <v>137</v>
      </c>
      <c r="B806">
        <v>2</v>
      </c>
      <c r="C806">
        <v>6.189237875478081</v>
      </c>
      <c r="D806">
        <v>5.968559690169384</v>
      </c>
      <c r="E806">
        <v>22.13713499008642</v>
      </c>
      <c r="F806">
        <v>2277.654386115909</v>
      </c>
      <c r="G806">
        <v>0.9714540654787752</v>
      </c>
    </row>
    <row r="807" spans="1:7">
      <c r="A807" t="s">
        <v>137</v>
      </c>
      <c r="B807">
        <v>2</v>
      </c>
      <c r="C807">
        <v>6.195707032622822</v>
      </c>
      <c r="D807">
        <v>5.974843373272286</v>
      </c>
      <c r="E807">
        <v>22.17576686832304</v>
      </c>
      <c r="F807">
        <v>2280.05229434222</v>
      </c>
      <c r="G807">
        <v>0.9712049442329722</v>
      </c>
    </row>
    <row r="808" spans="1:7">
      <c r="A808" t="s">
        <v>137</v>
      </c>
      <c r="B808">
        <v>2</v>
      </c>
      <c r="C808">
        <v>6.202177855120481</v>
      </c>
      <c r="D808">
        <v>5.981127056375187</v>
      </c>
      <c r="E808">
        <v>22.21444935216763</v>
      </c>
      <c r="F808">
        <v>2282.450202568531</v>
      </c>
      <c r="G808">
        <v>0.9709540965999641</v>
      </c>
    </row>
    <row r="809" spans="1:7">
      <c r="A809" t="s">
        <v>137</v>
      </c>
      <c r="B809">
        <v>2</v>
      </c>
      <c r="C809">
        <v>6.2086503553385</v>
      </c>
      <c r="D809">
        <v>5.987410739478088</v>
      </c>
      <c r="E809">
        <v>22.25318253655944</v>
      </c>
      <c r="F809">
        <v>2284.848110794842</v>
      </c>
      <c r="G809">
        <v>0.9707015225797513</v>
      </c>
    </row>
    <row r="810" spans="1:7">
      <c r="A810" t="s">
        <v>137</v>
      </c>
      <c r="B810">
        <v>2</v>
      </c>
      <c r="C810">
        <v>6.215124545662897</v>
      </c>
      <c r="D810">
        <v>5.99369442258099</v>
      </c>
      <c r="E810">
        <v>22.29196651678209</v>
      </c>
      <c r="F810">
        <v>2287.246019021154</v>
      </c>
      <c r="G810">
        <v>0.9704472221723333</v>
      </c>
    </row>
    <row r="811" spans="1:7">
      <c r="A811" t="s">
        <v>137</v>
      </c>
      <c r="B811">
        <v>2</v>
      </c>
      <c r="C811">
        <v>6.221600438498414</v>
      </c>
      <c r="D811">
        <v>5.999978105683892</v>
      </c>
      <c r="E811">
        <v>22.33080138846502</v>
      </c>
      <c r="F811">
        <v>2289.643927247465</v>
      </c>
      <c r="G811">
        <v>0.9701911953777101</v>
      </c>
    </row>
    <row r="812" spans="1:7">
      <c r="A812" t="s">
        <v>137</v>
      </c>
      <c r="B812">
        <v>2</v>
      </c>
      <c r="C812">
        <v>6.228078046268674</v>
      </c>
      <c r="D812">
        <v>6.006261788786794</v>
      </c>
      <c r="E812">
        <v>22.36968724758483</v>
      </c>
      <c r="F812">
        <v>2292.041835473777</v>
      </c>
      <c r="G812">
        <v>0.969933442195882</v>
      </c>
    </row>
    <row r="813" spans="1:7">
      <c r="A813" t="s">
        <v>137</v>
      </c>
      <c r="B813">
        <v>2</v>
      </c>
      <c r="C813">
        <v>6.234557381416329</v>
      </c>
      <c r="D813">
        <v>6.012545471889696</v>
      </c>
      <c r="E813">
        <v>22.40862419046668</v>
      </c>
      <c r="F813">
        <v>2294.439743700088</v>
      </c>
      <c r="G813">
        <v>0.9696739626268488</v>
      </c>
    </row>
    <row r="814" spans="1:7">
      <c r="A814" t="s">
        <v>137</v>
      </c>
      <c r="B814">
        <v>2</v>
      </c>
      <c r="C814">
        <v>6.241038456403217</v>
      </c>
      <c r="D814">
        <v>6.018829154992597</v>
      </c>
      <c r="E814">
        <v>22.4476123137857</v>
      </c>
      <c r="F814">
        <v>2296.837651926398</v>
      </c>
      <c r="G814">
        <v>0.9694127566706106</v>
      </c>
    </row>
    <row r="815" spans="1:7">
      <c r="A815" t="s">
        <v>137</v>
      </c>
      <c r="B815">
        <v>2</v>
      </c>
      <c r="C815">
        <v>6.247521283710514</v>
      </c>
      <c r="D815">
        <v>6.025112838095499</v>
      </c>
      <c r="E815">
        <v>22.48665171456842</v>
      </c>
      <c r="F815">
        <v>2299.235560152709</v>
      </c>
      <c r="G815">
        <v>0.9691498243271667</v>
      </c>
    </row>
    <row r="816" spans="1:7">
      <c r="A816" t="s">
        <v>137</v>
      </c>
      <c r="B816">
        <v>2</v>
      </c>
      <c r="C816">
        <v>6.254005875838886</v>
      </c>
      <c r="D816">
        <v>6.031396521198401</v>
      </c>
      <c r="E816">
        <v>22.5257424901941</v>
      </c>
      <c r="F816">
        <v>2301.633468379021</v>
      </c>
      <c r="G816">
        <v>0.9688851655965184</v>
      </c>
    </row>
    <row r="817" spans="1:7">
      <c r="A817" t="s">
        <v>137</v>
      </c>
      <c r="B817">
        <v>2</v>
      </c>
      <c r="C817">
        <v>6.260492245308649</v>
      </c>
      <c r="D817">
        <v>6.037680204301303</v>
      </c>
      <c r="E817">
        <v>22.56488473839626</v>
      </c>
      <c r="F817">
        <v>2304.031376605333</v>
      </c>
      <c r="G817">
        <v>0.9686187804786649</v>
      </c>
    </row>
    <row r="818" spans="1:7">
      <c r="A818" t="s">
        <v>137</v>
      </c>
      <c r="B818">
        <v>2</v>
      </c>
      <c r="C818">
        <v>6.266980404659919</v>
      </c>
      <c r="D818">
        <v>6.043963887404204</v>
      </c>
      <c r="E818">
        <v>22.60407855726404</v>
      </c>
      <c r="F818">
        <v>2306.429284831643</v>
      </c>
      <c r="G818">
        <v>0.9683506689736062</v>
      </c>
    </row>
    <row r="819" spans="1:7">
      <c r="A819" t="s">
        <v>137</v>
      </c>
      <c r="B819">
        <v>2</v>
      </c>
      <c r="C819">
        <v>6.273470366452772</v>
      </c>
      <c r="D819">
        <v>6.050247570507105</v>
      </c>
      <c r="E819">
        <v>22.64332404524367</v>
      </c>
      <c r="F819">
        <v>2308.827193057954</v>
      </c>
      <c r="G819">
        <v>0.9680808310813427</v>
      </c>
    </row>
    <row r="820" spans="1:7">
      <c r="A820" t="s">
        <v>137</v>
      </c>
      <c r="B820">
        <v>2</v>
      </c>
      <c r="C820">
        <v>6.2799621432674</v>
      </c>
      <c r="D820">
        <v>6.056531253610007</v>
      </c>
      <c r="E820">
        <v>22.68262130113993</v>
      </c>
      <c r="F820">
        <v>2311.225101284266</v>
      </c>
      <c r="G820">
        <v>0.9678092668018738</v>
      </c>
    </row>
    <row r="821" spans="1:7">
      <c r="A821" t="s">
        <v>137</v>
      </c>
      <c r="B821">
        <v>2</v>
      </c>
      <c r="C821">
        <v>6.286455747704265</v>
      </c>
      <c r="D821">
        <v>6.062814936712909</v>
      </c>
      <c r="E821">
        <v>22.72197042411758</v>
      </c>
      <c r="F821">
        <v>2313.623009510577</v>
      </c>
      <c r="G821">
        <v>0.9675359761351999</v>
      </c>
    </row>
    <row r="822" spans="1:7">
      <c r="A822" t="s">
        <v>137</v>
      </c>
      <c r="B822">
        <v>2</v>
      </c>
      <c r="C822">
        <v>6.292951192384259</v>
      </c>
      <c r="D822">
        <v>6.069098619815811</v>
      </c>
      <c r="E822">
        <v>22.76137151370283</v>
      </c>
      <c r="F822">
        <v>2316.020917736888</v>
      </c>
      <c r="G822">
        <v>0.9672609590813209</v>
      </c>
    </row>
    <row r="823" spans="1:7">
      <c r="A823" t="s">
        <v>137</v>
      </c>
      <c r="B823">
        <v>2</v>
      </c>
      <c r="C823">
        <v>6.299448489948863</v>
      </c>
      <c r="D823">
        <v>6.075382302918713</v>
      </c>
      <c r="E823">
        <v>22.80082466978483</v>
      </c>
      <c r="F823">
        <v>2318.418825963199</v>
      </c>
      <c r="G823">
        <v>0.966984215640237</v>
      </c>
    </row>
    <row r="824" spans="1:7">
      <c r="A824" t="s">
        <v>137</v>
      </c>
      <c r="B824">
        <v>2</v>
      </c>
      <c r="C824">
        <v>6.305947653060303</v>
      </c>
      <c r="D824">
        <v>6.081665986021614</v>
      </c>
      <c r="E824">
        <v>22.84032999261715</v>
      </c>
      <c r="F824">
        <v>2320.81673418951</v>
      </c>
      <c r="G824">
        <v>0.9667057458119481</v>
      </c>
    </row>
    <row r="825" spans="1:7">
      <c r="A825" t="s">
        <v>137</v>
      </c>
      <c r="B825">
        <v>2</v>
      </c>
      <c r="C825">
        <v>6.312448694401716</v>
      </c>
      <c r="D825">
        <v>6.087949669124516</v>
      </c>
      <c r="E825">
        <v>22.87988758281928</v>
      </c>
      <c r="F825">
        <v>2323.214642415822</v>
      </c>
      <c r="G825">
        <v>0.9664255495964537</v>
      </c>
    </row>
    <row r="826" spans="1:7">
      <c r="A826" t="s">
        <v>137</v>
      </c>
      <c r="B826">
        <v>2</v>
      </c>
      <c r="C826">
        <v>6.318951626677301</v>
      </c>
      <c r="D826">
        <v>6.094233352227418</v>
      </c>
      <c r="E826">
        <v>22.91949754137809</v>
      </c>
      <c r="F826">
        <v>2325.612550642133</v>
      </c>
      <c r="G826">
        <v>0.9661436269937547</v>
      </c>
    </row>
    <row r="827" spans="1:7">
      <c r="A827" t="s">
        <v>137</v>
      </c>
      <c r="B827">
        <v>2</v>
      </c>
      <c r="C827">
        <v>6.325456462612484</v>
      </c>
      <c r="D827">
        <v>6.100517035330319</v>
      </c>
      <c r="E827">
        <v>22.95915996964938</v>
      </c>
      <c r="F827">
        <v>2328.010458868444</v>
      </c>
      <c r="G827">
        <v>0.9658599780038504</v>
      </c>
    </row>
    <row r="828" spans="1:7">
      <c r="A828" t="s">
        <v>137</v>
      </c>
      <c r="B828">
        <v>2</v>
      </c>
      <c r="C828">
        <v>6.331963214954082</v>
      </c>
      <c r="D828">
        <v>6.106800718433221</v>
      </c>
      <c r="E828">
        <v>22.99887496935939</v>
      </c>
      <c r="F828">
        <v>2330.408367094755</v>
      </c>
      <c r="G828">
        <v>0.965574602626741</v>
      </c>
    </row>
    <row r="829" spans="1:7">
      <c r="A829" t="s">
        <v>137</v>
      </c>
      <c r="B829">
        <v>2</v>
      </c>
      <c r="C829">
        <v>6.33847189647046</v>
      </c>
      <c r="D829">
        <v>6.113084401536122</v>
      </c>
      <c r="E829">
        <v>23.03864264260631</v>
      </c>
      <c r="F829">
        <v>2332.806275321066</v>
      </c>
      <c r="G829">
        <v>0.9652875008624263</v>
      </c>
    </row>
    <row r="830" spans="1:7">
      <c r="A830" t="s">
        <v>137</v>
      </c>
      <c r="B830">
        <v>2</v>
      </c>
      <c r="C830">
        <v>6.344982519951698</v>
      </c>
      <c r="D830">
        <v>6.119368084639024</v>
      </c>
      <c r="E830">
        <v>23.07846309186185</v>
      </c>
      <c r="F830">
        <v>2335.204183547377</v>
      </c>
      <c r="G830">
        <v>0.9649986727109072</v>
      </c>
    </row>
    <row r="831" spans="1:7">
      <c r="A831" t="s">
        <v>137</v>
      </c>
      <c r="B831">
        <v>2</v>
      </c>
      <c r="C831">
        <v>6.35149509820975</v>
      </c>
      <c r="D831">
        <v>6.125651767741926</v>
      </c>
      <c r="E831">
        <v>23.11833641997273</v>
      </c>
      <c r="F831">
        <v>2337.602091773689</v>
      </c>
      <c r="G831">
        <v>0.9647081181721823</v>
      </c>
    </row>
    <row r="832" spans="1:7">
      <c r="A832" t="s">
        <v>137</v>
      </c>
      <c r="B832">
        <v>2</v>
      </c>
      <c r="C832">
        <v>6.358009644078609</v>
      </c>
      <c r="D832">
        <v>6.131935450844828</v>
      </c>
      <c r="E832">
        <v>23.1582627301623</v>
      </c>
      <c r="F832">
        <v>2340</v>
      </c>
      <c r="G832">
        <v>0.9644158372462529</v>
      </c>
    </row>
    <row r="833" spans="1:7">
      <c r="A833" t="s">
        <v>138</v>
      </c>
      <c r="B833">
        <v>2</v>
      </c>
      <c r="C833">
        <v>6.391342977411942</v>
      </c>
      <c r="D833">
        <v>6.126810372098661</v>
      </c>
      <c r="E833">
        <v>23.36257515843736</v>
      </c>
      <c r="F833">
        <v>0</v>
      </c>
      <c r="G833">
        <v>-0.153740984656238</v>
      </c>
    </row>
    <row r="834" spans="1:7">
      <c r="A834" t="s">
        <v>138</v>
      </c>
      <c r="B834">
        <v>2</v>
      </c>
      <c r="C834">
        <v>6.424676310745276</v>
      </c>
      <c r="D834">
        <v>6.121686051618932</v>
      </c>
      <c r="E834">
        <v>23.56671676339406</v>
      </c>
      <c r="F834">
        <v>0</v>
      </c>
      <c r="G834">
        <v>-0.1537182478587112</v>
      </c>
    </row>
    <row r="835" spans="1:7">
      <c r="A835" t="s">
        <v>138</v>
      </c>
      <c r="B835">
        <v>2</v>
      </c>
      <c r="C835">
        <v>6.458009644078609</v>
      </c>
      <c r="D835">
        <v>6.116562488659398</v>
      </c>
      <c r="E835">
        <v>23.77068757029551</v>
      </c>
      <c r="F835">
        <v>0</v>
      </c>
      <c r="G835">
        <v>-0.1536955334425909</v>
      </c>
    </row>
    <row r="836" spans="1:7">
      <c r="A836" t="s">
        <v>138</v>
      </c>
      <c r="B836">
        <v>2</v>
      </c>
      <c r="C836">
        <v>6.491342977411943</v>
      </c>
      <c r="D836">
        <v>6.111439682474208</v>
      </c>
      <c r="E836">
        <v>23.97448760437995</v>
      </c>
      <c r="F836">
        <v>0</v>
      </c>
      <c r="G836">
        <v>-0.1536728413961388</v>
      </c>
    </row>
    <row r="837" spans="1:7">
      <c r="A837" t="s">
        <v>138</v>
      </c>
      <c r="B837">
        <v>2</v>
      </c>
      <c r="C837">
        <v>6.524676310745276</v>
      </c>
      <c r="D837">
        <v>6.106317632317901</v>
      </c>
      <c r="E837">
        <v>24.17811689086077</v>
      </c>
      <c r="F837">
        <v>0</v>
      </c>
      <c r="G837">
        <v>-0.1536501717076306</v>
      </c>
    </row>
    <row r="838" spans="1:7">
      <c r="A838" t="s">
        <v>138</v>
      </c>
      <c r="B838">
        <v>2</v>
      </c>
      <c r="C838">
        <v>6.558009644078609</v>
      </c>
      <c r="D838">
        <v>6.101196337445407</v>
      </c>
      <c r="E838">
        <v>24.38157545492652</v>
      </c>
      <c r="F838">
        <v>0</v>
      </c>
      <c r="G838">
        <v>-0.1536275243653561</v>
      </c>
    </row>
    <row r="839" spans="1:7">
      <c r="A839" t="s">
        <v>138</v>
      </c>
      <c r="B839">
        <v>2</v>
      </c>
      <c r="C839">
        <v>6.591342977411943</v>
      </c>
      <c r="D839">
        <v>6.096075797112049</v>
      </c>
      <c r="E839">
        <v>24.5848633217409</v>
      </c>
      <c r="F839">
        <v>0</v>
      </c>
      <c r="G839">
        <v>-0.1536048993576191</v>
      </c>
    </row>
    <row r="840" spans="1:7">
      <c r="A840" t="s">
        <v>138</v>
      </c>
      <c r="B840">
        <v>2</v>
      </c>
      <c r="C840">
        <v>6.624676310745276</v>
      </c>
      <c r="D840">
        <v>6.090956010573535</v>
      </c>
      <c r="E840">
        <v>24.78798051644282</v>
      </c>
      <c r="F840">
        <v>0</v>
      </c>
      <c r="G840">
        <v>-0.1535822966727377</v>
      </c>
    </row>
    <row r="841" spans="1:7">
      <c r="A841" t="s">
        <v>138</v>
      </c>
      <c r="B841">
        <v>2</v>
      </c>
      <c r="C841">
        <v>6.658009644078609</v>
      </c>
      <c r="D841">
        <v>6.085836977085965</v>
      </c>
      <c r="E841">
        <v>24.99092706414637</v>
      </c>
      <c r="F841">
        <v>0</v>
      </c>
      <c r="G841">
        <v>-0.1535597162990434</v>
      </c>
    </row>
    <row r="842" spans="1:7">
      <c r="A842" t="s">
        <v>138</v>
      </c>
      <c r="B842">
        <v>2</v>
      </c>
      <c r="C842">
        <v>6.691342977411942</v>
      </c>
      <c r="D842">
        <v>6.080718695905826</v>
      </c>
      <c r="E842">
        <v>25.19370298994086</v>
      </c>
      <c r="F842">
        <v>0</v>
      </c>
      <c r="G842">
        <v>-0.1535371582248821</v>
      </c>
    </row>
    <row r="843" spans="1:7">
      <c r="A843" t="s">
        <v>138</v>
      </c>
      <c r="B843">
        <v>2</v>
      </c>
      <c r="C843">
        <v>6.724676310745275</v>
      </c>
      <c r="D843">
        <v>6.075601166289996</v>
      </c>
      <c r="E843">
        <v>25.39630831889081</v>
      </c>
      <c r="F843">
        <v>0</v>
      </c>
      <c r="G843">
        <v>-0.1535146224386137</v>
      </c>
    </row>
    <row r="844" spans="1:7">
      <c r="A844" t="s">
        <v>138</v>
      </c>
      <c r="B844">
        <v>2</v>
      </c>
      <c r="C844">
        <v>6.758009644078609</v>
      </c>
      <c r="D844">
        <v>6.070484387495738</v>
      </c>
      <c r="E844">
        <v>25.59874307603599</v>
      </c>
      <c r="F844">
        <v>0</v>
      </c>
      <c r="G844">
        <v>-0.1534921089286118</v>
      </c>
    </row>
    <row r="845" spans="1:7">
      <c r="A845" t="s">
        <v>138</v>
      </c>
      <c r="B845">
        <v>2</v>
      </c>
      <c r="C845">
        <v>6.791342977411943</v>
      </c>
      <c r="D845">
        <v>6.065368358780703</v>
      </c>
      <c r="E845">
        <v>25.8010072863914</v>
      </c>
      <c r="F845">
        <v>0</v>
      </c>
      <c r="G845">
        <v>-0.1534696176832643</v>
      </c>
    </row>
    <row r="846" spans="1:7">
      <c r="A846" t="s">
        <v>138</v>
      </c>
      <c r="B846">
        <v>2</v>
      </c>
      <c r="C846">
        <v>6.824676310745276</v>
      </c>
      <c r="D846">
        <v>6.06025307940293</v>
      </c>
      <c r="E846">
        <v>26.00310097494734</v>
      </c>
      <c r="F846">
        <v>0</v>
      </c>
      <c r="G846">
        <v>-0.1534471486909725</v>
      </c>
    </row>
    <row r="847" spans="1:7">
      <c r="A847" t="s">
        <v>138</v>
      </c>
      <c r="B847">
        <v>2</v>
      </c>
      <c r="C847">
        <v>6.858009644078609</v>
      </c>
      <c r="D847">
        <v>6.055138548620844</v>
      </c>
      <c r="E847">
        <v>26.20502416666933</v>
      </c>
      <c r="F847">
        <v>0</v>
      </c>
      <c r="G847">
        <v>-0.1534247019401521</v>
      </c>
    </row>
    <row r="848" spans="1:7">
      <c r="A848" t="s">
        <v>138</v>
      </c>
      <c r="B848">
        <v>2</v>
      </c>
      <c r="C848">
        <v>6.891342977411942</v>
      </c>
      <c r="D848">
        <v>6.050024765693254</v>
      </c>
      <c r="E848">
        <v>26.40677688649822</v>
      </c>
      <c r="F848">
        <v>0</v>
      </c>
      <c r="G848">
        <v>-0.1534022774192325</v>
      </c>
    </row>
    <row r="849" spans="1:7">
      <c r="A849" t="s">
        <v>138</v>
      </c>
      <c r="B849">
        <v>2</v>
      </c>
      <c r="C849">
        <v>6.924676310745276</v>
      </c>
      <c r="D849">
        <v>6.044911729879358</v>
      </c>
      <c r="E849">
        <v>26.60835915935014</v>
      </c>
      <c r="F849">
        <v>0</v>
      </c>
      <c r="G849">
        <v>-0.153379875116657</v>
      </c>
    </row>
    <row r="850" spans="1:7">
      <c r="A850" t="s">
        <v>138</v>
      </c>
      <c r="B850">
        <v>2</v>
      </c>
      <c r="C850">
        <v>6.958009644078609</v>
      </c>
      <c r="D850">
        <v>6.039799440438735</v>
      </c>
      <c r="E850">
        <v>26.80977101011655</v>
      </c>
      <c r="F850">
        <v>0</v>
      </c>
      <c r="G850">
        <v>-0.1533574950208828</v>
      </c>
    </row>
    <row r="851" spans="1:7">
      <c r="A851" t="s">
        <v>138</v>
      </c>
      <c r="B851">
        <v>2</v>
      </c>
      <c r="C851">
        <v>6.991342977411943</v>
      </c>
      <c r="D851">
        <v>6.034687896631351</v>
      </c>
      <c r="E851">
        <v>27.0110124636642</v>
      </c>
      <c r="F851">
        <v>0</v>
      </c>
      <c r="G851">
        <v>-0.1533351371203809</v>
      </c>
    </row>
    <row r="852" spans="1:7">
      <c r="A852" t="s">
        <v>138</v>
      </c>
      <c r="B852">
        <v>2</v>
      </c>
      <c r="C852">
        <v>7.024676310745276</v>
      </c>
      <c r="D852">
        <v>6.029577097717556</v>
      </c>
      <c r="E852">
        <v>27.21208354483523</v>
      </c>
      <c r="F852">
        <v>0</v>
      </c>
      <c r="G852">
        <v>-0.1533128014036363</v>
      </c>
    </row>
    <row r="853" spans="1:7">
      <c r="A853" t="s">
        <v>138</v>
      </c>
      <c r="B853">
        <v>2</v>
      </c>
      <c r="C853">
        <v>7.058009644078609</v>
      </c>
      <c r="D853">
        <v>6.024467042958084</v>
      </c>
      <c r="E853">
        <v>27.41298427844709</v>
      </c>
      <c r="F853">
        <v>0</v>
      </c>
      <c r="G853">
        <v>-0.1532904878591477</v>
      </c>
    </row>
    <row r="854" spans="1:7">
      <c r="A854" t="s">
        <v>138</v>
      </c>
      <c r="B854">
        <v>2</v>
      </c>
      <c r="C854">
        <v>7.091342977411943</v>
      </c>
      <c r="D854">
        <v>6.019357731614049</v>
      </c>
      <c r="E854">
        <v>27.61371468929261</v>
      </c>
      <c r="F854">
        <v>0</v>
      </c>
      <c r="G854">
        <v>-0.1532681964754276</v>
      </c>
    </row>
    <row r="855" spans="1:7">
      <c r="A855" t="s">
        <v>138</v>
      </c>
      <c r="B855">
        <v>2</v>
      </c>
      <c r="C855">
        <v>7.124676310745276</v>
      </c>
      <c r="D855">
        <v>6.014249162946951</v>
      </c>
      <c r="E855">
        <v>27.81427480213999</v>
      </c>
      <c r="F855">
        <v>0</v>
      </c>
      <c r="G855">
        <v>-0.1532459272410024</v>
      </c>
    </row>
    <row r="856" spans="1:7">
      <c r="A856" t="s">
        <v>138</v>
      </c>
      <c r="B856">
        <v>2</v>
      </c>
      <c r="C856">
        <v>7.158009644078609</v>
      </c>
      <c r="D856">
        <v>6.009141336218673</v>
      </c>
      <c r="E856">
        <v>28.01466464173284</v>
      </c>
      <c r="F856">
        <v>0</v>
      </c>
      <c r="G856">
        <v>-0.1532236801444123</v>
      </c>
    </row>
    <row r="857" spans="1:7">
      <c r="A857" t="s">
        <v>138</v>
      </c>
      <c r="B857">
        <v>2</v>
      </c>
      <c r="C857">
        <v>7.191342977411942</v>
      </c>
      <c r="D857">
        <v>6.004034250691475</v>
      </c>
      <c r="E857">
        <v>28.21488423279014</v>
      </c>
      <c r="F857">
        <v>0</v>
      </c>
      <c r="G857">
        <v>-0.1532014551742112</v>
      </c>
    </row>
    <row r="858" spans="1:7">
      <c r="A858" t="s">
        <v>138</v>
      </c>
      <c r="B858">
        <v>2</v>
      </c>
      <c r="C858">
        <v>7.224676310745275</v>
      </c>
      <c r="D858">
        <v>5.998927905628003</v>
      </c>
      <c r="E858">
        <v>28.41493360000631</v>
      </c>
      <c r="F858">
        <v>0</v>
      </c>
      <c r="G858">
        <v>-0.1531792523189669</v>
      </c>
    </row>
    <row r="859" spans="1:7">
      <c r="A859" t="s">
        <v>138</v>
      </c>
      <c r="B859">
        <v>2</v>
      </c>
      <c r="C859">
        <v>7.258009644078609</v>
      </c>
      <c r="D859">
        <v>5.993822300291282</v>
      </c>
      <c r="E859">
        <v>28.61481276805119</v>
      </c>
      <c r="F859">
        <v>0</v>
      </c>
      <c r="G859">
        <v>-0.1531570715672608</v>
      </c>
    </row>
    <row r="860" spans="1:7">
      <c r="A860" t="s">
        <v>138</v>
      </c>
      <c r="B860">
        <v>2</v>
      </c>
      <c r="C860">
        <v>7.291342977411943</v>
      </c>
      <c r="D860">
        <v>5.988717433944718</v>
      </c>
      <c r="E860">
        <v>28.81452176157006</v>
      </c>
      <c r="F860">
        <v>0</v>
      </c>
      <c r="G860">
        <v>-0.1531349129076881</v>
      </c>
    </row>
    <row r="861" spans="1:7">
      <c r="A861" t="s">
        <v>138</v>
      </c>
      <c r="B861">
        <v>2</v>
      </c>
      <c r="C861">
        <v>7.324676310745276</v>
      </c>
      <c r="D861">
        <v>5.983613305852096</v>
      </c>
      <c r="E861">
        <v>29.01406060518366</v>
      </c>
      <c r="F861">
        <v>0</v>
      </c>
      <c r="G861">
        <v>-0.1531127763288579</v>
      </c>
    </row>
    <row r="862" spans="1:7">
      <c r="A862" t="s">
        <v>138</v>
      </c>
      <c r="B862">
        <v>2</v>
      </c>
      <c r="C862">
        <v>7.358009644078609</v>
      </c>
      <c r="D862">
        <v>5.97850991527758</v>
      </c>
      <c r="E862">
        <v>29.21342932348818</v>
      </c>
      <c r="F862">
        <v>0</v>
      </c>
      <c r="G862">
        <v>-0.1530906618193927</v>
      </c>
    </row>
    <row r="863" spans="1:7">
      <c r="A863" t="s">
        <v>137</v>
      </c>
      <c r="B863">
        <v>3</v>
      </c>
      <c r="C863">
        <v>7.370946879003285</v>
      </c>
      <c r="D863">
        <v>5.988523831485375</v>
      </c>
      <c r="E863">
        <v>29.29083947445111</v>
      </c>
      <c r="F863">
        <v>1404.958690674034</v>
      </c>
      <c r="G863">
        <v>0.7741878097132583</v>
      </c>
    </row>
    <row r="864" spans="1:7">
      <c r="A864" t="s">
        <v>137</v>
      </c>
      <c r="B864">
        <v>3</v>
      </c>
      <c r="C864">
        <v>7.383879133651292</v>
      </c>
      <c r="D864">
        <v>5.99853774769317</v>
      </c>
      <c r="E864">
        <v>29.36834932843048</v>
      </c>
      <c r="F864">
        <v>1407.308040697466</v>
      </c>
      <c r="G864">
        <v>0.7744851555988159</v>
      </c>
    </row>
    <row r="865" spans="1:7">
      <c r="A865" t="s">
        <v>137</v>
      </c>
      <c r="B865">
        <v>3</v>
      </c>
      <c r="C865">
        <v>7.396806436551143</v>
      </c>
      <c r="D865">
        <v>6.008551663900966</v>
      </c>
      <c r="E865">
        <v>29.44595895695419</v>
      </c>
      <c r="F865">
        <v>1409.657390720899</v>
      </c>
      <c r="G865">
        <v>0.774781021667082</v>
      </c>
    </row>
    <row r="866" spans="1:7">
      <c r="A866" t="s">
        <v>137</v>
      </c>
      <c r="B866">
        <v>3</v>
      </c>
      <c r="C866">
        <v>7.409728816170224</v>
      </c>
      <c r="D866">
        <v>6.018565580108762</v>
      </c>
      <c r="E866">
        <v>29.5236684320396</v>
      </c>
      <c r="F866">
        <v>1412.006740744331</v>
      </c>
      <c r="G866">
        <v>0.7750754079180564</v>
      </c>
    </row>
    <row r="867" spans="1:7">
      <c r="A867" t="s">
        <v>137</v>
      </c>
      <c r="B867">
        <v>3</v>
      </c>
      <c r="C867">
        <v>7.422646300915211</v>
      </c>
      <c r="D867">
        <v>6.028579496316556</v>
      </c>
      <c r="E867">
        <v>29.60147782619359</v>
      </c>
      <c r="F867">
        <v>1414.356090767762</v>
      </c>
      <c r="G867">
        <v>0.775368314351738</v>
      </c>
    </row>
    <row r="868" spans="1:7">
      <c r="A868" t="s">
        <v>137</v>
      </c>
      <c r="B868">
        <v>3</v>
      </c>
      <c r="C868">
        <v>7.435558919132498</v>
      </c>
      <c r="D868">
        <v>6.038593412524352</v>
      </c>
      <c r="E868">
        <v>29.67938721241271</v>
      </c>
      <c r="F868">
        <v>1416.705440791195</v>
      </c>
      <c r="G868">
        <v>0.7756597409681278</v>
      </c>
    </row>
    <row r="869" spans="1:7">
      <c r="A869" t="s">
        <v>137</v>
      </c>
      <c r="B869">
        <v>3</v>
      </c>
      <c r="C869">
        <v>7.448466699108599</v>
      </c>
      <c r="D869">
        <v>6.048607328732148</v>
      </c>
      <c r="E869">
        <v>29.75739666418319</v>
      </c>
      <c r="F869">
        <v>1419.054790814627</v>
      </c>
      <c r="G869">
        <v>0.7759496877672261</v>
      </c>
    </row>
    <row r="870" spans="1:7">
      <c r="A870" t="s">
        <v>137</v>
      </c>
      <c r="B870">
        <v>3</v>
      </c>
      <c r="C870">
        <v>7.461369669070568</v>
      </c>
      <c r="D870">
        <v>6.058621244939943</v>
      </c>
      <c r="E870">
        <v>29.83550625548111</v>
      </c>
      <c r="F870">
        <v>1421.404140838059</v>
      </c>
      <c r="G870">
        <v>0.7762381547490323</v>
      </c>
    </row>
    <row r="871" spans="1:7">
      <c r="A871" t="s">
        <v>137</v>
      </c>
      <c r="B871">
        <v>3</v>
      </c>
      <c r="C871">
        <v>7.474267857186415</v>
      </c>
      <c r="D871">
        <v>6.068635161147738</v>
      </c>
      <c r="E871">
        <v>29.9137160607725</v>
      </c>
      <c r="F871">
        <v>1423.753490861491</v>
      </c>
      <c r="G871">
        <v>0.7765251419135463</v>
      </c>
    </row>
    <row r="872" spans="1:7">
      <c r="A872" t="s">
        <v>137</v>
      </c>
      <c r="B872">
        <v>3</v>
      </c>
      <c r="C872">
        <v>7.487161291565507</v>
      </c>
      <c r="D872">
        <v>6.078649077355534</v>
      </c>
      <c r="E872">
        <v>29.99202615501342</v>
      </c>
      <c r="F872">
        <v>1426.102840884923</v>
      </c>
      <c r="G872">
        <v>0.7768106492607681</v>
      </c>
    </row>
    <row r="873" spans="1:7">
      <c r="A873" t="s">
        <v>137</v>
      </c>
      <c r="B873">
        <v>3</v>
      </c>
      <c r="C873">
        <v>7.500050000258979</v>
      </c>
      <c r="D873">
        <v>6.088662993563329</v>
      </c>
      <c r="E873">
        <v>30.07043661365017</v>
      </c>
      <c r="F873">
        <v>1428.452190908355</v>
      </c>
      <c r="G873">
        <v>0.777094676790698</v>
      </c>
    </row>
    <row r="874" spans="1:7">
      <c r="A874" t="s">
        <v>137</v>
      </c>
      <c r="B874">
        <v>3</v>
      </c>
      <c r="C874">
        <v>7.512934011260146</v>
      </c>
      <c r="D874">
        <v>6.098676909771124</v>
      </c>
      <c r="E874">
        <v>30.14894751261936</v>
      </c>
      <c r="F874">
        <v>1430.801540931787</v>
      </c>
      <c r="G874">
        <v>0.7773772245033367</v>
      </c>
    </row>
    <row r="875" spans="1:7">
      <c r="A875" t="s">
        <v>137</v>
      </c>
      <c r="B875">
        <v>3</v>
      </c>
      <c r="C875">
        <v>7.525813352504898</v>
      </c>
      <c r="D875">
        <v>6.10869082597892</v>
      </c>
      <c r="E875">
        <v>30.2275589283481</v>
      </c>
      <c r="F875">
        <v>1433.150890955219</v>
      </c>
      <c r="G875">
        <v>0.7776582923986824</v>
      </c>
    </row>
    <row r="876" spans="1:7">
      <c r="A876" t="s">
        <v>137</v>
      </c>
      <c r="B876">
        <v>3</v>
      </c>
      <c r="C876">
        <v>7.538688051872105</v>
      </c>
      <c r="D876">
        <v>6.118704742186715</v>
      </c>
      <c r="E876">
        <v>30.30627093775415</v>
      </c>
      <c r="F876">
        <v>1435.500240978651</v>
      </c>
      <c r="G876">
        <v>0.7779378804767366</v>
      </c>
    </row>
    <row r="877" spans="1:7">
      <c r="A877" t="s">
        <v>137</v>
      </c>
      <c r="B877">
        <v>3</v>
      </c>
      <c r="C877">
        <v>7.551558137184026</v>
      </c>
      <c r="D877">
        <v>6.128718658394511</v>
      </c>
      <c r="E877">
        <v>30.3850836182461</v>
      </c>
      <c r="F877">
        <v>1437.849591002083</v>
      </c>
      <c r="G877">
        <v>0.7782159887374983</v>
      </c>
    </row>
    <row r="878" spans="1:7">
      <c r="A878" t="s">
        <v>137</v>
      </c>
      <c r="B878">
        <v>3</v>
      </c>
      <c r="C878">
        <v>7.564423636206693</v>
      </c>
      <c r="D878">
        <v>6.138732574602306</v>
      </c>
      <c r="E878">
        <v>30.46399704772351</v>
      </c>
      <c r="F878">
        <v>1440.198941025516</v>
      </c>
      <c r="G878">
        <v>0.7784926171809686</v>
      </c>
    </row>
    <row r="879" spans="1:7">
      <c r="A879" t="s">
        <v>137</v>
      </c>
      <c r="B879">
        <v>3</v>
      </c>
      <c r="C879">
        <v>7.577284576650319</v>
      </c>
      <c r="D879">
        <v>6.148746490810101</v>
      </c>
      <c r="E879">
        <v>30.54301130457714</v>
      </c>
      <c r="F879">
        <v>1442.548291048948</v>
      </c>
      <c r="G879">
        <v>0.7787677658071468</v>
      </c>
    </row>
    <row r="880" spans="1:7">
      <c r="A880" t="s">
        <v>137</v>
      </c>
      <c r="B880">
        <v>3</v>
      </c>
      <c r="C880">
        <v>7.590140986169692</v>
      </c>
      <c r="D880">
        <v>6.158760407017897</v>
      </c>
      <c r="E880">
        <v>30.62212646768914</v>
      </c>
      <c r="F880">
        <v>1444.89764107238</v>
      </c>
      <c r="G880">
        <v>0.7790414346160326</v>
      </c>
    </row>
    <row r="881" spans="1:7">
      <c r="A881" t="s">
        <v>137</v>
      </c>
      <c r="B881">
        <v>3</v>
      </c>
      <c r="C881">
        <v>7.602992892364563</v>
      </c>
      <c r="D881">
        <v>6.168774323225692</v>
      </c>
      <c r="E881">
        <v>30.70134261643323</v>
      </c>
      <c r="F881">
        <v>1447.246991095812</v>
      </c>
      <c r="G881">
        <v>0.7793136236076271</v>
      </c>
    </row>
    <row r="882" spans="1:7">
      <c r="A882" t="s">
        <v>137</v>
      </c>
      <c r="B882">
        <v>3</v>
      </c>
      <c r="C882">
        <v>7.61584032278004</v>
      </c>
      <c r="D882">
        <v>6.178788239433487</v>
      </c>
      <c r="E882">
        <v>30.78065983067491</v>
      </c>
      <c r="F882">
        <v>1449.596341119244</v>
      </c>
      <c r="G882">
        <v>0.7795843327819294</v>
      </c>
    </row>
    <row r="883" spans="1:7">
      <c r="A883" t="s">
        <v>137</v>
      </c>
      <c r="B883">
        <v>3</v>
      </c>
      <c r="C883">
        <v>7.628683304906985</v>
      </c>
      <c r="D883">
        <v>6.188802155641283</v>
      </c>
      <c r="E883">
        <v>30.86007819077174</v>
      </c>
      <c r="F883">
        <v>1451.945691142676</v>
      </c>
      <c r="G883">
        <v>0.7798535621389391</v>
      </c>
    </row>
    <row r="884" spans="1:7">
      <c r="A884" t="s">
        <v>137</v>
      </c>
      <c r="B884">
        <v>3</v>
      </c>
      <c r="C884">
        <v>7.641521866182388</v>
      </c>
      <c r="D884">
        <v>6.198816071849079</v>
      </c>
      <c r="E884">
        <v>30.93959777757352</v>
      </c>
      <c r="F884">
        <v>1454.295041166108</v>
      </c>
      <c r="G884">
        <v>0.7801213116786575</v>
      </c>
    </row>
    <row r="885" spans="1:7">
      <c r="A885" t="s">
        <v>137</v>
      </c>
      <c r="B885">
        <v>3</v>
      </c>
      <c r="C885">
        <v>7.654356033989766</v>
      </c>
      <c r="D885">
        <v>6.208829988056873</v>
      </c>
      <c r="E885">
        <v>31.0192186724225</v>
      </c>
      <c r="F885">
        <v>1456.64439118954</v>
      </c>
      <c r="G885">
        <v>0.7803875814010837</v>
      </c>
    </row>
    <row r="886" spans="1:7">
      <c r="A886" t="s">
        <v>137</v>
      </c>
      <c r="B886">
        <v>3</v>
      </c>
      <c r="C886">
        <v>7.667185835659547</v>
      </c>
      <c r="D886">
        <v>6.218843904264669</v>
      </c>
      <c r="E886">
        <v>31.09894095715375</v>
      </c>
      <c r="F886">
        <v>1458.993741212972</v>
      </c>
      <c r="G886">
        <v>0.7806523713062178</v>
      </c>
    </row>
    <row r="887" spans="1:7">
      <c r="A887" t="s">
        <v>137</v>
      </c>
      <c r="B887">
        <v>3</v>
      </c>
      <c r="C887">
        <v>7.680011298469443</v>
      </c>
      <c r="D887">
        <v>6.228857820472465</v>
      </c>
      <c r="E887">
        <v>31.17876471409527</v>
      </c>
      <c r="F887">
        <v>1461.343091236404</v>
      </c>
      <c r="G887">
        <v>0.7809156813940599</v>
      </c>
    </row>
    <row r="888" spans="1:7">
      <c r="A888" t="s">
        <v>137</v>
      </c>
      <c r="B888">
        <v>3</v>
      </c>
      <c r="C888">
        <v>7.692832449644842</v>
      </c>
      <c r="D888">
        <v>6.23887173668026</v>
      </c>
      <c r="E888">
        <v>31.25869002606835</v>
      </c>
      <c r="F888">
        <v>1463.692441259836</v>
      </c>
      <c r="G888">
        <v>0.7811775116646106</v>
      </c>
    </row>
    <row r="889" spans="1:7">
      <c r="A889" t="s">
        <v>137</v>
      </c>
      <c r="B889">
        <v>3</v>
      </c>
      <c r="C889">
        <v>7.705649316359186</v>
      </c>
      <c r="D889">
        <v>6.248885652888055</v>
      </c>
      <c r="E889">
        <v>31.33871697638785</v>
      </c>
      <c r="F889">
        <v>1466.041791283268</v>
      </c>
      <c r="G889">
        <v>0.7814378621178687</v>
      </c>
    </row>
    <row r="890" spans="1:7">
      <c r="A890" t="s">
        <v>137</v>
      </c>
      <c r="B890">
        <v>3</v>
      </c>
      <c r="C890">
        <v>7.718461925734345</v>
      </c>
      <c r="D890">
        <v>6.258899569095851</v>
      </c>
      <c r="E890">
        <v>31.41884564886244</v>
      </c>
      <c r="F890">
        <v>1468.3911413067</v>
      </c>
      <c r="G890">
        <v>0.7816967327538347</v>
      </c>
    </row>
    <row r="891" spans="1:7">
      <c r="A891" t="s">
        <v>137</v>
      </c>
      <c r="B891">
        <v>3</v>
      </c>
      <c r="C891">
        <v>7.731270304840995</v>
      </c>
      <c r="D891">
        <v>6.268913485303647</v>
      </c>
      <c r="E891">
        <v>31.4990761277949</v>
      </c>
      <c r="F891">
        <v>1470.740491330133</v>
      </c>
      <c r="G891">
        <v>0.781954123572509</v>
      </c>
    </row>
    <row r="892" spans="1:7">
      <c r="A892" t="s">
        <v>137</v>
      </c>
      <c r="B892">
        <v>3</v>
      </c>
      <c r="C892">
        <v>7.744074480698998</v>
      </c>
      <c r="D892">
        <v>6.278927401511441</v>
      </c>
      <c r="E892">
        <v>31.57940849798246</v>
      </c>
      <c r="F892">
        <v>1473.089841353564</v>
      </c>
      <c r="G892">
        <v>0.7822100345738914</v>
      </c>
    </row>
    <row r="893" spans="1:7">
      <c r="A893" t="s">
        <v>137</v>
      </c>
      <c r="B893">
        <v>3</v>
      </c>
      <c r="C893">
        <v>7.756874480277772</v>
      </c>
      <c r="D893">
        <v>6.288941317719237</v>
      </c>
      <c r="E893">
        <v>31.65984284471708</v>
      </c>
      <c r="F893">
        <v>1475.439191376997</v>
      </c>
      <c r="G893">
        <v>0.7824644657579818</v>
      </c>
    </row>
    <row r="894" spans="1:7">
      <c r="A894" t="s">
        <v>137</v>
      </c>
      <c r="B894">
        <v>3</v>
      </c>
      <c r="C894">
        <v>7.769670330496659</v>
      </c>
      <c r="D894">
        <v>6.298955233927033</v>
      </c>
      <c r="E894">
        <v>31.74037925378576</v>
      </c>
      <c r="F894">
        <v>1477.788541400429</v>
      </c>
      <c r="G894">
        <v>0.7827174171247797</v>
      </c>
    </row>
    <row r="895" spans="1:7">
      <c r="A895" t="s">
        <v>137</v>
      </c>
      <c r="B895">
        <v>3</v>
      </c>
      <c r="C895">
        <v>7.782462058225302</v>
      </c>
      <c r="D895">
        <v>6.308969150134828</v>
      </c>
      <c r="E895">
        <v>31.82101781147091</v>
      </c>
      <c r="F895">
        <v>1480.137891423861</v>
      </c>
      <c r="G895">
        <v>0.7829688886742864</v>
      </c>
    </row>
    <row r="896" spans="1:7">
      <c r="A896" t="s">
        <v>137</v>
      </c>
      <c r="B896">
        <v>3</v>
      </c>
      <c r="C896">
        <v>7.795249690284012</v>
      </c>
      <c r="D896">
        <v>6.318983066342623</v>
      </c>
      <c r="E896">
        <v>31.90175860455068</v>
      </c>
      <c r="F896">
        <v>1482.487241447293</v>
      </c>
      <c r="G896">
        <v>0.7832188804065005</v>
      </c>
    </row>
    <row r="897" spans="1:7">
      <c r="A897" t="s">
        <v>137</v>
      </c>
      <c r="B897">
        <v>3</v>
      </c>
      <c r="C897">
        <v>7.808033253444135</v>
      </c>
      <c r="D897">
        <v>6.328996982550419</v>
      </c>
      <c r="E897">
        <v>31.98260172029925</v>
      </c>
      <c r="F897">
        <v>1484.836591470725</v>
      </c>
      <c r="G897">
        <v>0.7834673923214226</v>
      </c>
    </row>
    <row r="898" spans="1:7">
      <c r="A898" t="s">
        <v>137</v>
      </c>
      <c r="B898">
        <v>3</v>
      </c>
      <c r="C898">
        <v>7.820812774428413</v>
      </c>
      <c r="D898">
        <v>6.339010898758214</v>
      </c>
      <c r="E898">
        <v>32.06354724648727</v>
      </c>
      <c r="F898">
        <v>1487.185941494157</v>
      </c>
      <c r="G898">
        <v>0.7837144244190528</v>
      </c>
    </row>
    <row r="899" spans="1:7">
      <c r="A899" t="s">
        <v>137</v>
      </c>
      <c r="B899">
        <v>3</v>
      </c>
      <c r="C899">
        <v>7.83358827991136</v>
      </c>
      <c r="D899">
        <v>6.349024814966009</v>
      </c>
      <c r="E899">
        <v>32.14459527138215</v>
      </c>
      <c r="F899">
        <v>1489.535291517589</v>
      </c>
      <c r="G899">
        <v>0.7839599766993917</v>
      </c>
    </row>
    <row r="900" spans="1:7">
      <c r="A900" t="s">
        <v>137</v>
      </c>
      <c r="B900">
        <v>3</v>
      </c>
      <c r="C900">
        <v>7.84635979651961</v>
      </c>
      <c r="D900">
        <v>6.359038731173805</v>
      </c>
      <c r="E900">
        <v>32.2257458837485</v>
      </c>
      <c r="F900">
        <v>1491.884641541021</v>
      </c>
      <c r="G900">
        <v>0.7842040491624378</v>
      </c>
    </row>
    <row r="901" spans="1:7">
      <c r="A901" t="s">
        <v>137</v>
      </c>
      <c r="B901">
        <v>3</v>
      </c>
      <c r="C901">
        <v>7.85912735083229</v>
      </c>
      <c r="D901">
        <v>6.3690526473816</v>
      </c>
      <c r="E901">
        <v>32.30699917284845</v>
      </c>
      <c r="F901">
        <v>1494.233991564453</v>
      </c>
      <c r="G901">
        <v>0.7844466418081922</v>
      </c>
    </row>
    <row r="902" spans="1:7">
      <c r="A902" t="s">
        <v>137</v>
      </c>
      <c r="B902">
        <v>3</v>
      </c>
      <c r="C902">
        <v>7.871890969381378</v>
      </c>
      <c r="D902">
        <v>6.379066563589395</v>
      </c>
      <c r="E902">
        <v>32.38835522844209</v>
      </c>
      <c r="F902">
        <v>1496.583341587885</v>
      </c>
      <c r="G902">
        <v>0.7846877546366545</v>
      </c>
    </row>
    <row r="903" spans="1:7">
      <c r="A903" t="s">
        <v>137</v>
      </c>
      <c r="B903">
        <v>3</v>
      </c>
      <c r="C903">
        <v>7.884650678652055</v>
      </c>
      <c r="D903">
        <v>6.389080479797191</v>
      </c>
      <c r="E903">
        <v>32.46981414078785</v>
      </c>
      <c r="F903">
        <v>1498.932691611318</v>
      </c>
      <c r="G903">
        <v>0.7849273876478249</v>
      </c>
    </row>
    <row r="904" spans="1:7">
      <c r="A904" t="s">
        <v>137</v>
      </c>
      <c r="B904">
        <v>3</v>
      </c>
      <c r="C904">
        <v>7.897406505083067</v>
      </c>
      <c r="D904">
        <v>6.399094396004986</v>
      </c>
      <c r="E904">
        <v>32.5513760006429</v>
      </c>
      <c r="F904">
        <v>1501.282041634749</v>
      </c>
      <c r="G904">
        <v>0.7851655408417034</v>
      </c>
    </row>
    <row r="905" spans="1:7">
      <c r="A905" t="s">
        <v>137</v>
      </c>
      <c r="B905">
        <v>3</v>
      </c>
      <c r="C905">
        <v>7.910158475067084</v>
      </c>
      <c r="D905">
        <v>6.409108312212782</v>
      </c>
      <c r="E905">
        <v>32.63304089926357</v>
      </c>
      <c r="F905">
        <v>1503.631391658181</v>
      </c>
      <c r="G905">
        <v>0.7854022142182894</v>
      </c>
    </row>
    <row r="906" spans="1:7">
      <c r="A906" t="s">
        <v>137</v>
      </c>
      <c r="B906">
        <v>3</v>
      </c>
      <c r="C906">
        <v>7.922906614951047</v>
      </c>
      <c r="D906">
        <v>6.419122228420577</v>
      </c>
      <c r="E906">
        <v>32.7148089284058</v>
      </c>
      <c r="F906">
        <v>1505.980741681614</v>
      </c>
      <c r="G906">
        <v>0.7856374077775842</v>
      </c>
    </row>
    <row r="907" spans="1:7">
      <c r="A907" t="s">
        <v>137</v>
      </c>
      <c r="B907">
        <v>3</v>
      </c>
      <c r="C907">
        <v>7.935650951036522</v>
      </c>
      <c r="D907">
        <v>6.429136144628372</v>
      </c>
      <c r="E907">
        <v>32.79668018032554</v>
      </c>
      <c r="F907">
        <v>1508.330091705046</v>
      </c>
      <c r="G907">
        <v>0.7858711215195864</v>
      </c>
    </row>
    <row r="908" spans="1:7">
      <c r="A908" t="s">
        <v>137</v>
      </c>
      <c r="B908">
        <v>3</v>
      </c>
      <c r="C908">
        <v>7.94839150958006</v>
      </c>
      <c r="D908">
        <v>6.439150060836168</v>
      </c>
      <c r="E908">
        <v>32.87865474777924</v>
      </c>
      <c r="F908">
        <v>1510.679441728478</v>
      </c>
      <c r="G908">
        <v>0.7861033554442971</v>
      </c>
    </row>
    <row r="909" spans="1:7">
      <c r="A909" t="s">
        <v>137</v>
      </c>
      <c r="B909">
        <v>3</v>
      </c>
      <c r="C909">
        <v>7.961128316793534</v>
      </c>
      <c r="D909">
        <v>6.449163977043963</v>
      </c>
      <c r="E909">
        <v>32.96073272402425</v>
      </c>
      <c r="F909">
        <v>1513.02879175191</v>
      </c>
      <c r="G909">
        <v>0.7863341095517155</v>
      </c>
    </row>
    <row r="910" spans="1:7">
      <c r="A910" t="s">
        <v>137</v>
      </c>
      <c r="B910">
        <v>3</v>
      </c>
      <c r="C910">
        <v>7.973861398844496</v>
      </c>
      <c r="D910">
        <v>6.459177893251758</v>
      </c>
      <c r="E910">
        <v>33.04291420281928</v>
      </c>
      <c r="F910">
        <v>1515.378141775342</v>
      </c>
      <c r="G910">
        <v>0.7865633838418415</v>
      </c>
    </row>
    <row r="911" spans="1:7">
      <c r="A911" t="s">
        <v>137</v>
      </c>
      <c r="B911">
        <v>3</v>
      </c>
      <c r="C911">
        <v>7.986590781856527</v>
      </c>
      <c r="D911">
        <v>6.469191809459554</v>
      </c>
      <c r="E911">
        <v>33.12519927842496</v>
      </c>
      <c r="F911">
        <v>1517.727491798774</v>
      </c>
      <c r="G911">
        <v>0.7867911783146765</v>
      </c>
    </row>
    <row r="912" spans="1:7">
      <c r="A912" t="s">
        <v>137</v>
      </c>
      <c r="B912">
        <v>3</v>
      </c>
      <c r="C912">
        <v>7.999316491909571</v>
      </c>
      <c r="D912">
        <v>6.47920572566735</v>
      </c>
      <c r="E912">
        <v>33.20758804560419</v>
      </c>
      <c r="F912">
        <v>1520.076841822206</v>
      </c>
      <c r="G912">
        <v>0.7870174929702187</v>
      </c>
    </row>
    <row r="913" spans="1:7">
      <c r="A913" t="s">
        <v>137</v>
      </c>
      <c r="B913">
        <v>3</v>
      </c>
      <c r="C913">
        <v>8.012038555040293</v>
      </c>
      <c r="D913">
        <v>6.489219641875144</v>
      </c>
      <c r="E913">
        <v>33.29008059962273</v>
      </c>
      <c r="F913">
        <v>1522.426191845638</v>
      </c>
      <c r="G913">
        <v>0.787242327808469</v>
      </c>
    </row>
    <row r="914" spans="1:7">
      <c r="A914" t="s">
        <v>137</v>
      </c>
      <c r="B914">
        <v>3</v>
      </c>
      <c r="C914">
        <v>8.024756997242417</v>
      </c>
      <c r="D914">
        <v>6.49923355808294</v>
      </c>
      <c r="E914">
        <v>33.37267703624964</v>
      </c>
      <c r="F914">
        <v>1524.77554186907</v>
      </c>
      <c r="G914">
        <v>0.7874656828294275</v>
      </c>
    </row>
    <row r="915" spans="1:7">
      <c r="A915" t="s">
        <v>137</v>
      </c>
      <c r="B915">
        <v>3</v>
      </c>
      <c r="C915">
        <v>8.037471844467062</v>
      </c>
      <c r="D915">
        <v>6.509247474290736</v>
      </c>
      <c r="E915">
        <v>33.45537745175781</v>
      </c>
      <c r="F915">
        <v>1527.124891892502</v>
      </c>
      <c r="G915">
        <v>0.7876875580330943</v>
      </c>
    </row>
    <row r="916" spans="1:7">
      <c r="A916" t="s">
        <v>137</v>
      </c>
      <c r="B916">
        <v>3</v>
      </c>
      <c r="C916">
        <v>8.050183122623093</v>
      </c>
      <c r="D916">
        <v>6.519261390498531</v>
      </c>
      <c r="E916">
        <v>33.53818194292445</v>
      </c>
      <c r="F916">
        <v>1529.474241915934</v>
      </c>
      <c r="G916">
        <v>0.7879079534194685</v>
      </c>
    </row>
    <row r="917" spans="1:7">
      <c r="A917" t="s">
        <v>137</v>
      </c>
      <c r="B917">
        <v>3</v>
      </c>
      <c r="C917">
        <v>8.062890857577456</v>
      </c>
      <c r="D917">
        <v>6.529275306706326</v>
      </c>
      <c r="E917">
        <v>33.62109060703165</v>
      </c>
      <c r="F917">
        <v>1531.823591939366</v>
      </c>
      <c r="G917">
        <v>0.7881268689885513</v>
      </c>
    </row>
    <row r="918" spans="1:7">
      <c r="A918" t="s">
        <v>137</v>
      </c>
      <c r="B918">
        <v>3</v>
      </c>
      <c r="C918">
        <v>8.075595075155515</v>
      </c>
      <c r="D918">
        <v>6.539289222914122</v>
      </c>
      <c r="E918">
        <v>33.70410354186688</v>
      </c>
      <c r="F918">
        <v>1534.172941962799</v>
      </c>
      <c r="G918">
        <v>0.788344304740342</v>
      </c>
    </row>
    <row r="919" spans="1:7">
      <c r="A919" t="s">
        <v>137</v>
      </c>
      <c r="B919">
        <v>3</v>
      </c>
      <c r="C919">
        <v>8.08829580114139</v>
      </c>
      <c r="D919">
        <v>6.549303139121917</v>
      </c>
      <c r="E919">
        <v>33.78722084572352</v>
      </c>
      <c r="F919">
        <v>1536.522291986231</v>
      </c>
      <c r="G919">
        <v>0.7885602606748405</v>
      </c>
    </row>
    <row r="920" spans="1:7">
      <c r="A920" t="s">
        <v>137</v>
      </c>
      <c r="B920">
        <v>3</v>
      </c>
      <c r="C920">
        <v>8.100993061278297</v>
      </c>
      <c r="D920">
        <v>6.559317055329712</v>
      </c>
      <c r="E920">
        <v>33.87044261740146</v>
      </c>
      <c r="F920">
        <v>1538.871642009663</v>
      </c>
      <c r="G920">
        <v>0.7887747367920469</v>
      </c>
    </row>
    <row r="921" spans="1:7">
      <c r="A921" t="s">
        <v>137</v>
      </c>
      <c r="B921">
        <v>3</v>
      </c>
      <c r="C921">
        <v>8.113686881268872</v>
      </c>
      <c r="D921">
        <v>6.569330971537508</v>
      </c>
      <c r="E921">
        <v>33.95376895620761</v>
      </c>
      <c r="F921">
        <v>1541.220992033095</v>
      </c>
      <c r="G921">
        <v>0.7889877330919615</v>
      </c>
    </row>
    <row r="922" spans="1:7">
      <c r="A922" t="s">
        <v>137</v>
      </c>
      <c r="B922">
        <v>3</v>
      </c>
      <c r="C922">
        <v>8.126377286775515</v>
      </c>
      <c r="D922">
        <v>6.579344887745303</v>
      </c>
      <c r="E922">
        <v>34.03719996195647</v>
      </c>
      <c r="F922">
        <v>1543.570342056527</v>
      </c>
      <c r="G922">
        <v>0.7891992495745843</v>
      </c>
    </row>
    <row r="923" spans="1:7">
      <c r="A923" t="s">
        <v>137</v>
      </c>
      <c r="B923">
        <v>3</v>
      </c>
      <c r="C923">
        <v>8.139064303420719</v>
      </c>
      <c r="D923">
        <v>6.589358803953099</v>
      </c>
      <c r="E923">
        <v>34.12073573497074</v>
      </c>
      <c r="F923">
        <v>1545.919692079959</v>
      </c>
      <c r="G923">
        <v>0.7894092862399146</v>
      </c>
    </row>
    <row r="924" spans="1:7">
      <c r="A924" t="s">
        <v>137</v>
      </c>
      <c r="B924">
        <v>3</v>
      </c>
      <c r="C924">
        <v>8.151747956787398</v>
      </c>
      <c r="D924">
        <v>6.599372720160894</v>
      </c>
      <c r="E924">
        <v>34.20437637608187</v>
      </c>
      <c r="F924">
        <v>1548.269042103391</v>
      </c>
      <c r="G924">
        <v>0.7896178430879534</v>
      </c>
    </row>
    <row r="925" spans="1:7">
      <c r="A925" t="s">
        <v>137</v>
      </c>
      <c r="B925">
        <v>3</v>
      </c>
      <c r="C925">
        <v>8.164428272419219</v>
      </c>
      <c r="D925">
        <v>6.60938663636869</v>
      </c>
      <c r="E925">
        <v>34.28812198663064</v>
      </c>
      <c r="F925">
        <v>1550.618392126823</v>
      </c>
      <c r="G925">
        <v>0.7898249201186994</v>
      </c>
    </row>
    <row r="926" spans="1:7">
      <c r="A926" t="s">
        <v>137</v>
      </c>
      <c r="B926">
        <v>3</v>
      </c>
      <c r="C926">
        <v>8.177105275820928</v>
      </c>
      <c r="D926">
        <v>6.619400552576485</v>
      </c>
      <c r="E926">
        <v>34.37197266846781</v>
      </c>
      <c r="F926">
        <v>1552.967742150255</v>
      </c>
      <c r="G926">
        <v>0.7900305173321546</v>
      </c>
    </row>
    <row r="927" spans="1:7">
      <c r="A927" t="s">
        <v>137</v>
      </c>
      <c r="B927">
        <v>3</v>
      </c>
      <c r="C927">
        <v>8.189778992458685</v>
      </c>
      <c r="D927">
        <v>6.62941446878428</v>
      </c>
      <c r="E927">
        <v>34.45592852395471</v>
      </c>
      <c r="F927">
        <v>1555.317092173687</v>
      </c>
      <c r="G927">
        <v>0.7902346347283172</v>
      </c>
    </row>
    <row r="928" spans="1:7">
      <c r="A928" t="s">
        <v>137</v>
      </c>
      <c r="B928">
        <v>3</v>
      </c>
      <c r="C928">
        <v>8.20244944776038</v>
      </c>
      <c r="D928">
        <v>6.639428384992076</v>
      </c>
      <c r="E928">
        <v>34.53998965596382</v>
      </c>
      <c r="F928">
        <v>1557.66644219712</v>
      </c>
      <c r="G928">
        <v>0.7904372723071879</v>
      </c>
    </row>
    <row r="929" spans="1:7">
      <c r="A929" t="s">
        <v>137</v>
      </c>
      <c r="B929">
        <v>3</v>
      </c>
      <c r="C929">
        <v>8.215116667115964</v>
      </c>
      <c r="D929">
        <v>6.649442301199871</v>
      </c>
      <c r="E929">
        <v>34.62415616787946</v>
      </c>
      <c r="F929">
        <v>1560.015792220551</v>
      </c>
      <c r="G929">
        <v>0.7906384300687667</v>
      </c>
    </row>
    <row r="930" spans="1:7">
      <c r="A930" t="s">
        <v>137</v>
      </c>
      <c r="B930">
        <v>3</v>
      </c>
      <c r="C930">
        <v>8.227780675877776</v>
      </c>
      <c r="D930">
        <v>6.659456217407667</v>
      </c>
      <c r="E930">
        <v>34.70842816359837</v>
      </c>
      <c r="F930">
        <v>1562.365142243983</v>
      </c>
      <c r="G930">
        <v>0.7908381080130531</v>
      </c>
    </row>
    <row r="931" spans="1:7">
      <c r="A931" t="s">
        <v>137</v>
      </c>
      <c r="B931">
        <v>3</v>
      </c>
      <c r="C931">
        <v>8.240441499360857</v>
      </c>
      <c r="D931">
        <v>6.669470133615462</v>
      </c>
      <c r="E931">
        <v>34.79280574753041</v>
      </c>
      <c r="F931">
        <v>1564.714492267416</v>
      </c>
      <c r="G931">
        <v>0.7910363061400475</v>
      </c>
    </row>
    <row r="932" spans="1:7">
      <c r="A932" t="s">
        <v>137</v>
      </c>
      <c r="B932">
        <v>3</v>
      </c>
      <c r="C932">
        <v>8.253099162843279</v>
      </c>
      <c r="D932">
        <v>6.679484049823257</v>
      </c>
      <c r="E932">
        <v>34.87728902459915</v>
      </c>
      <c r="F932">
        <v>1567.063842290847</v>
      </c>
      <c r="G932">
        <v>0.7912330244497505</v>
      </c>
    </row>
    <row r="933" spans="1:7">
      <c r="A933" t="s">
        <v>137</v>
      </c>
      <c r="B933">
        <v>3</v>
      </c>
      <c r="C933">
        <v>8.265753691566463</v>
      </c>
      <c r="D933">
        <v>6.689497966031053</v>
      </c>
      <c r="E933">
        <v>34.9618781002426</v>
      </c>
      <c r="F933">
        <v>1569.41319231428</v>
      </c>
      <c r="G933">
        <v>0.7914282629421612</v>
      </c>
    </row>
    <row r="934" spans="1:7">
      <c r="A934" t="s">
        <v>137</v>
      </c>
      <c r="B934">
        <v>3</v>
      </c>
      <c r="C934">
        <v>8.278405110735498</v>
      </c>
      <c r="D934">
        <v>6.699511882238848</v>
      </c>
      <c r="E934">
        <v>35.04657308041383</v>
      </c>
      <c r="F934">
        <v>1571.762542337712</v>
      </c>
      <c r="G934">
        <v>0.7916220216172801</v>
      </c>
    </row>
    <row r="935" spans="1:7">
      <c r="A935" t="s">
        <v>137</v>
      </c>
      <c r="B935">
        <v>3</v>
      </c>
      <c r="C935">
        <v>8.291053445519461</v>
      </c>
      <c r="D935">
        <v>6.709525798446643</v>
      </c>
      <c r="E935">
        <v>35.13137407158166</v>
      </c>
      <c r="F935">
        <v>1574.111892361144</v>
      </c>
      <c r="G935">
        <v>0.7918143004751066</v>
      </c>
    </row>
    <row r="936" spans="1:7">
      <c r="A936" t="s">
        <v>137</v>
      </c>
      <c r="B936">
        <v>3</v>
      </c>
      <c r="C936">
        <v>8.303698721051736</v>
      </c>
      <c r="D936">
        <v>6.719539714654439</v>
      </c>
      <c r="E936">
        <v>35.21628118073139</v>
      </c>
      <c r="F936">
        <v>1576.461242384576</v>
      </c>
      <c r="G936">
        <v>0.7920050995156412</v>
      </c>
    </row>
    <row r="937" spans="1:7">
      <c r="A937" t="s">
        <v>137</v>
      </c>
      <c r="B937">
        <v>3</v>
      </c>
      <c r="C937">
        <v>8.316340962430324</v>
      </c>
      <c r="D937">
        <v>6.729553630862235</v>
      </c>
      <c r="E937">
        <v>35.30129451536543</v>
      </c>
      <c r="F937">
        <v>1578.810592408008</v>
      </c>
      <c r="G937">
        <v>0.7921944187388841</v>
      </c>
    </row>
    <row r="938" spans="1:7">
      <c r="A938" t="s">
        <v>137</v>
      </c>
      <c r="B938">
        <v>3</v>
      </c>
      <c r="C938">
        <v>8.328980194718163</v>
      </c>
      <c r="D938">
        <v>6.739567547070029</v>
      </c>
      <c r="E938">
        <v>35.38641418350407</v>
      </c>
      <c r="F938">
        <v>1581.15994243144</v>
      </c>
      <c r="G938">
        <v>0.7923822581448344</v>
      </c>
    </row>
    <row r="939" spans="1:7">
      <c r="A939" t="s">
        <v>137</v>
      </c>
      <c r="B939">
        <v>3</v>
      </c>
      <c r="C939">
        <v>8.341616442943447</v>
      </c>
      <c r="D939">
        <v>6.749581463277825</v>
      </c>
      <c r="E939">
        <v>35.47164029368614</v>
      </c>
      <c r="F939">
        <v>1583.509292454872</v>
      </c>
      <c r="G939">
        <v>0.7925686177334935</v>
      </c>
    </row>
    <row r="940" spans="1:7">
      <c r="A940" t="s">
        <v>137</v>
      </c>
      <c r="B940">
        <v>3</v>
      </c>
      <c r="C940">
        <v>8.35424973209993</v>
      </c>
      <c r="D940">
        <v>6.759595379485621</v>
      </c>
      <c r="E940">
        <v>35.55697295496978</v>
      </c>
      <c r="F940">
        <v>1585.858642478304</v>
      </c>
      <c r="G940">
        <v>0.7927534975048602</v>
      </c>
    </row>
    <row r="941" spans="1:7">
      <c r="A941" t="s">
        <v>137</v>
      </c>
      <c r="B941">
        <v>3</v>
      </c>
      <c r="C941">
        <v>8.366880087147241</v>
      </c>
      <c r="D941">
        <v>6.769609295693416</v>
      </c>
      <c r="E941">
        <v>35.64241227693314</v>
      </c>
      <c r="F941">
        <v>1588.207992501736</v>
      </c>
      <c r="G941">
        <v>0.792936897458935</v>
      </c>
    </row>
    <row r="942" spans="1:7">
      <c r="A942" t="s">
        <v>137</v>
      </c>
      <c r="B942">
        <v>3</v>
      </c>
      <c r="C942">
        <v>8.379507533011202</v>
      </c>
      <c r="D942">
        <v>6.779623211901211</v>
      </c>
      <c r="E942">
        <v>35.72795836967518</v>
      </c>
      <c r="F942">
        <v>1590.557342525168</v>
      </c>
      <c r="G942">
        <v>0.7931188175957177</v>
      </c>
    </row>
    <row r="943" spans="1:7">
      <c r="A943" t="s">
        <v>137</v>
      </c>
      <c r="B943">
        <v>3</v>
      </c>
      <c r="C943">
        <v>8.392132094584127</v>
      </c>
      <c r="D943">
        <v>6.789637128109007</v>
      </c>
      <c r="E943">
        <v>35.81361134381631</v>
      </c>
      <c r="F943">
        <v>1592.9066925486</v>
      </c>
      <c r="G943">
        <v>0.7932992579152087</v>
      </c>
    </row>
    <row r="944" spans="1:7">
      <c r="A944" t="s">
        <v>137</v>
      </c>
      <c r="B944">
        <v>3</v>
      </c>
      <c r="C944">
        <v>8.404753796725142</v>
      </c>
      <c r="D944">
        <v>6.799651044316802</v>
      </c>
      <c r="E944">
        <v>35.89937131049926</v>
      </c>
      <c r="F944">
        <v>1595.256042572032</v>
      </c>
      <c r="G944">
        <v>0.7934782184174075</v>
      </c>
    </row>
    <row r="945" spans="1:7">
      <c r="A945" t="s">
        <v>137</v>
      </c>
      <c r="B945">
        <v>3</v>
      </c>
      <c r="C945">
        <v>8.417372664260487</v>
      </c>
      <c r="D945">
        <v>6.809664960524597</v>
      </c>
      <c r="E945">
        <v>35.98523838138981</v>
      </c>
      <c r="F945">
        <v>1597.605392595464</v>
      </c>
      <c r="G945">
        <v>0.7936556991023143</v>
      </c>
    </row>
    <row r="946" spans="1:7">
      <c r="A946" t="s">
        <v>137</v>
      </c>
      <c r="B946">
        <v>3</v>
      </c>
      <c r="C946">
        <v>8.429988721983824</v>
      </c>
      <c r="D946">
        <v>6.819678876732393</v>
      </c>
      <c r="E946">
        <v>36.07121266867755</v>
      </c>
      <c r="F946">
        <v>1599.954742618897</v>
      </c>
      <c r="G946">
        <v>0.793831699969929</v>
      </c>
    </row>
    <row r="947" spans="1:7">
      <c r="A947" t="s">
        <v>137</v>
      </c>
      <c r="B947">
        <v>3</v>
      </c>
      <c r="C947">
        <v>8.442601994656544</v>
      </c>
      <c r="D947">
        <v>6.829692792940188</v>
      </c>
      <c r="E947">
        <v>36.15729428507665</v>
      </c>
      <c r="F947">
        <v>1602.304092642329</v>
      </c>
      <c r="G947">
        <v>0.7940062210202521</v>
      </c>
    </row>
    <row r="948" spans="1:7">
      <c r="A948" t="s">
        <v>137</v>
      </c>
      <c r="B948">
        <v>3</v>
      </c>
      <c r="C948">
        <v>8.455212507008078</v>
      </c>
      <c r="D948">
        <v>6.839706709147984</v>
      </c>
      <c r="E948">
        <v>36.24348334382675</v>
      </c>
      <c r="F948">
        <v>1604.653442665761</v>
      </c>
      <c r="G948">
        <v>0.7941792622532831</v>
      </c>
    </row>
    <row r="949" spans="1:7">
      <c r="A949" t="s">
        <v>137</v>
      </c>
      <c r="B949">
        <v>3</v>
      </c>
      <c r="C949">
        <v>8.46782028373619</v>
      </c>
      <c r="D949">
        <v>6.849720625355779</v>
      </c>
      <c r="E949">
        <v>36.32977995869363</v>
      </c>
      <c r="F949">
        <v>1607.002792689193</v>
      </c>
      <c r="G949">
        <v>0.7943508236690219</v>
      </c>
    </row>
    <row r="950" spans="1:7">
      <c r="A950" t="s">
        <v>137</v>
      </c>
      <c r="B950">
        <v>3</v>
      </c>
      <c r="C950">
        <v>8.480425349507287</v>
      </c>
      <c r="D950">
        <v>6.859734541563574</v>
      </c>
      <c r="E950">
        <v>36.41618424397014</v>
      </c>
      <c r="F950">
        <v>1609.352142712625</v>
      </c>
      <c r="G950">
        <v>0.7945209052674687</v>
      </c>
    </row>
    <row r="951" spans="1:7">
      <c r="A951" t="s">
        <v>137</v>
      </c>
      <c r="B951">
        <v>3</v>
      </c>
      <c r="C951">
        <v>8.493027728956731</v>
      </c>
      <c r="D951">
        <v>6.86974845777137</v>
      </c>
      <c r="E951">
        <v>36.50269631447695</v>
      </c>
      <c r="F951">
        <v>1611.701492736057</v>
      </c>
      <c r="G951">
        <v>0.7946895070486236</v>
      </c>
    </row>
    <row r="952" spans="1:7">
      <c r="A952" t="s">
        <v>137</v>
      </c>
      <c r="B952">
        <v>3</v>
      </c>
      <c r="C952">
        <v>8.50562744668912</v>
      </c>
      <c r="D952">
        <v>6.879762373979165</v>
      </c>
      <c r="E952">
        <v>36.58931628556342</v>
      </c>
      <c r="F952">
        <v>1614.050842759489</v>
      </c>
      <c r="G952">
        <v>0.7948566290124862</v>
      </c>
    </row>
    <row r="953" spans="1:7">
      <c r="A953" t="s">
        <v>137</v>
      </c>
      <c r="B953">
        <v>3</v>
      </c>
      <c r="C953">
        <v>8.518224527278605</v>
      </c>
      <c r="D953">
        <v>6.88977629018696</v>
      </c>
      <c r="E953">
        <v>36.6760442731084</v>
      </c>
      <c r="F953">
        <v>1616.400192782921</v>
      </c>
      <c r="G953">
        <v>0.7950222711590571</v>
      </c>
    </row>
    <row r="954" spans="1:7">
      <c r="A954" t="s">
        <v>137</v>
      </c>
      <c r="B954">
        <v>3</v>
      </c>
      <c r="C954">
        <v>8.53081899526919</v>
      </c>
      <c r="D954">
        <v>6.899790206394756</v>
      </c>
      <c r="E954">
        <v>36.76288039352113</v>
      </c>
      <c r="F954">
        <v>1618.749542806353</v>
      </c>
      <c r="G954">
        <v>0.7951864334883366</v>
      </c>
    </row>
    <row r="955" spans="1:7">
      <c r="A955" t="s">
        <v>137</v>
      </c>
      <c r="B955">
        <v>3</v>
      </c>
      <c r="C955">
        <v>8.543410875175018</v>
      </c>
      <c r="D955">
        <v>6.909804122602552</v>
      </c>
      <c r="E955">
        <v>36.84982476374206</v>
      </c>
      <c r="F955">
        <v>1621.098892829785</v>
      </c>
      <c r="G955">
        <v>0.7953491160003232</v>
      </c>
    </row>
    <row r="956" spans="1:7">
      <c r="A956" t="s">
        <v>137</v>
      </c>
      <c r="B956">
        <v>3</v>
      </c>
      <c r="C956">
        <v>8.556000191480685</v>
      </c>
      <c r="D956">
        <v>6.919818038810346</v>
      </c>
      <c r="E956">
        <v>36.93687750124371</v>
      </c>
      <c r="F956">
        <v>1623.448242853217</v>
      </c>
      <c r="G956">
        <v>0.7955103186950181</v>
      </c>
    </row>
    <row r="957" spans="1:7">
      <c r="A957" t="s">
        <v>137</v>
      </c>
      <c r="B957">
        <v>3</v>
      </c>
      <c r="C957">
        <v>8.568586968641528</v>
      </c>
      <c r="D957">
        <v>6.929831955018142</v>
      </c>
      <c r="E957">
        <v>37.0240387240316</v>
      </c>
      <c r="F957">
        <v>1625.797592876649</v>
      </c>
      <c r="G957">
        <v>0.7956700415724212</v>
      </c>
    </row>
    <row r="958" spans="1:7">
      <c r="A958" t="s">
        <v>137</v>
      </c>
      <c r="B958">
        <v>3</v>
      </c>
      <c r="C958">
        <v>8.581171231083921</v>
      </c>
      <c r="D958">
        <v>6.939845871225938</v>
      </c>
      <c r="E958">
        <v>37.11130855064506</v>
      </c>
      <c r="F958">
        <v>1628.146942900082</v>
      </c>
      <c r="G958">
        <v>0.7958282846325321</v>
      </c>
    </row>
    <row r="959" spans="1:7">
      <c r="A959" t="s">
        <v>137</v>
      </c>
      <c r="B959">
        <v>3</v>
      </c>
      <c r="C959">
        <v>8.593753003205578</v>
      </c>
      <c r="D959">
        <v>6.949859787433732</v>
      </c>
      <c r="E959">
        <v>37.19868710015819</v>
      </c>
      <c r="F959">
        <v>1630.496292923513</v>
      </c>
      <c r="G959">
        <v>0.7959850478753511</v>
      </c>
    </row>
    <row r="960" spans="1:7">
      <c r="A960" t="s">
        <v>137</v>
      </c>
      <c r="B960">
        <v>3</v>
      </c>
      <c r="C960">
        <v>8.606332309375842</v>
      </c>
      <c r="D960">
        <v>6.959873703641528</v>
      </c>
      <c r="E960">
        <v>37.28617449218073</v>
      </c>
      <c r="F960">
        <v>1632.845642946945</v>
      </c>
      <c r="G960">
        <v>0.7961403313008779</v>
      </c>
    </row>
    <row r="961" spans="1:7">
      <c r="A961" t="s">
        <v>137</v>
      </c>
      <c r="B961">
        <v>3</v>
      </c>
      <c r="C961">
        <v>8.618909173935981</v>
      </c>
      <c r="D961">
        <v>6.969887619849324</v>
      </c>
      <c r="E961">
        <v>37.37377084685896</v>
      </c>
      <c r="F961">
        <v>1635.194992970378</v>
      </c>
      <c r="G961">
        <v>0.7962941349091132</v>
      </c>
    </row>
    <row r="962" spans="1:7">
      <c r="A962" t="s">
        <v>137</v>
      </c>
      <c r="B962">
        <v>3</v>
      </c>
      <c r="C962">
        <v>8.631483621199479</v>
      </c>
      <c r="D962">
        <v>6.979901536057119</v>
      </c>
      <c r="E962">
        <v>37.46147628487665</v>
      </c>
      <c r="F962">
        <v>1637.54434299381</v>
      </c>
      <c r="G962">
        <v>0.7964464587000558</v>
      </c>
    </row>
    <row r="963" spans="1:7">
      <c r="A963" t="s">
        <v>137</v>
      </c>
      <c r="B963">
        <v>3</v>
      </c>
      <c r="C963">
        <v>8.644055675452332</v>
      </c>
      <c r="D963">
        <v>6.989915452264914</v>
      </c>
      <c r="E963">
        <v>37.549290927456</v>
      </c>
      <c r="F963">
        <v>1639.893693017242</v>
      </c>
      <c r="G963">
        <v>0.7965973026737071</v>
      </c>
    </row>
    <row r="964" spans="1:7">
      <c r="A964" t="s">
        <v>137</v>
      </c>
      <c r="B964">
        <v>3</v>
      </c>
      <c r="C964">
        <v>8.65662536095334</v>
      </c>
      <c r="D964">
        <v>6.99992936847271</v>
      </c>
      <c r="E964">
        <v>37.63721489635851</v>
      </c>
      <c r="F964">
        <v>1642.243043040674</v>
      </c>
      <c r="G964">
        <v>0.7967466668300659</v>
      </c>
    </row>
    <row r="965" spans="1:7">
      <c r="A965" t="s">
        <v>137</v>
      </c>
      <c r="B965">
        <v>3</v>
      </c>
      <c r="C965">
        <v>8.66919270193439</v>
      </c>
      <c r="D965">
        <v>7.009943284680505</v>
      </c>
      <c r="E965">
        <v>37.72524831388601</v>
      </c>
      <c r="F965">
        <v>1644.592393064106</v>
      </c>
      <c r="G965">
        <v>0.7968945511691331</v>
      </c>
    </row>
    <row r="966" spans="1:7">
      <c r="A966" t="s">
        <v>137</v>
      </c>
      <c r="B966">
        <v>3</v>
      </c>
      <c r="C966">
        <v>8.681757722600761</v>
      </c>
      <c r="D966">
        <v>7.0199572008883</v>
      </c>
      <c r="E966">
        <v>37.81339130288158</v>
      </c>
      <c r="F966">
        <v>1646.941743087538</v>
      </c>
      <c r="G966">
        <v>0.797040955690908</v>
      </c>
    </row>
    <row r="967" spans="1:7">
      <c r="A967" t="s">
        <v>137</v>
      </c>
      <c r="B967">
        <v>3</v>
      </c>
      <c r="C967">
        <v>8.694320447131396</v>
      </c>
      <c r="D967">
        <v>7.029971117096096</v>
      </c>
      <c r="E967">
        <v>37.90164398673051</v>
      </c>
      <c r="F967">
        <v>1649.29109311097</v>
      </c>
      <c r="G967">
        <v>0.797185880395391</v>
      </c>
    </row>
    <row r="968" spans="1:7">
      <c r="A968" t="s">
        <v>137</v>
      </c>
      <c r="B968">
        <v>3</v>
      </c>
      <c r="C968">
        <v>8.706880899679204</v>
      </c>
      <c r="D968">
        <v>7.039985033303891</v>
      </c>
      <c r="E968">
        <v>37.99000648936128</v>
      </c>
      <c r="F968">
        <v>1651.640443134402</v>
      </c>
      <c r="G968">
        <v>0.7973293252825823</v>
      </c>
    </row>
    <row r="969" spans="1:7">
      <c r="A969" t="s">
        <v>137</v>
      </c>
      <c r="B969">
        <v>3</v>
      </c>
      <c r="C969">
        <v>8.719439104371343</v>
      </c>
      <c r="D969">
        <v>7.049998949511687</v>
      </c>
      <c r="E969">
        <v>38.07847893524659</v>
      </c>
      <c r="F969">
        <v>1653.989793157834</v>
      </c>
      <c r="G969">
        <v>0.7974712903524808</v>
      </c>
    </row>
    <row r="970" spans="1:7">
      <c r="A970" t="s">
        <v>137</v>
      </c>
      <c r="B970">
        <v>3</v>
      </c>
      <c r="C970">
        <v>8.731995085309505</v>
      </c>
      <c r="D970">
        <v>7.060012865719482</v>
      </c>
      <c r="E970">
        <v>38.16706144940426</v>
      </c>
      <c r="F970">
        <v>1656.339143181266</v>
      </c>
      <c r="G970">
        <v>0.7976117756050882</v>
      </c>
    </row>
    <row r="971" spans="1:7">
      <c r="A971" t="s">
        <v>137</v>
      </c>
      <c r="B971">
        <v>3</v>
      </c>
      <c r="C971">
        <v>8.744548866570204</v>
      </c>
      <c r="D971">
        <v>7.070026781927277</v>
      </c>
      <c r="E971">
        <v>38.25575415739831</v>
      </c>
      <c r="F971">
        <v>1658.688493204698</v>
      </c>
      <c r="G971">
        <v>0.7977507810404034</v>
      </c>
    </row>
    <row r="972" spans="1:7">
      <c r="A972" t="s">
        <v>137</v>
      </c>
      <c r="B972">
        <v>3</v>
      </c>
      <c r="C972">
        <v>8.757100472205066</v>
      </c>
      <c r="D972">
        <v>7.080040698135073</v>
      </c>
      <c r="E972">
        <v>38.34455718533999</v>
      </c>
      <c r="F972">
        <v>1661.03784322813</v>
      </c>
      <c r="G972">
        <v>0.7978883066584268</v>
      </c>
    </row>
    <row r="973" spans="1:7">
      <c r="A973" t="s">
        <v>137</v>
      </c>
      <c r="B973">
        <v>3</v>
      </c>
      <c r="C973">
        <v>8.769649926241106</v>
      </c>
      <c r="D973">
        <v>7.090054614342868</v>
      </c>
      <c r="E973">
        <v>38.4334706598887</v>
      </c>
      <c r="F973">
        <v>1663.387193251563</v>
      </c>
      <c r="G973">
        <v>0.7980243524591578</v>
      </c>
    </row>
    <row r="974" spans="1:7">
      <c r="A974" t="s">
        <v>137</v>
      </c>
      <c r="B974">
        <v>3</v>
      </c>
      <c r="C974">
        <v>8.782197252681019</v>
      </c>
      <c r="D974">
        <v>7.100068530550663</v>
      </c>
      <c r="E974">
        <v>38.52249470825311</v>
      </c>
      <c r="F974">
        <v>1665.736543274995</v>
      </c>
      <c r="G974">
        <v>0.7981589184425963</v>
      </c>
    </row>
    <row r="975" spans="1:7">
      <c r="A975" t="s">
        <v>137</v>
      </c>
      <c r="B975">
        <v>3</v>
      </c>
      <c r="C975">
        <v>8.794742475503464</v>
      </c>
      <c r="D975">
        <v>7.110082446758459</v>
      </c>
      <c r="E975">
        <v>38.6116294581922</v>
      </c>
      <c r="F975">
        <v>1668.085893298427</v>
      </c>
      <c r="G975">
        <v>0.7982920046087437</v>
      </c>
    </row>
    <row r="976" spans="1:7">
      <c r="A976" t="s">
        <v>137</v>
      </c>
      <c r="B976">
        <v>3</v>
      </c>
      <c r="C976">
        <v>8.807285618663336</v>
      </c>
      <c r="D976">
        <v>7.120096362966255</v>
      </c>
      <c r="E976">
        <v>38.70087503801626</v>
      </c>
      <c r="F976">
        <v>1670.435243321859</v>
      </c>
      <c r="G976">
        <v>0.7984236109575995</v>
      </c>
    </row>
    <row r="977" spans="1:7">
      <c r="A977" t="s">
        <v>137</v>
      </c>
      <c r="B977">
        <v>3</v>
      </c>
      <c r="C977">
        <v>8.81982670609206</v>
      </c>
      <c r="D977">
        <v>7.130110279174049</v>
      </c>
      <c r="E977">
        <v>38.79023157658796</v>
      </c>
      <c r="F977">
        <v>1672.784593345291</v>
      </c>
      <c r="G977">
        <v>0.7985537374891624</v>
      </c>
    </row>
    <row r="978" spans="1:7">
      <c r="A978" t="s">
        <v>137</v>
      </c>
      <c r="B978">
        <v>3</v>
      </c>
      <c r="C978">
        <v>8.832365761697874</v>
      </c>
      <c r="D978">
        <v>7.140124195381845</v>
      </c>
      <c r="E978">
        <v>38.87969920332348</v>
      </c>
      <c r="F978">
        <v>1675.133943368723</v>
      </c>
      <c r="G978">
        <v>0.7986823842034335</v>
      </c>
    </row>
    <row r="979" spans="1:7">
      <c r="A979" t="s">
        <v>137</v>
      </c>
      <c r="B979">
        <v>3</v>
      </c>
      <c r="C979">
        <v>8.844902809366095</v>
      </c>
      <c r="D979">
        <v>7.150138111589641</v>
      </c>
      <c r="E979">
        <v>38.96927804819347</v>
      </c>
      <c r="F979">
        <v>1677.483293392155</v>
      </c>
      <c r="G979">
        <v>0.7988095511004127</v>
      </c>
    </row>
    <row r="980" spans="1:7">
      <c r="A980" t="s">
        <v>137</v>
      </c>
      <c r="B980">
        <v>3</v>
      </c>
      <c r="C980">
        <v>8.857437872959416</v>
      </c>
      <c r="D980">
        <v>7.160152027797436</v>
      </c>
      <c r="E980">
        <v>39.05896824172427</v>
      </c>
      <c r="F980">
        <v>1679.832643415587</v>
      </c>
      <c r="G980">
        <v>0.7989352381800997</v>
      </c>
    </row>
    <row r="981" spans="1:7">
      <c r="A981" t="s">
        <v>137</v>
      </c>
      <c r="B981">
        <v>3</v>
      </c>
      <c r="C981">
        <v>8.869970976318175</v>
      </c>
      <c r="D981">
        <v>7.170165944005231</v>
      </c>
      <c r="E981">
        <v>39.14876991499894</v>
      </c>
      <c r="F981">
        <v>1682.181993439019</v>
      </c>
      <c r="G981">
        <v>0.7990594454424953</v>
      </c>
    </row>
    <row r="982" spans="1:7">
      <c r="A982" t="s">
        <v>137</v>
      </c>
      <c r="B982">
        <v>3</v>
      </c>
      <c r="C982">
        <v>8.882502143260638</v>
      </c>
      <c r="D982">
        <v>7.180179860213027</v>
      </c>
      <c r="E982">
        <v>39.23868319965833</v>
      </c>
      <c r="F982">
        <v>1684.531343462451</v>
      </c>
      <c r="G982">
        <v>0.7991821728875981</v>
      </c>
    </row>
    <row r="983" spans="1:7">
      <c r="A983" t="s">
        <v>137</v>
      </c>
      <c r="B983">
        <v>3</v>
      </c>
      <c r="C983">
        <v>8.895031397583276</v>
      </c>
      <c r="D983">
        <v>7.190193776420822</v>
      </c>
      <c r="E983">
        <v>39.32870822790225</v>
      </c>
      <c r="F983">
        <v>1686.880693485883</v>
      </c>
      <c r="G983">
        <v>0.7993034205154093</v>
      </c>
    </row>
    <row r="984" spans="1:7">
      <c r="A984" t="s">
        <v>137</v>
      </c>
      <c r="B984">
        <v>3</v>
      </c>
      <c r="C984">
        <v>8.907558763061045</v>
      </c>
      <c r="D984">
        <v>7.200207692628617</v>
      </c>
      <c r="E984">
        <v>39.41884513249062</v>
      </c>
      <c r="F984">
        <v>1689.230043509315</v>
      </c>
      <c r="G984">
        <v>0.7994231883259286</v>
      </c>
    </row>
    <row r="985" spans="1:7">
      <c r="A985" t="s">
        <v>137</v>
      </c>
      <c r="B985">
        <v>3</v>
      </c>
      <c r="C985">
        <v>8.920084263447661</v>
      </c>
      <c r="D985">
        <v>7.210221608836413</v>
      </c>
      <c r="E985">
        <v>39.50909404674453</v>
      </c>
      <c r="F985">
        <v>1691.579393532748</v>
      </c>
      <c r="G985">
        <v>0.799541476319156</v>
      </c>
    </row>
    <row r="986" spans="1:7">
      <c r="A986" t="s">
        <v>137</v>
      </c>
      <c r="B986">
        <v>3</v>
      </c>
      <c r="C986">
        <v>8.932607922475876</v>
      </c>
      <c r="D986">
        <v>7.220235525044208</v>
      </c>
      <c r="E986">
        <v>39.59945510454742</v>
      </c>
      <c r="F986">
        <v>1693.92874355618</v>
      </c>
      <c r="G986">
        <v>0.7996582844950911</v>
      </c>
    </row>
    <row r="987" spans="1:7">
      <c r="A987" t="s">
        <v>137</v>
      </c>
      <c r="B987">
        <v>3</v>
      </c>
      <c r="C987">
        <v>8.945129763857755</v>
      </c>
      <c r="D987">
        <v>7.230249441252004</v>
      </c>
      <c r="E987">
        <v>39.68992844034624</v>
      </c>
      <c r="F987">
        <v>1696.278093579612</v>
      </c>
      <c r="G987">
        <v>0.7997736128537346</v>
      </c>
    </row>
    <row r="988" spans="1:7">
      <c r="A988" t="s">
        <v>137</v>
      </c>
      <c r="B988">
        <v>3</v>
      </c>
      <c r="C988">
        <v>8.957649811284952</v>
      </c>
      <c r="D988">
        <v>7.240263357459799</v>
      </c>
      <c r="E988">
        <v>39.78051418915263</v>
      </c>
      <c r="F988">
        <v>1698.627443603044</v>
      </c>
      <c r="G988">
        <v>0.7998874613950858</v>
      </c>
    </row>
    <row r="989" spans="1:7">
      <c r="A989" t="s">
        <v>137</v>
      </c>
      <c r="B989">
        <v>3</v>
      </c>
      <c r="C989">
        <v>8.970168088428983</v>
      </c>
      <c r="D989">
        <v>7.250277273667594</v>
      </c>
      <c r="E989">
        <v>39.87121248654402</v>
      </c>
      <c r="F989">
        <v>1700.976793626476</v>
      </c>
      <c r="G989">
        <v>0.7999998301191452</v>
      </c>
    </row>
    <row r="990" spans="1:7">
      <c r="A990" t="s">
        <v>137</v>
      </c>
      <c r="B990">
        <v>3</v>
      </c>
      <c r="C990">
        <v>8.982684618941501</v>
      </c>
      <c r="D990">
        <v>7.26029118987539</v>
      </c>
      <c r="E990">
        <v>39.96202346866492</v>
      </c>
      <c r="F990">
        <v>1703.326143649908</v>
      </c>
      <c r="G990">
        <v>0.8001107190259124</v>
      </c>
    </row>
    <row r="991" spans="1:7">
      <c r="A991" t="s">
        <v>137</v>
      </c>
      <c r="B991">
        <v>3</v>
      </c>
      <c r="C991">
        <v>8.995199426454571</v>
      </c>
      <c r="D991">
        <v>7.270305106083185</v>
      </c>
      <c r="E991">
        <v>40.05294727222802</v>
      </c>
      <c r="F991">
        <v>1705.67549367334</v>
      </c>
      <c r="G991">
        <v>0.8002201281153877</v>
      </c>
    </row>
    <row r="992" spans="1:7">
      <c r="A992" t="s">
        <v>137</v>
      </c>
      <c r="B992">
        <v>3</v>
      </c>
      <c r="C992">
        <v>9.007712534580937</v>
      </c>
      <c r="D992">
        <v>7.28031902229098</v>
      </c>
      <c r="E992">
        <v>40.14398403451542</v>
      </c>
      <c r="F992">
        <v>1708.024843696772</v>
      </c>
      <c r="G992">
        <v>0.800328057387571</v>
      </c>
    </row>
    <row r="993" spans="1:7">
      <c r="A993" t="s">
        <v>137</v>
      </c>
      <c r="B993">
        <v>3</v>
      </c>
      <c r="C993">
        <v>9.020223966914308</v>
      </c>
      <c r="D993">
        <v>7.290332938498776</v>
      </c>
      <c r="E993">
        <v>40.23513389337989</v>
      </c>
      <c r="F993">
        <v>1710.374193720204</v>
      </c>
      <c r="G993">
        <v>0.8004345068424626</v>
      </c>
    </row>
    <row r="994" spans="1:7">
      <c r="A994" t="s">
        <v>137</v>
      </c>
      <c r="B994">
        <v>3</v>
      </c>
      <c r="C994">
        <v>9.032733747029614</v>
      </c>
      <c r="D994">
        <v>7.300346854706572</v>
      </c>
      <c r="E994">
        <v>40.32639698724601</v>
      </c>
      <c r="F994">
        <v>1712.723543743636</v>
      </c>
      <c r="G994">
        <v>0.8005394764800617</v>
      </c>
    </row>
    <row r="995" spans="1:7">
      <c r="A995" t="s">
        <v>137</v>
      </c>
      <c r="B995">
        <v>3</v>
      </c>
      <c r="C995">
        <v>9.045241898483283</v>
      </c>
      <c r="D995">
        <v>7.310360770914366</v>
      </c>
      <c r="E995">
        <v>40.41777345511144</v>
      </c>
      <c r="F995">
        <v>1715.072893767068</v>
      </c>
      <c r="G995">
        <v>0.800642966300369</v>
      </c>
    </row>
    <row r="996" spans="1:7">
      <c r="A996" t="s">
        <v>137</v>
      </c>
      <c r="B996">
        <v>3</v>
      </c>
      <c r="C996">
        <v>9.057748444813523</v>
      </c>
      <c r="D996">
        <v>7.320374687122162</v>
      </c>
      <c r="E996">
        <v>40.50926343654821</v>
      </c>
      <c r="F996">
        <v>1717.4222437905</v>
      </c>
      <c r="G996">
        <v>0.8007449763033845</v>
      </c>
    </row>
    <row r="997" spans="1:7">
      <c r="A997" t="s">
        <v>137</v>
      </c>
      <c r="B997">
        <v>3</v>
      </c>
      <c r="C997">
        <v>9.070253409540573</v>
      </c>
      <c r="D997">
        <v>7.330388603329958</v>
      </c>
      <c r="E997">
        <v>40.60086707170387</v>
      </c>
      <c r="F997">
        <v>1719.771593813932</v>
      </c>
      <c r="G997">
        <v>0.8008455064891078</v>
      </c>
    </row>
    <row r="998" spans="1:7">
      <c r="A998" t="s">
        <v>137</v>
      </c>
      <c r="B998">
        <v>3</v>
      </c>
      <c r="C998">
        <v>9.082756816166988</v>
      </c>
      <c r="D998">
        <v>7.340402519537753</v>
      </c>
      <c r="E998">
        <v>40.69258450130281</v>
      </c>
      <c r="F998">
        <v>1722.120943837365</v>
      </c>
      <c r="G998">
        <v>0.8009445568575393</v>
      </c>
    </row>
    <row r="999" spans="1:7">
      <c r="A999" t="s">
        <v>137</v>
      </c>
      <c r="B999">
        <v>3</v>
      </c>
      <c r="C999">
        <v>9.095258688177902</v>
      </c>
      <c r="D999">
        <v>7.350416435745548</v>
      </c>
      <c r="E999">
        <v>40.78441586664754</v>
      </c>
      <c r="F999">
        <v>1724.470293860797</v>
      </c>
      <c r="G999">
        <v>0.8010421274086786</v>
      </c>
    </row>
    <row r="1000" spans="1:7">
      <c r="A1000" t="s">
        <v>137</v>
      </c>
      <c r="B1000">
        <v>3</v>
      </c>
      <c r="C1000">
        <v>9.107759049041299</v>
      </c>
      <c r="D1000">
        <v>7.360430351953344</v>
      </c>
      <c r="E1000">
        <v>40.87636130961997</v>
      </c>
      <c r="F1000">
        <v>1726.819643884229</v>
      </c>
      <c r="G1000">
        <v>0.8011382181425261</v>
      </c>
    </row>
    <row r="1001" spans="1:7">
      <c r="A1001" t="s">
        <v>137</v>
      </c>
      <c r="B1001">
        <v>3</v>
      </c>
      <c r="C1001">
        <v>9.120257922208278</v>
      </c>
      <c r="D1001">
        <v>7.37044426816114</v>
      </c>
      <c r="E1001">
        <v>40.96842097268264</v>
      </c>
      <c r="F1001">
        <v>1729.168993907661</v>
      </c>
      <c r="G1001">
        <v>0.8012328290590812</v>
      </c>
    </row>
    <row r="1002" spans="1:7">
      <c r="A1002" t="s">
        <v>137</v>
      </c>
      <c r="B1002">
        <v>3</v>
      </c>
      <c r="C1002">
        <v>9.132755331113326</v>
      </c>
      <c r="D1002">
        <v>7.380458184368934</v>
      </c>
      <c r="E1002">
        <v>41.06059499888008</v>
      </c>
      <c r="F1002">
        <v>1731.518343931093</v>
      </c>
      <c r="G1002">
        <v>0.8013259601583449</v>
      </c>
    </row>
    <row r="1003" spans="1:7">
      <c r="A1003" t="s">
        <v>137</v>
      </c>
      <c r="B1003">
        <v>3</v>
      </c>
      <c r="C1003">
        <v>9.145251299174584</v>
      </c>
      <c r="D1003">
        <v>7.39047210057673</v>
      </c>
      <c r="E1003">
        <v>41.15288353184013</v>
      </c>
      <c r="F1003">
        <v>1733.867693954525</v>
      </c>
      <c r="G1003">
        <v>0.8014176114403162</v>
      </c>
    </row>
    <row r="1004" spans="1:7">
      <c r="A1004" t="s">
        <v>137</v>
      </c>
      <c r="B1004">
        <v>3</v>
      </c>
      <c r="C1004">
        <v>9.157745849794109</v>
      </c>
      <c r="D1004">
        <v>7.400486016784526</v>
      </c>
      <c r="E1004">
        <v>41.24528671577521</v>
      </c>
      <c r="F1004">
        <v>1736.217043977957</v>
      </c>
      <c r="G1004">
        <v>0.8015077829049959</v>
      </c>
    </row>
    <row r="1005" spans="1:7">
      <c r="A1005" t="s">
        <v>137</v>
      </c>
      <c r="B1005">
        <v>3</v>
      </c>
      <c r="C1005">
        <v>9.170239006358148</v>
      </c>
      <c r="D1005">
        <v>7.41049993299232</v>
      </c>
      <c r="E1005">
        <v>41.33780469548365</v>
      </c>
      <c r="F1005">
        <v>1738.566394001389</v>
      </c>
      <c r="G1005">
        <v>0.8015964745523831</v>
      </c>
    </row>
    <row r="1006" spans="1:7">
      <c r="A1006" t="s">
        <v>137</v>
      </c>
      <c r="B1006">
        <v>3</v>
      </c>
      <c r="C1006">
        <v>9.1827307922374</v>
      </c>
      <c r="D1006">
        <v>7.420513849200116</v>
      </c>
      <c r="E1006">
        <v>41.43043761635111</v>
      </c>
      <c r="F1006">
        <v>1740.915744024821</v>
      </c>
      <c r="G1006">
        <v>0.8016836863824788</v>
      </c>
    </row>
    <row r="1007" spans="1:7">
      <c r="A1007" t="s">
        <v>137</v>
      </c>
      <c r="B1007">
        <v>3</v>
      </c>
      <c r="C1007">
        <v>9.195221230787283</v>
      </c>
      <c r="D1007">
        <v>7.430527765407912</v>
      </c>
      <c r="E1007">
        <v>41.52318562435184</v>
      </c>
      <c r="F1007">
        <v>1743.265094048253</v>
      </c>
      <c r="G1007">
        <v>0.8017694183952822</v>
      </c>
    </row>
    <row r="1008" spans="1:7">
      <c r="A1008" t="s">
        <v>137</v>
      </c>
      <c r="B1008">
        <v>3</v>
      </c>
      <c r="C1008">
        <v>9.207710345348197</v>
      </c>
      <c r="D1008">
        <v>7.440541681615708</v>
      </c>
      <c r="E1008">
        <v>41.61604886605006</v>
      </c>
      <c r="F1008">
        <v>1745.614444071685</v>
      </c>
      <c r="G1008">
        <v>0.8018536705907936</v>
      </c>
    </row>
    <row r="1009" spans="1:7">
      <c r="A1009" t="s">
        <v>137</v>
      </c>
      <c r="B1009">
        <v>3</v>
      </c>
      <c r="C1009">
        <v>9.220198159245792</v>
      </c>
      <c r="D1009">
        <v>7.450555597823502</v>
      </c>
      <c r="E1009">
        <v>41.70902748860137</v>
      </c>
      <c r="F1009">
        <v>1747.963794095117</v>
      </c>
      <c r="G1009">
        <v>0.8019364429690133</v>
      </c>
    </row>
    <row r="1010" spans="1:7">
      <c r="A1010" t="s">
        <v>137</v>
      </c>
      <c r="B1010">
        <v>3</v>
      </c>
      <c r="C1010">
        <v>9.232684695791232</v>
      </c>
      <c r="D1010">
        <v>7.460569514031298</v>
      </c>
      <c r="E1010">
        <v>41.80212163975411</v>
      </c>
      <c r="F1010">
        <v>1750.31314411855</v>
      </c>
      <c r="G1010">
        <v>0.8020177355299406</v>
      </c>
    </row>
    <row r="1011" spans="1:7">
      <c r="A1011" t="s">
        <v>137</v>
      </c>
      <c r="B1011">
        <v>3</v>
      </c>
      <c r="C1011">
        <v>9.245169978281455</v>
      </c>
      <c r="D1011">
        <v>7.470583430239094</v>
      </c>
      <c r="E1011">
        <v>41.89533146785074</v>
      </c>
      <c r="F1011">
        <v>1752.662494141982</v>
      </c>
      <c r="G1011">
        <v>0.802097548273576</v>
      </c>
    </row>
    <row r="1012" spans="1:7">
      <c r="A1012" t="s">
        <v>137</v>
      </c>
      <c r="B1012">
        <v>3</v>
      </c>
      <c r="C1012">
        <v>9.257654029999442</v>
      </c>
      <c r="D1012">
        <v>7.480597346446888</v>
      </c>
      <c r="E1012">
        <v>41.98865712182922</v>
      </c>
      <c r="F1012">
        <v>1755.011844165414</v>
      </c>
      <c r="G1012">
        <v>0.8021758811999196</v>
      </c>
    </row>
    <row r="1013" spans="1:7">
      <c r="A1013" t="s">
        <v>137</v>
      </c>
      <c r="B1013">
        <v>3</v>
      </c>
      <c r="C1013">
        <v>9.270136874214478</v>
      </c>
      <c r="D1013">
        <v>7.490611262654684</v>
      </c>
      <c r="E1013">
        <v>42.0820987512245</v>
      </c>
      <c r="F1013">
        <v>1757.361194188846</v>
      </c>
      <c r="G1013">
        <v>0.8022527343089713</v>
      </c>
    </row>
    <row r="1014" spans="1:7">
      <c r="A1014" t="s">
        <v>137</v>
      </c>
      <c r="B1014">
        <v>3</v>
      </c>
      <c r="C1014">
        <v>9.282618534182415</v>
      </c>
      <c r="D1014">
        <v>7.50062517886248</v>
      </c>
      <c r="E1014">
        <v>42.17565650616985</v>
      </c>
      <c r="F1014">
        <v>1759.710544212278</v>
      </c>
      <c r="G1014">
        <v>0.8023281076007311</v>
      </c>
    </row>
    <row r="1015" spans="1:7">
      <c r="A1015" t="s">
        <v>137</v>
      </c>
      <c r="B1015">
        <v>3</v>
      </c>
      <c r="C1015">
        <v>9.295099033145933</v>
      </c>
      <c r="D1015">
        <v>7.510639095070275</v>
      </c>
      <c r="E1015">
        <v>42.26933053739834</v>
      </c>
      <c r="F1015">
        <v>1762.05989423571</v>
      </c>
      <c r="G1015">
        <v>0.8024020010751985</v>
      </c>
    </row>
    <row r="1016" spans="1:7">
      <c r="A1016" t="s">
        <v>137</v>
      </c>
      <c r="B1016">
        <v>3</v>
      </c>
      <c r="C1016">
        <v>9.307578394334806</v>
      </c>
      <c r="D1016">
        <v>7.52065301127807</v>
      </c>
      <c r="E1016">
        <v>42.3631209962443</v>
      </c>
      <c r="F1016">
        <v>1764.409244259142</v>
      </c>
      <c r="G1016">
        <v>0.8024744147323739</v>
      </c>
    </row>
    <row r="1017" spans="1:7">
      <c r="A1017" t="s">
        <v>137</v>
      </c>
      <c r="B1017">
        <v>3</v>
      </c>
      <c r="C1017">
        <v>9.320056640966158</v>
      </c>
      <c r="D1017">
        <v>7.530666927485866</v>
      </c>
      <c r="E1017">
        <v>42.45702803464472</v>
      </c>
      <c r="F1017">
        <v>1766.758594282574</v>
      </c>
      <c r="G1017">
        <v>0.8025453485722577</v>
      </c>
    </row>
    <row r="1018" spans="1:7">
      <c r="A1018" t="s">
        <v>137</v>
      </c>
      <c r="B1018">
        <v>3</v>
      </c>
      <c r="C1018">
        <v>9.332533796244729</v>
      </c>
      <c r="D1018">
        <v>7.540680843693661</v>
      </c>
      <c r="E1018">
        <v>42.55105180514076</v>
      </c>
      <c r="F1018">
        <v>1769.107944306006</v>
      </c>
      <c r="G1018">
        <v>0.8026148025948495</v>
      </c>
    </row>
    <row r="1019" spans="1:7">
      <c r="A1019" t="s">
        <v>137</v>
      </c>
      <c r="B1019">
        <v>3</v>
      </c>
      <c r="C1019">
        <v>9.345009883363137</v>
      </c>
      <c r="D1019">
        <v>7.550694759901456</v>
      </c>
      <c r="E1019">
        <v>42.6451924608792</v>
      </c>
      <c r="F1019">
        <v>1771.457294329438</v>
      </c>
      <c r="G1019">
        <v>0.8026827768001484</v>
      </c>
    </row>
    <row r="1020" spans="1:7">
      <c r="A1020" t="s">
        <v>137</v>
      </c>
      <c r="B1020">
        <v>3</v>
      </c>
      <c r="C1020">
        <v>9.357484925502133</v>
      </c>
      <c r="D1020">
        <v>7.560708676109252</v>
      </c>
      <c r="E1020">
        <v>42.73945015561393</v>
      </c>
      <c r="F1020">
        <v>1773.80664435287</v>
      </c>
      <c r="G1020">
        <v>0.8027492711881563</v>
      </c>
    </row>
    <row r="1021" spans="1:7">
      <c r="A1021" t="s">
        <v>137</v>
      </c>
      <c r="B1021">
        <v>3</v>
      </c>
      <c r="C1021">
        <v>9.369958945830865</v>
      </c>
      <c r="D1021">
        <v>7.570722592317047</v>
      </c>
      <c r="E1021">
        <v>42.83382504370743</v>
      </c>
      <c r="F1021">
        <v>1776.155994376302</v>
      </c>
      <c r="G1021">
        <v>0.802814285758872</v>
      </c>
    </row>
    <row r="1022" spans="1:7">
      <c r="A1022" t="s">
        <v>137</v>
      </c>
      <c r="B1022">
        <v>3</v>
      </c>
      <c r="C1022">
        <v>9.382431967507143</v>
      </c>
      <c r="D1022">
        <v>7.580736508524843</v>
      </c>
      <c r="E1022">
        <v>42.92831728013232</v>
      </c>
      <c r="F1022">
        <v>1778.505344399734</v>
      </c>
      <c r="G1022">
        <v>0.8028778205122957</v>
      </c>
    </row>
    <row r="1023" spans="1:7">
      <c r="A1023" t="s">
        <v>137</v>
      </c>
      <c r="B1023">
        <v>3</v>
      </c>
      <c r="C1023">
        <v>9.394904013677689</v>
      </c>
      <c r="D1023">
        <v>7.590750424732638</v>
      </c>
      <c r="E1023">
        <v>43.02292702047283</v>
      </c>
      <c r="F1023">
        <v>1780.854694423167</v>
      </c>
      <c r="G1023">
        <v>0.8029398754484273</v>
      </c>
    </row>
    <row r="1024" spans="1:7">
      <c r="A1024" t="s">
        <v>137</v>
      </c>
      <c r="B1024">
        <v>3</v>
      </c>
      <c r="C1024">
        <v>9.407375107478398</v>
      </c>
      <c r="D1024">
        <v>7.600764340940433</v>
      </c>
      <c r="E1024">
        <v>43.11765442092634</v>
      </c>
      <c r="F1024">
        <v>1783.204044446598</v>
      </c>
      <c r="G1024">
        <v>0.803000450567267</v>
      </c>
    </row>
    <row r="1025" spans="1:7">
      <c r="A1025" t="s">
        <v>137</v>
      </c>
      <c r="B1025">
        <v>3</v>
      </c>
      <c r="C1025">
        <v>9.419845272034609</v>
      </c>
      <c r="D1025">
        <v>7.610778257148229</v>
      </c>
      <c r="E1025">
        <v>43.21249963830493</v>
      </c>
      <c r="F1025">
        <v>1785.553394470031</v>
      </c>
      <c r="G1025">
        <v>0.803059545868815</v>
      </c>
    </row>
    <row r="1026" spans="1:7">
      <c r="A1026" t="s">
        <v>137</v>
      </c>
      <c r="B1026">
        <v>3</v>
      </c>
      <c r="C1026">
        <v>9.432314530461349</v>
      </c>
      <c r="D1026">
        <v>7.620792173356024</v>
      </c>
      <c r="E1026">
        <v>43.30746283003691</v>
      </c>
      <c r="F1026">
        <v>1787.902744493463</v>
      </c>
      <c r="G1026">
        <v>0.8031171613530707</v>
      </c>
    </row>
    <row r="1027" spans="1:7">
      <c r="A1027" t="s">
        <v>137</v>
      </c>
      <c r="B1027">
        <v>3</v>
      </c>
      <c r="C1027">
        <v>9.444782905863601</v>
      </c>
      <c r="D1027">
        <v>7.630806089563819</v>
      </c>
      <c r="E1027">
        <v>43.4025441541684</v>
      </c>
      <c r="F1027">
        <v>1790.252094516894</v>
      </c>
      <c r="G1027">
        <v>0.803173297020034</v>
      </c>
    </row>
    <row r="1028" spans="1:7">
      <c r="A1028" t="s">
        <v>137</v>
      </c>
      <c r="B1028">
        <v>3</v>
      </c>
      <c r="C1028">
        <v>9.457250421336557</v>
      </c>
      <c r="D1028">
        <v>7.640820005771615</v>
      </c>
      <c r="E1028">
        <v>43.49774376936488</v>
      </c>
      <c r="F1028">
        <v>1792.601444540327</v>
      </c>
      <c r="G1028">
        <v>0.8032279528697057</v>
      </c>
    </row>
    <row r="1029" spans="1:7">
      <c r="A1029" t="s">
        <v>137</v>
      </c>
      <c r="B1029">
        <v>3</v>
      </c>
      <c r="C1029">
        <v>9.469717099965878</v>
      </c>
      <c r="D1029">
        <v>7.650833921979411</v>
      </c>
      <c r="E1029">
        <v>43.59306183491279</v>
      </c>
      <c r="F1029">
        <v>1794.950794563759</v>
      </c>
      <c r="G1029">
        <v>0.8032811289020856</v>
      </c>
    </row>
    <row r="1030" spans="1:7">
      <c r="A1030" t="s">
        <v>137</v>
      </c>
      <c r="B1030">
        <v>3</v>
      </c>
      <c r="C1030">
        <v>9.482182964827953</v>
      </c>
      <c r="D1030">
        <v>7.660847838187205</v>
      </c>
      <c r="E1030">
        <v>43.68849851072108</v>
      </c>
      <c r="F1030">
        <v>1797.300144587191</v>
      </c>
      <c r="G1030">
        <v>0.8033328251171733</v>
      </c>
    </row>
    <row r="1031" spans="1:7">
      <c r="A1031" t="s">
        <v>137</v>
      </c>
      <c r="B1031">
        <v>3</v>
      </c>
      <c r="C1031">
        <v>9.494648038990153</v>
      </c>
      <c r="D1031">
        <v>7.670861754395001</v>
      </c>
      <c r="E1031">
        <v>43.78405395732288</v>
      </c>
      <c r="F1031">
        <v>1799.649494610623</v>
      </c>
      <c r="G1031">
        <v>0.8033830415149688</v>
      </c>
    </row>
    <row r="1032" spans="1:7">
      <c r="A1032" t="s">
        <v>137</v>
      </c>
      <c r="B1032">
        <v>3</v>
      </c>
      <c r="C1032">
        <v>9.507112345511095</v>
      </c>
      <c r="D1032">
        <v>7.680875670602797</v>
      </c>
      <c r="E1032">
        <v>43.87972833587705</v>
      </c>
      <c r="F1032">
        <v>1801.998844634055</v>
      </c>
      <c r="G1032">
        <v>0.8034317780954726</v>
      </c>
    </row>
    <row r="1033" spans="1:7">
      <c r="A1033" t="s">
        <v>137</v>
      </c>
      <c r="B1033">
        <v>3</v>
      </c>
      <c r="C1033">
        <v>9.51957590744089</v>
      </c>
      <c r="D1033">
        <v>7.690889586810592</v>
      </c>
      <c r="E1033">
        <v>43.97552180816985</v>
      </c>
      <c r="F1033">
        <v>1804.348194657487</v>
      </c>
      <c r="G1033">
        <v>0.8034790348586844</v>
      </c>
    </row>
    <row r="1034" spans="1:7">
      <c r="A1034" t="s">
        <v>137</v>
      </c>
      <c r="B1034">
        <v>3</v>
      </c>
      <c r="C1034">
        <v>9.532038747821408</v>
      </c>
      <c r="D1034">
        <v>7.700903503018387</v>
      </c>
      <c r="E1034">
        <v>44.07143453661656</v>
      </c>
      <c r="F1034">
        <v>1806.697544680919</v>
      </c>
      <c r="G1034">
        <v>0.803524811804604</v>
      </c>
    </row>
    <row r="1035" spans="1:7">
      <c r="A1035" t="s">
        <v>137</v>
      </c>
      <c r="B1035">
        <v>3</v>
      </c>
      <c r="C1035">
        <v>9.544500889686528</v>
      </c>
      <c r="D1035">
        <v>7.710917419226183</v>
      </c>
      <c r="E1035">
        <v>44.16746668426309</v>
      </c>
      <c r="F1035">
        <v>1809.046894704351</v>
      </c>
      <c r="G1035">
        <v>0.803569108933232</v>
      </c>
    </row>
    <row r="1036" spans="1:7">
      <c r="A1036" t="s">
        <v>137</v>
      </c>
      <c r="B1036">
        <v>3</v>
      </c>
      <c r="C1036">
        <v>9.556962356062398</v>
      </c>
      <c r="D1036">
        <v>7.720931335433978</v>
      </c>
      <c r="E1036">
        <v>44.26361841478769</v>
      </c>
      <c r="F1036">
        <v>1811.396244727783</v>
      </c>
      <c r="G1036">
        <v>0.8036119262445679</v>
      </c>
    </row>
    <row r="1037" spans="1:7">
      <c r="A1037" t="s">
        <v>137</v>
      </c>
      <c r="B1037">
        <v>3</v>
      </c>
      <c r="C1037">
        <v>9.569423169967694</v>
      </c>
      <c r="D1037">
        <v>7.730945251641773</v>
      </c>
      <c r="E1037">
        <v>44.35988989250262</v>
      </c>
      <c r="F1037">
        <v>1813.745594751215</v>
      </c>
      <c r="G1037">
        <v>0.8036532637386116</v>
      </c>
    </row>
    <row r="1038" spans="1:7">
      <c r="A1038" t="s">
        <v>137</v>
      </c>
      <c r="B1038">
        <v>3</v>
      </c>
      <c r="C1038">
        <v>9.581883354413867</v>
      </c>
      <c r="D1038">
        <v>7.740959167849569</v>
      </c>
      <c r="E1038">
        <v>44.45628128235579</v>
      </c>
      <c r="F1038">
        <v>1816.094944774648</v>
      </c>
      <c r="G1038">
        <v>0.8036931214153634</v>
      </c>
    </row>
    <row r="1039" spans="1:7">
      <c r="A1039" t="s">
        <v>137</v>
      </c>
      <c r="B1039">
        <v>3</v>
      </c>
      <c r="C1039">
        <v>9.594342932405404</v>
      </c>
      <c r="D1039">
        <v>7.750973084057364</v>
      </c>
      <c r="E1039">
        <v>44.55279274993246</v>
      </c>
      <c r="F1039">
        <v>1818.444294798079</v>
      </c>
      <c r="G1039">
        <v>0.8037314992748235</v>
      </c>
    </row>
    <row r="1040" spans="1:7">
      <c r="A1040" t="s">
        <v>137</v>
      </c>
      <c r="B1040">
        <v>3</v>
      </c>
      <c r="C1040">
        <v>9.606801926940088</v>
      </c>
      <c r="D1040">
        <v>7.76098700026516</v>
      </c>
      <c r="E1040">
        <v>44.64942446145698</v>
      </c>
      <c r="F1040">
        <v>1820.793644821512</v>
      </c>
      <c r="G1040">
        <v>0.8037683973169912</v>
      </c>
    </row>
    <row r="1041" spans="1:7">
      <c r="A1041" t="s">
        <v>137</v>
      </c>
      <c r="B1041">
        <v>3</v>
      </c>
      <c r="C1041">
        <v>9.619260361009246</v>
      </c>
      <c r="D1041">
        <v>7.771000916472955</v>
      </c>
      <c r="E1041">
        <v>44.74617658379447</v>
      </c>
      <c r="F1041">
        <v>1823.142994844944</v>
      </c>
      <c r="G1041">
        <v>0.803803815541867</v>
      </c>
    </row>
    <row r="1042" spans="1:7">
      <c r="A1042" t="s">
        <v>137</v>
      </c>
      <c r="B1042">
        <v>3</v>
      </c>
      <c r="C1042">
        <v>9.631718257598006</v>
      </c>
      <c r="D1042">
        <v>7.78101483268075</v>
      </c>
      <c r="E1042">
        <v>44.84304928445253</v>
      </c>
      <c r="F1042">
        <v>1825.492344868376</v>
      </c>
      <c r="G1042">
        <v>0.8038377539494509</v>
      </c>
    </row>
    <row r="1043" spans="1:7">
      <c r="A1043" t="s">
        <v>137</v>
      </c>
      <c r="B1043">
        <v>3</v>
      </c>
      <c r="C1043">
        <v>9.644175639685557</v>
      </c>
      <c r="D1043">
        <v>7.791028748888546</v>
      </c>
      <c r="E1043">
        <v>44.94004273158304</v>
      </c>
      <c r="F1043">
        <v>1827.841694891808</v>
      </c>
      <c r="G1043">
        <v>0.8038702125397429</v>
      </c>
    </row>
    <row r="1044" spans="1:7">
      <c r="A1044" t="s">
        <v>137</v>
      </c>
      <c r="B1044">
        <v>3</v>
      </c>
      <c r="C1044">
        <v>9.656632530245394</v>
      </c>
      <c r="D1044">
        <v>7.801042665096341</v>
      </c>
      <c r="E1044">
        <v>45.03715709398386</v>
      </c>
      <c r="F1044">
        <v>1830.19104491524</v>
      </c>
      <c r="G1044">
        <v>0.803901191312743</v>
      </c>
    </row>
    <row r="1045" spans="1:7">
      <c r="A1045" t="s">
        <v>137</v>
      </c>
      <c r="B1045">
        <v>3</v>
      </c>
      <c r="C1045">
        <v>9.669088952245582</v>
      </c>
      <c r="D1045">
        <v>7.811056581304136</v>
      </c>
      <c r="E1045">
        <v>45.13439254110057</v>
      </c>
      <c r="F1045">
        <v>1832.540394938672</v>
      </c>
      <c r="G1045">
        <v>0.8039306902684502</v>
      </c>
    </row>
    <row r="1046" spans="1:7">
      <c r="A1046" t="s">
        <v>137</v>
      </c>
      <c r="B1046">
        <v>3</v>
      </c>
      <c r="C1046">
        <v>9.681544928649007</v>
      </c>
      <c r="D1046">
        <v>7.821070497511932</v>
      </c>
      <c r="E1046">
        <v>45.2317492430283</v>
      </c>
      <c r="F1046">
        <v>1834.889744962104</v>
      </c>
      <c r="G1046">
        <v>0.8039587094068663</v>
      </c>
    </row>
    <row r="1047" spans="1:7">
      <c r="A1047" t="s">
        <v>137</v>
      </c>
      <c r="B1047">
        <v>3</v>
      </c>
      <c r="C1047">
        <v>9.694000482413628</v>
      </c>
      <c r="D1047">
        <v>7.831084413719728</v>
      </c>
      <c r="E1047">
        <v>45.32922737051349</v>
      </c>
      <c r="F1047">
        <v>1837.239094985536</v>
      </c>
      <c r="G1047">
        <v>0.8039852487279904</v>
      </c>
    </row>
    <row r="1048" spans="1:7">
      <c r="A1048" t="s">
        <v>137</v>
      </c>
      <c r="B1048">
        <v>3</v>
      </c>
      <c r="C1048">
        <v>9.706455636492734</v>
      </c>
      <c r="D1048">
        <v>7.841098329927522</v>
      </c>
      <c r="E1048">
        <v>45.42682709495563</v>
      </c>
      <c r="F1048">
        <v>1839.588445008968</v>
      </c>
      <c r="G1048">
        <v>0.8040103082318224</v>
      </c>
    </row>
    <row r="1049" spans="1:7">
      <c r="A1049" t="s">
        <v>137</v>
      </c>
      <c r="B1049">
        <v>3</v>
      </c>
      <c r="C1049">
        <v>9.718910413835202</v>
      </c>
      <c r="D1049">
        <v>7.851112246135318</v>
      </c>
      <c r="E1049">
        <v>45.5245485884092</v>
      </c>
      <c r="F1049">
        <v>1841.9377950324</v>
      </c>
      <c r="G1049">
        <v>0.8040338879183623</v>
      </c>
    </row>
    <row r="1050" spans="1:7">
      <c r="A1050" t="s">
        <v>137</v>
      </c>
      <c r="B1050">
        <v>3</v>
      </c>
      <c r="C1050">
        <v>9.73136483738574</v>
      </c>
      <c r="D1050">
        <v>7.861126162343114</v>
      </c>
      <c r="E1050">
        <v>45.62239202358531</v>
      </c>
      <c r="F1050">
        <v>1844.287145055833</v>
      </c>
      <c r="G1050">
        <v>0.80405598778761</v>
      </c>
    </row>
    <row r="1051" spans="1:7">
      <c r="A1051" t="s">
        <v>137</v>
      </c>
      <c r="B1051">
        <v>3</v>
      </c>
      <c r="C1051">
        <v>9.743818930085149</v>
      </c>
      <c r="D1051">
        <v>7.871140078550908</v>
      </c>
      <c r="E1051">
        <v>45.72035757385369</v>
      </c>
      <c r="F1051">
        <v>1846.636495079264</v>
      </c>
      <c r="G1051">
        <v>0.8040766078395661</v>
      </c>
    </row>
    <row r="1052" spans="1:7">
      <c r="A1052" t="s">
        <v>137</v>
      </c>
      <c r="B1052">
        <v>3</v>
      </c>
      <c r="C1052">
        <v>9.75627271487058</v>
      </c>
      <c r="D1052">
        <v>7.881153994758704</v>
      </c>
      <c r="E1052">
        <v>45.81844541324445</v>
      </c>
      <c r="F1052">
        <v>1848.985845102697</v>
      </c>
      <c r="G1052">
        <v>0.8040957480742299</v>
      </c>
    </row>
    <row r="1053" spans="1:7">
      <c r="A1053" t="s">
        <v>137</v>
      </c>
      <c r="B1053">
        <v>3</v>
      </c>
      <c r="C1053">
        <v>9.768726214675775</v>
      </c>
      <c r="D1053">
        <v>7.8911679109665</v>
      </c>
      <c r="E1053">
        <v>45.91665571644992</v>
      </c>
      <c r="F1053">
        <v>1851.335195126129</v>
      </c>
      <c r="G1053">
        <v>0.8041134084916022</v>
      </c>
    </row>
    <row r="1054" spans="1:7">
      <c r="A1054" t="s">
        <v>137</v>
      </c>
      <c r="B1054">
        <v>3</v>
      </c>
      <c r="C1054">
        <v>9.781179452431333</v>
      </c>
      <c r="D1054">
        <v>7.901181827174295</v>
      </c>
      <c r="E1054">
        <v>46.01498865882659</v>
      </c>
      <c r="F1054">
        <v>1853.684545149561</v>
      </c>
      <c r="G1054">
        <v>0.804129589091682</v>
      </c>
    </row>
    <row r="1055" spans="1:7">
      <c r="A1055" t="s">
        <v>137</v>
      </c>
      <c r="B1055">
        <v>3</v>
      </c>
      <c r="C1055">
        <v>9.79363245106496</v>
      </c>
      <c r="D1055">
        <v>7.91119574338209</v>
      </c>
      <c r="E1055">
        <v>46.11344441639692</v>
      </c>
      <c r="F1055">
        <v>1856.033895172993</v>
      </c>
      <c r="G1055">
        <v>0.8041442898744697</v>
      </c>
    </row>
    <row r="1056" spans="1:7">
      <c r="A1056" t="s">
        <v>137</v>
      </c>
      <c r="B1056">
        <v>3</v>
      </c>
      <c r="C1056">
        <v>9.806085233501719</v>
      </c>
      <c r="D1056">
        <v>7.921209659589886</v>
      </c>
      <c r="E1056">
        <v>46.21202316585126</v>
      </c>
      <c r="F1056">
        <v>1858.383245196425</v>
      </c>
      <c r="G1056">
        <v>0.8041575108399659</v>
      </c>
    </row>
    <row r="1057" spans="1:7">
      <c r="A1057" t="s">
        <v>137</v>
      </c>
      <c r="B1057">
        <v>3</v>
      </c>
      <c r="C1057">
        <v>9.818537822664284</v>
      </c>
      <c r="D1057">
        <v>7.931223575797681</v>
      </c>
      <c r="E1057">
        <v>46.31072508454974</v>
      </c>
      <c r="F1057">
        <v>1860.732595219857</v>
      </c>
      <c r="G1057">
        <v>0.8041692519881698</v>
      </c>
    </row>
    <row r="1058" spans="1:7">
      <c r="A1058" t="s">
        <v>137</v>
      </c>
      <c r="B1058">
        <v>3</v>
      </c>
      <c r="C1058">
        <v>9.830990241473199</v>
      </c>
      <c r="D1058">
        <v>7.941237492005476</v>
      </c>
      <c r="E1058">
        <v>46.40955035052419</v>
      </c>
      <c r="F1058">
        <v>1863.081945243289</v>
      </c>
      <c r="G1058">
        <v>0.8041795133190822</v>
      </c>
    </row>
    <row r="1059" spans="1:7">
      <c r="A1059" t="s">
        <v>137</v>
      </c>
      <c r="B1059">
        <v>3</v>
      </c>
      <c r="C1059">
        <v>9.843442512847123</v>
      </c>
      <c r="D1059">
        <v>7.951251408213272</v>
      </c>
      <c r="E1059">
        <v>46.50849914248007</v>
      </c>
      <c r="F1059">
        <v>1865.431295266721</v>
      </c>
      <c r="G1059">
        <v>0.8041882948327019</v>
      </c>
    </row>
    <row r="1060" spans="1:7">
      <c r="A1060" t="s">
        <v>137</v>
      </c>
      <c r="B1060">
        <v>3</v>
      </c>
      <c r="C1060">
        <v>9.855894659703086</v>
      </c>
      <c r="D1060">
        <v>7.961265324421067</v>
      </c>
      <c r="E1060">
        <v>46.60757163979839</v>
      </c>
      <c r="F1060">
        <v>1867.780645290153</v>
      </c>
      <c r="G1060">
        <v>0.8041955965290301</v>
      </c>
    </row>
    <row r="1061" spans="1:7">
      <c r="A1061" t="s">
        <v>137</v>
      </c>
      <c r="B1061">
        <v>3</v>
      </c>
      <c r="C1061">
        <v>9.86834670495675</v>
      </c>
      <c r="D1061">
        <v>7.971279240628863</v>
      </c>
      <c r="E1061">
        <v>46.70676802253772</v>
      </c>
      <c r="F1061">
        <v>1870.129995313585</v>
      </c>
      <c r="G1061">
        <v>0.8042014184080658</v>
      </c>
    </row>
    <row r="1062" spans="1:7">
      <c r="A1062" t="s">
        <v>137</v>
      </c>
      <c r="B1062">
        <v>3</v>
      </c>
      <c r="C1062">
        <v>9.880798671522648</v>
      </c>
      <c r="D1062">
        <v>7.981293156836658</v>
      </c>
      <c r="E1062">
        <v>46.80608847143606</v>
      </c>
      <c r="F1062">
        <v>1872.479345337017</v>
      </c>
      <c r="G1062">
        <v>0.8042057604698104</v>
      </c>
    </row>
    <row r="1063" spans="1:7">
      <c r="A1063" t="s">
        <v>137</v>
      </c>
      <c r="B1063">
        <v>3</v>
      </c>
      <c r="C1063">
        <v>9.893250582314446</v>
      </c>
      <c r="D1063">
        <v>7.991307073044453</v>
      </c>
      <c r="E1063">
        <v>46.90553316791288</v>
      </c>
      <c r="F1063">
        <v>1874.828695360449</v>
      </c>
      <c r="G1063">
        <v>0.8042086227142624</v>
      </c>
    </row>
    <row r="1064" spans="1:7">
      <c r="A1064" t="s">
        <v>137</v>
      </c>
      <c r="B1064">
        <v>3</v>
      </c>
      <c r="C1064">
        <v>9.905702460245198</v>
      </c>
      <c r="D1064">
        <v>8.00132098925225</v>
      </c>
      <c r="E1064">
        <v>47.00510229407111</v>
      </c>
      <c r="F1064">
        <v>1877.178045383882</v>
      </c>
      <c r="G1064">
        <v>0.8042100051414224</v>
      </c>
    </row>
    <row r="1065" spans="1:7">
      <c r="A1065" t="s">
        <v>137</v>
      </c>
      <c r="B1065">
        <v>3</v>
      </c>
      <c r="C1065">
        <v>9.91815432822759</v>
      </c>
      <c r="D1065">
        <v>8.011334905460044</v>
      </c>
      <c r="E1065">
        <v>47.1047960326991</v>
      </c>
      <c r="F1065">
        <v>1879.527395407313</v>
      </c>
      <c r="G1065">
        <v>0.8042099077512908</v>
      </c>
    </row>
    <row r="1066" spans="1:7">
      <c r="A1066" t="s">
        <v>137</v>
      </c>
      <c r="B1066">
        <v>3</v>
      </c>
      <c r="C1066">
        <v>9.930606209174201</v>
      </c>
      <c r="D1066">
        <v>8.021348821667839</v>
      </c>
      <c r="E1066">
        <v>47.20461456727266</v>
      </c>
      <c r="F1066">
        <v>1881.876745430746</v>
      </c>
      <c r="G1066">
        <v>0.8042083305438669</v>
      </c>
    </row>
    <row r="1067" spans="1:7">
      <c r="A1067" t="s">
        <v>137</v>
      </c>
      <c r="B1067">
        <v>3</v>
      </c>
      <c r="C1067">
        <v>9.943058125997755</v>
      </c>
      <c r="D1067">
        <v>8.031362737875636</v>
      </c>
      <c r="E1067">
        <v>47.30455808195713</v>
      </c>
      <c r="F1067">
        <v>1884.226095454178</v>
      </c>
      <c r="G1067">
        <v>0.8042052735191506</v>
      </c>
    </row>
    <row r="1068" spans="1:7">
      <c r="A1068" t="s">
        <v>137</v>
      </c>
      <c r="B1068">
        <v>3</v>
      </c>
      <c r="C1068">
        <v>9.955510101611365</v>
      </c>
      <c r="D1068">
        <v>8.041376654083431</v>
      </c>
      <c r="E1068">
        <v>47.40462676160929</v>
      </c>
      <c r="F1068">
        <v>1886.575445477609</v>
      </c>
      <c r="G1068">
        <v>0.8042007366771428</v>
      </c>
    </row>
    <row r="1069" spans="1:7">
      <c r="A1069" t="s">
        <v>137</v>
      </c>
      <c r="B1069">
        <v>3</v>
      </c>
      <c r="C1069">
        <v>9.967962158928801</v>
      </c>
      <c r="D1069">
        <v>8.051390570291225</v>
      </c>
      <c r="E1069">
        <v>47.50482079177956</v>
      </c>
      <c r="F1069">
        <v>1888.924795501042</v>
      </c>
      <c r="G1069">
        <v>0.8041947200178433</v>
      </c>
    </row>
    <row r="1070" spans="1:7">
      <c r="A1070" t="s">
        <v>137</v>
      </c>
      <c r="B1070">
        <v>3</v>
      </c>
      <c r="C1070">
        <v>9.980414320864734</v>
      </c>
      <c r="D1070">
        <v>8.061404486499022</v>
      </c>
      <c r="E1070">
        <v>47.60514035871397</v>
      </c>
      <c r="F1070">
        <v>1891.274145524474</v>
      </c>
      <c r="G1070">
        <v>0.8041872235412511</v>
      </c>
    </row>
    <row r="1071" spans="1:7">
      <c r="A1071" t="s">
        <v>137</v>
      </c>
      <c r="B1071">
        <v>3</v>
      </c>
      <c r="C1071">
        <v>9.992866610334982</v>
      </c>
      <c r="D1071">
        <v>8.071418402706817</v>
      </c>
      <c r="E1071">
        <v>47.70558564935627</v>
      </c>
      <c r="F1071">
        <v>1893.623495547906</v>
      </c>
      <c r="G1071">
        <v>0.8041782472473674</v>
      </c>
    </row>
    <row r="1072" spans="1:7">
      <c r="A1072" t="s">
        <v>137</v>
      </c>
      <c r="B1072">
        <v>3</v>
      </c>
      <c r="C1072">
        <v>10.00531905025678</v>
      </c>
      <c r="D1072">
        <v>8.081432318914612</v>
      </c>
      <c r="E1072">
        <v>47.80615685135</v>
      </c>
      <c r="F1072">
        <v>1895.972845571338</v>
      </c>
      <c r="G1072">
        <v>0.8041677911361915</v>
      </c>
    </row>
    <row r="1073" spans="1:7">
      <c r="A1073" t="s">
        <v>137</v>
      </c>
      <c r="B1073">
        <v>3</v>
      </c>
      <c r="C1073">
        <v>10.01777166354903</v>
      </c>
      <c r="D1073">
        <v>8.091446235122408</v>
      </c>
      <c r="E1073">
        <v>47.90685415304066</v>
      </c>
      <c r="F1073">
        <v>1898.32219559477</v>
      </c>
      <c r="G1073">
        <v>0.8041558552077236</v>
      </c>
    </row>
    <row r="1074" spans="1:7">
      <c r="A1074" t="s">
        <v>137</v>
      </c>
      <c r="B1074">
        <v>3</v>
      </c>
      <c r="C1074">
        <v>10.03022447313253</v>
      </c>
      <c r="D1074">
        <v>8.101460151330203</v>
      </c>
      <c r="E1074">
        <v>48.0076777434777</v>
      </c>
      <c r="F1074">
        <v>1900.671545618202</v>
      </c>
      <c r="G1074">
        <v>0.8041424394619638</v>
      </c>
    </row>
    <row r="1075" spans="1:7">
      <c r="A1075" t="s">
        <v>137</v>
      </c>
      <c r="B1075">
        <v>3</v>
      </c>
      <c r="C1075">
        <v>10.04267750193025</v>
      </c>
      <c r="D1075">
        <v>8.111474067537998</v>
      </c>
      <c r="E1075">
        <v>48.10862781241678</v>
      </c>
      <c r="F1075">
        <v>1903.020895641634</v>
      </c>
      <c r="G1075">
        <v>0.8041275438989118</v>
      </c>
    </row>
    <row r="1076" spans="1:7">
      <c r="A1076" t="s">
        <v>137</v>
      </c>
      <c r="B1076">
        <v>3</v>
      </c>
      <c r="C1076">
        <v>10.0551307728676</v>
      </c>
      <c r="D1076">
        <v>8.121487983745794</v>
      </c>
      <c r="E1076">
        <v>48.20970455032185</v>
      </c>
      <c r="F1076">
        <v>1905.370245665066</v>
      </c>
      <c r="G1076">
        <v>0.8041111685185683</v>
      </c>
    </row>
    <row r="1077" spans="1:7">
      <c r="A1077" t="s">
        <v>137</v>
      </c>
      <c r="B1077">
        <v>3</v>
      </c>
      <c r="C1077">
        <v>10.06758430887264</v>
      </c>
      <c r="D1077">
        <v>8.131501899953589</v>
      </c>
      <c r="E1077">
        <v>48.31090814836725</v>
      </c>
      <c r="F1077">
        <v>1907.719595688499</v>
      </c>
      <c r="G1077">
        <v>0.8040933133209325</v>
      </c>
    </row>
    <row r="1078" spans="1:7">
      <c r="A1078" t="s">
        <v>137</v>
      </c>
      <c r="B1078">
        <v>3</v>
      </c>
      <c r="C1078">
        <v>10.08003813287638</v>
      </c>
      <c r="D1078">
        <v>8.141515816161384</v>
      </c>
      <c r="E1078">
        <v>48.41223879844004</v>
      </c>
      <c r="F1078">
        <v>1910.06894571193</v>
      </c>
      <c r="G1078">
        <v>0.8040739783060048</v>
      </c>
    </row>
    <row r="1079" spans="1:7">
      <c r="A1079" t="s">
        <v>137</v>
      </c>
      <c r="B1079">
        <v>3</v>
      </c>
      <c r="C1079">
        <v>10.09249226781299</v>
      </c>
      <c r="D1079">
        <v>8.15152973236918</v>
      </c>
      <c r="E1079">
        <v>48.51369669314202</v>
      </c>
      <c r="F1079">
        <v>1912.418295735363</v>
      </c>
      <c r="G1079">
        <v>0.8040531634737852</v>
      </c>
    </row>
    <row r="1080" spans="1:7">
      <c r="A1080" t="s">
        <v>137</v>
      </c>
      <c r="B1080">
        <v>3</v>
      </c>
      <c r="C1080">
        <v>10.10494673662008</v>
      </c>
      <c r="D1080">
        <v>8.161543648576975</v>
      </c>
      <c r="E1080">
        <v>48.61528202579197</v>
      </c>
      <c r="F1080">
        <v>1914.767645758795</v>
      </c>
      <c r="G1080">
        <v>0.8040308688242732</v>
      </c>
    </row>
    <row r="1081" spans="1:7">
      <c r="A1081" t="s">
        <v>137</v>
      </c>
      <c r="B1081">
        <v>3</v>
      </c>
      <c r="C1081">
        <v>10.11740156223896</v>
      </c>
      <c r="D1081">
        <v>8.17155756478477</v>
      </c>
      <c r="E1081">
        <v>48.71699499042793</v>
      </c>
      <c r="F1081">
        <v>1917.116995782226</v>
      </c>
      <c r="G1081">
        <v>0.8040070943574693</v>
      </c>
    </row>
    <row r="1082" spans="1:7">
      <c r="A1082" t="s">
        <v>137</v>
      </c>
      <c r="B1082">
        <v>3</v>
      </c>
      <c r="C1082">
        <v>10.12985676761487</v>
      </c>
      <c r="D1082">
        <v>8.181571480992567</v>
      </c>
      <c r="E1082">
        <v>48.81883578180936</v>
      </c>
      <c r="F1082">
        <v>1919.466345805659</v>
      </c>
      <c r="G1082">
        <v>0.803981840073374</v>
      </c>
    </row>
    <row r="1083" spans="1:7">
      <c r="A1083" t="s">
        <v>137</v>
      </c>
      <c r="B1083">
        <v>3</v>
      </c>
      <c r="C1083">
        <v>10.14231237569726</v>
      </c>
      <c r="D1083">
        <v>8.191585397200361</v>
      </c>
      <c r="E1083">
        <v>48.92080459541933</v>
      </c>
      <c r="F1083">
        <v>1921.815695829091</v>
      </c>
      <c r="G1083">
        <v>0.8039551059719862</v>
      </c>
    </row>
    <row r="1084" spans="1:7">
      <c r="A1084" t="s">
        <v>137</v>
      </c>
      <c r="B1084">
        <v>3</v>
      </c>
      <c r="C1084">
        <v>10.15476840944</v>
      </c>
      <c r="D1084">
        <v>8.201599313408156</v>
      </c>
      <c r="E1084">
        <v>49.02290162746689</v>
      </c>
      <c r="F1084">
        <v>1924.165045852523</v>
      </c>
      <c r="G1084">
        <v>0.8039268920533066</v>
      </c>
    </row>
    <row r="1085" spans="1:7">
      <c r="A1085" t="s">
        <v>137</v>
      </c>
      <c r="B1085">
        <v>3</v>
      </c>
      <c r="C1085">
        <v>10.16722489180171</v>
      </c>
      <c r="D1085">
        <v>8.211613229615953</v>
      </c>
      <c r="E1085">
        <v>49.12512707488928</v>
      </c>
      <c r="F1085">
        <v>1926.514395875955</v>
      </c>
      <c r="G1085">
        <v>0.803897198317335</v>
      </c>
    </row>
    <row r="1086" spans="1:7">
      <c r="A1086" t="s">
        <v>137</v>
      </c>
      <c r="B1086">
        <v>3</v>
      </c>
      <c r="C1086">
        <v>10.17968184574591</v>
      </c>
      <c r="D1086">
        <v>8.221627145823748</v>
      </c>
      <c r="E1086">
        <v>49.22748113535411</v>
      </c>
      <c r="F1086">
        <v>1928.863745899387</v>
      </c>
      <c r="G1086">
        <v>0.8038660247640709</v>
      </c>
    </row>
    <row r="1087" spans="1:7">
      <c r="A1087" t="s">
        <v>137</v>
      </c>
      <c r="B1087">
        <v>3</v>
      </c>
      <c r="C1087">
        <v>10.1921392942414</v>
      </c>
      <c r="D1087">
        <v>8.231641062031542</v>
      </c>
      <c r="E1087">
        <v>49.32996400726182</v>
      </c>
      <c r="F1087">
        <v>1931.213095922819</v>
      </c>
      <c r="G1087">
        <v>0.8038333713935153</v>
      </c>
    </row>
    <row r="1088" spans="1:7">
      <c r="A1088" t="s">
        <v>137</v>
      </c>
      <c r="B1088">
        <v>3</v>
      </c>
      <c r="C1088">
        <v>10.20459726026239</v>
      </c>
      <c r="D1088">
        <v>8.241654978239339</v>
      </c>
      <c r="E1088">
        <v>49.43257588974789</v>
      </c>
      <c r="F1088">
        <v>1933.562445946251</v>
      </c>
      <c r="G1088">
        <v>0.8037992382056681</v>
      </c>
    </row>
    <row r="1089" spans="1:7">
      <c r="A1089" t="s">
        <v>137</v>
      </c>
      <c r="B1089">
        <v>3</v>
      </c>
      <c r="C1089">
        <v>10.21705576678883</v>
      </c>
      <c r="D1089">
        <v>8.251668894447134</v>
      </c>
      <c r="E1089">
        <v>49.53531698268514</v>
      </c>
      <c r="F1089">
        <v>1935.911795969683</v>
      </c>
      <c r="G1089">
        <v>0.8037636252005282</v>
      </c>
    </row>
    <row r="1090" spans="1:7">
      <c r="A1090" t="s">
        <v>137</v>
      </c>
      <c r="B1090">
        <v>3</v>
      </c>
      <c r="C1090">
        <v>10.22951483680667</v>
      </c>
      <c r="D1090">
        <v>8.261682810654928</v>
      </c>
      <c r="E1090">
        <v>49.63818748668611</v>
      </c>
      <c r="F1090">
        <v>1938.261145993115</v>
      </c>
      <c r="G1090">
        <v>0.8037265323780965</v>
      </c>
    </row>
    <row r="1091" spans="1:7">
      <c r="A1091" t="s">
        <v>137</v>
      </c>
      <c r="B1091">
        <v>3</v>
      </c>
      <c r="C1091">
        <v>10.24197449330806</v>
      </c>
      <c r="D1091">
        <v>8.271696726862725</v>
      </c>
      <c r="E1091">
        <v>49.74118760310542</v>
      </c>
      <c r="F1091">
        <v>1940.610496016547</v>
      </c>
      <c r="G1091">
        <v>0.8036879597383728</v>
      </c>
    </row>
    <row r="1092" spans="1:7">
      <c r="A1092" t="s">
        <v>137</v>
      </c>
      <c r="B1092">
        <v>3</v>
      </c>
      <c r="C1092">
        <v>10.25443475929164</v>
      </c>
      <c r="D1092">
        <v>8.28171064307052</v>
      </c>
      <c r="E1092">
        <v>49.84431753404206</v>
      </c>
      <c r="F1092">
        <v>1942.95984603998</v>
      </c>
      <c r="G1092">
        <v>0.8036479072813574</v>
      </c>
    </row>
    <row r="1093" spans="1:7">
      <c r="A1093" t="s">
        <v>137</v>
      </c>
      <c r="B1093">
        <v>3</v>
      </c>
      <c r="C1093">
        <v>10.26689565776282</v>
      </c>
      <c r="D1093">
        <v>8.291724559278315</v>
      </c>
      <c r="E1093">
        <v>49.94757748234185</v>
      </c>
      <c r="F1093">
        <v>1945.309196063411</v>
      </c>
      <c r="G1093">
        <v>0.8036063750070497</v>
      </c>
    </row>
    <row r="1094" spans="1:7">
      <c r="A1094" t="s">
        <v>137</v>
      </c>
      <c r="B1094">
        <v>3</v>
      </c>
      <c r="C1094">
        <v>10.27935721173398</v>
      </c>
      <c r="D1094">
        <v>8.301738475486111</v>
      </c>
      <c r="E1094">
        <v>50.05096765159978</v>
      </c>
      <c r="F1094">
        <v>1947.658546086844</v>
      </c>
      <c r="G1094">
        <v>0.8035633629154501</v>
      </c>
    </row>
    <row r="1095" spans="1:7">
      <c r="A1095" t="s">
        <v>137</v>
      </c>
      <c r="B1095">
        <v>3</v>
      </c>
      <c r="C1095">
        <v>10.29181944422477</v>
      </c>
      <c r="D1095">
        <v>8.311752391693906</v>
      </c>
      <c r="E1095">
        <v>50.15448824616239</v>
      </c>
      <c r="F1095">
        <v>1950.007896110276</v>
      </c>
      <c r="G1095">
        <v>0.8035188710065587</v>
      </c>
    </row>
    <row r="1096" spans="1:7">
      <c r="A1096" t="s">
        <v>137</v>
      </c>
      <c r="B1096">
        <v>3</v>
      </c>
      <c r="C1096">
        <v>10.30428237826232</v>
      </c>
      <c r="D1096">
        <v>8.321766307901701</v>
      </c>
      <c r="E1096">
        <v>50.25813947113027</v>
      </c>
      <c r="F1096">
        <v>1952.357246133708</v>
      </c>
      <c r="G1096">
        <v>0.8034728992803748</v>
      </c>
    </row>
    <row r="1097" spans="1:7">
      <c r="A1097" t="s">
        <v>137</v>
      </c>
      <c r="B1097">
        <v>3</v>
      </c>
      <c r="C1097">
        <v>10.31674603688157</v>
      </c>
      <c r="D1097">
        <v>8.331780224109497</v>
      </c>
      <c r="E1097">
        <v>50.36192153236046</v>
      </c>
      <c r="F1097">
        <v>1954.70659615714</v>
      </c>
      <c r="G1097">
        <v>0.8034254477368995</v>
      </c>
    </row>
    <row r="1098" spans="1:7">
      <c r="A1098" t="s">
        <v>137</v>
      </c>
      <c r="B1098">
        <v>3</v>
      </c>
      <c r="C1098">
        <v>10.32921044312545</v>
      </c>
      <c r="D1098">
        <v>8.341794140317292</v>
      </c>
      <c r="E1098">
        <v>50.46583463646882</v>
      </c>
      <c r="F1098">
        <v>1957.055946180572</v>
      </c>
      <c r="G1098">
        <v>0.8033765163761318</v>
      </c>
    </row>
    <row r="1099" spans="1:7">
      <c r="A1099" t="s">
        <v>137</v>
      </c>
      <c r="B1099">
        <v>3</v>
      </c>
      <c r="C1099">
        <v>10.34167562004517</v>
      </c>
      <c r="D1099">
        <v>8.351808056525087</v>
      </c>
      <c r="E1099">
        <v>50.56987899083261</v>
      </c>
      <c r="F1099">
        <v>1959.405296204004</v>
      </c>
      <c r="G1099">
        <v>0.8033261051980721</v>
      </c>
    </row>
    <row r="1100" spans="1:7">
      <c r="A1100" t="s">
        <v>137</v>
      </c>
      <c r="B1100">
        <v>3</v>
      </c>
      <c r="C1100">
        <v>10.3541415907005</v>
      </c>
      <c r="D1100">
        <v>8.361821972732884</v>
      </c>
      <c r="E1100">
        <v>50.67405480359293</v>
      </c>
      <c r="F1100">
        <v>1961.754646227436</v>
      </c>
      <c r="G1100">
        <v>0.803274214202721</v>
      </c>
    </row>
    <row r="1101" spans="1:7">
      <c r="A1101" t="s">
        <v>137</v>
      </c>
      <c r="B1101">
        <v>3</v>
      </c>
      <c r="C1101">
        <v>10.36660837815996</v>
      </c>
      <c r="D1101">
        <v>8.371835888940678</v>
      </c>
      <c r="E1101">
        <v>50.77836228365713</v>
      </c>
      <c r="F1101">
        <v>1964.103996250868</v>
      </c>
      <c r="G1101">
        <v>0.8032208433900772</v>
      </c>
    </row>
    <row r="1102" spans="1:7">
      <c r="A1102" t="s">
        <v>137</v>
      </c>
      <c r="B1102">
        <v>3</v>
      </c>
      <c r="C1102">
        <v>10.37907600550117</v>
      </c>
      <c r="D1102">
        <v>8.381849805148473</v>
      </c>
      <c r="E1102">
        <v>50.88280164070145</v>
      </c>
      <c r="F1102">
        <v>1966.4533462743</v>
      </c>
      <c r="G1102">
        <v>0.8031659927601421</v>
      </c>
    </row>
    <row r="1103" spans="1:7">
      <c r="A1103" t="s">
        <v>137</v>
      </c>
      <c r="B1103">
        <v>3</v>
      </c>
      <c r="C1103">
        <v>10.39154449581102</v>
      </c>
      <c r="D1103">
        <v>8.39186372135627</v>
      </c>
      <c r="E1103">
        <v>50.98737308517348</v>
      </c>
      <c r="F1103">
        <v>1968.802696297732</v>
      </c>
      <c r="G1103">
        <v>0.8031096623129144</v>
      </c>
    </row>
    <row r="1104" spans="1:7">
      <c r="A1104" t="s">
        <v>137</v>
      </c>
      <c r="B1104">
        <v>3</v>
      </c>
      <c r="C1104">
        <v>10.40401387218597</v>
      </c>
      <c r="D1104">
        <v>8.401877637564064</v>
      </c>
      <c r="E1104">
        <v>51.09207682829464</v>
      </c>
      <c r="F1104">
        <v>1971.152046321164</v>
      </c>
      <c r="G1104">
        <v>0.8030518520483947</v>
      </c>
    </row>
    <row r="1105" spans="1:7">
      <c r="A1105" t="s">
        <v>137</v>
      </c>
      <c r="B1105">
        <v>3</v>
      </c>
      <c r="C1105">
        <v>10.41648415773232</v>
      </c>
      <c r="D1105">
        <v>8.411891553771859</v>
      </c>
      <c r="E1105">
        <v>51.19691308206284</v>
      </c>
      <c r="F1105">
        <v>1973.501396344597</v>
      </c>
      <c r="G1105">
        <v>0.8029925619665835</v>
      </c>
    </row>
    <row r="1106" spans="1:7">
      <c r="A1106" t="s">
        <v>137</v>
      </c>
      <c r="B1106">
        <v>3</v>
      </c>
      <c r="C1106">
        <v>10.42895537556643</v>
      </c>
      <c r="D1106">
        <v>8.421905469979656</v>
      </c>
      <c r="E1106">
        <v>51.30188205925499</v>
      </c>
      <c r="F1106">
        <v>1975.850746368028</v>
      </c>
      <c r="G1106">
        <v>0.8029317920674803</v>
      </c>
    </row>
    <row r="1107" spans="1:7">
      <c r="A1107" t="s">
        <v>137</v>
      </c>
      <c r="B1107">
        <v>3</v>
      </c>
      <c r="C1107">
        <v>10.44142754881502</v>
      </c>
      <c r="D1107">
        <v>8.431919386187451</v>
      </c>
      <c r="E1107">
        <v>51.40698397342957</v>
      </c>
      <c r="F1107">
        <v>1978.200096391461</v>
      </c>
      <c r="G1107">
        <v>0.8028695423510845</v>
      </c>
    </row>
    <row r="1108" spans="1:7">
      <c r="A1108" t="s">
        <v>137</v>
      </c>
      <c r="B1108">
        <v>3</v>
      </c>
      <c r="C1108">
        <v>10.4539007006154</v>
      </c>
      <c r="D1108">
        <v>8.441933302395245</v>
      </c>
      <c r="E1108">
        <v>51.51221903892926</v>
      </c>
      <c r="F1108">
        <v>1980.549446414892</v>
      </c>
      <c r="G1108">
        <v>0.8028058128173968</v>
      </c>
    </row>
    <row r="1109" spans="1:7">
      <c r="A1109" t="s">
        <v>137</v>
      </c>
      <c r="B1109">
        <v>3</v>
      </c>
      <c r="C1109">
        <v>10.46637485411573</v>
      </c>
      <c r="D1109">
        <v>8.451947218603042</v>
      </c>
      <c r="E1109">
        <v>51.61758747088357</v>
      </c>
      <c r="F1109">
        <v>1982.898796438325</v>
      </c>
      <c r="G1109">
        <v>0.8027406034664174</v>
      </c>
    </row>
    <row r="1110" spans="1:7">
      <c r="A1110" t="s">
        <v>137</v>
      </c>
      <c r="B1110">
        <v>3</v>
      </c>
      <c r="C1110">
        <v>10.4788500324753</v>
      </c>
      <c r="D1110">
        <v>8.461961134810837</v>
      </c>
      <c r="E1110">
        <v>51.72308948521137</v>
      </c>
      <c r="F1110">
        <v>1985.248146461757</v>
      </c>
      <c r="G1110">
        <v>0.8026739142981459</v>
      </c>
    </row>
    <row r="1111" spans="1:7">
      <c r="A1111" t="s">
        <v>137</v>
      </c>
      <c r="B1111">
        <v>3</v>
      </c>
      <c r="C1111">
        <v>10.49132625886476</v>
      </c>
      <c r="D1111">
        <v>8.471975051018632</v>
      </c>
      <c r="E1111">
        <v>51.82872529862368</v>
      </c>
      <c r="F1111">
        <v>1987.597496485189</v>
      </c>
      <c r="G1111">
        <v>0.802605745312583</v>
      </c>
    </row>
    <row r="1112" spans="1:7">
      <c r="A1112" t="s">
        <v>137</v>
      </c>
      <c r="B1112">
        <v>3</v>
      </c>
      <c r="C1112">
        <v>10.50380355646643</v>
      </c>
      <c r="D1112">
        <v>8.481988967226428</v>
      </c>
      <c r="E1112">
        <v>51.93449512862625</v>
      </c>
      <c r="F1112">
        <v>1989.946846508621</v>
      </c>
      <c r="G1112">
        <v>0.8025360965097275</v>
      </c>
    </row>
    <row r="1113" spans="1:7">
      <c r="A1113" t="s">
        <v>137</v>
      </c>
      <c r="B1113">
        <v>3</v>
      </c>
      <c r="C1113">
        <v>10.51628194847449</v>
      </c>
      <c r="D1113">
        <v>8.492002883434223</v>
      </c>
      <c r="E1113">
        <v>52.04039919352217</v>
      </c>
      <c r="F1113">
        <v>1992.296196532053</v>
      </c>
      <c r="G1113">
        <v>0.8024649678895799</v>
      </c>
    </row>
    <row r="1114" spans="1:7">
      <c r="A1114" t="s">
        <v>137</v>
      </c>
      <c r="B1114">
        <v>3</v>
      </c>
      <c r="C1114">
        <v>10.52876145809529</v>
      </c>
      <c r="D1114">
        <v>8.502016799642018</v>
      </c>
      <c r="E1114">
        <v>52.14643771241472</v>
      </c>
      <c r="F1114">
        <v>1994.645546555485</v>
      </c>
      <c r="G1114">
        <v>0.8023923594521406</v>
      </c>
    </row>
    <row r="1115" spans="1:7">
      <c r="A1115" t="s">
        <v>137</v>
      </c>
      <c r="B1115">
        <v>3</v>
      </c>
      <c r="C1115">
        <v>10.54124210854763</v>
      </c>
      <c r="D1115">
        <v>8.512030715849814</v>
      </c>
      <c r="E1115">
        <v>52.25261090520998</v>
      </c>
      <c r="F1115">
        <v>1996.994896578917</v>
      </c>
      <c r="G1115">
        <v>0.8023182711974091</v>
      </c>
    </row>
    <row r="1116" spans="1:7">
      <c r="A1116" t="s">
        <v>137</v>
      </c>
      <c r="B1116">
        <v>3</v>
      </c>
      <c r="C1116">
        <v>10.55372392306295</v>
      </c>
      <c r="D1116">
        <v>8.522044632057609</v>
      </c>
      <c r="E1116">
        <v>52.35891899261953</v>
      </c>
      <c r="F1116">
        <v>1999.344246602349</v>
      </c>
      <c r="G1116">
        <v>0.8022427031253858</v>
      </c>
    </row>
    <row r="1117" spans="1:7">
      <c r="A1117" t="s">
        <v>137</v>
      </c>
      <c r="B1117">
        <v>3</v>
      </c>
      <c r="C1117">
        <v>10.56620692488564</v>
      </c>
      <c r="D1117">
        <v>8.532058548265404</v>
      </c>
      <c r="E1117">
        <v>52.46536219616326</v>
      </c>
      <c r="F1117">
        <v>2001.693596625781</v>
      </c>
      <c r="G1117">
        <v>0.8021656552360704</v>
      </c>
    </row>
    <row r="1118" spans="1:7">
      <c r="A1118" t="s">
        <v>137</v>
      </c>
      <c r="B1118">
        <v>3</v>
      </c>
      <c r="C1118">
        <v>10.57869113727333</v>
      </c>
      <c r="D1118">
        <v>8.5420724644732</v>
      </c>
      <c r="E1118">
        <v>52.5719407381721</v>
      </c>
      <c r="F1118">
        <v>2004.042946649213</v>
      </c>
      <c r="G1118">
        <v>0.8020871275294633</v>
      </c>
    </row>
    <row r="1119" spans="1:7">
      <c r="A1119" t="s">
        <v>137</v>
      </c>
      <c r="B1119">
        <v>3</v>
      </c>
      <c r="C1119">
        <v>10.59117658349707</v>
      </c>
      <c r="D1119">
        <v>8.552086380680995</v>
      </c>
      <c r="E1119">
        <v>52.67865484179077</v>
      </c>
      <c r="F1119">
        <v>2006.392296672645</v>
      </c>
      <c r="G1119">
        <v>0.8020071200055637</v>
      </c>
    </row>
    <row r="1120" spans="1:7">
      <c r="A1120" t="s">
        <v>137</v>
      </c>
      <c r="B1120">
        <v>3</v>
      </c>
      <c r="C1120">
        <v>10.60366328684168</v>
      </c>
      <c r="D1120">
        <v>8.56210029688879</v>
      </c>
      <c r="E1120">
        <v>52.78550473098059</v>
      </c>
      <c r="F1120">
        <v>2008.741646696078</v>
      </c>
      <c r="G1120">
        <v>0.8019256326643726</v>
      </c>
    </row>
    <row r="1121" spans="1:7">
      <c r="A1121" t="s">
        <v>137</v>
      </c>
      <c r="B1121">
        <v>3</v>
      </c>
      <c r="C1121">
        <v>10.61615127060594</v>
      </c>
      <c r="D1121">
        <v>8.572114213096587</v>
      </c>
      <c r="E1121">
        <v>52.89249063052233</v>
      </c>
      <c r="F1121">
        <v>2011.09099671951</v>
      </c>
      <c r="G1121">
        <v>0.8018426655058892</v>
      </c>
    </row>
    <row r="1122" spans="1:7">
      <c r="A1122" t="s">
        <v>137</v>
      </c>
      <c r="B1122">
        <v>3</v>
      </c>
      <c r="C1122">
        <v>10.62864055810292</v>
      </c>
      <c r="D1122">
        <v>8.582128129304381</v>
      </c>
      <c r="E1122">
        <v>52.99961276601891</v>
      </c>
      <c r="F1122">
        <v>2013.440346742942</v>
      </c>
      <c r="G1122">
        <v>0.8017582185301138</v>
      </c>
    </row>
    <row r="1123" spans="1:7">
      <c r="A1123" t="s">
        <v>137</v>
      </c>
      <c r="B1123">
        <v>3</v>
      </c>
      <c r="C1123">
        <v>10.64113117266018</v>
      </c>
      <c r="D1123">
        <v>8.592142045512176</v>
      </c>
      <c r="E1123">
        <v>53.10687136389837</v>
      </c>
      <c r="F1123">
        <v>2015.789696766374</v>
      </c>
      <c r="G1123">
        <v>0.8016722917370467</v>
      </c>
    </row>
    <row r="1124" spans="1:7">
      <c r="A1124" t="s">
        <v>137</v>
      </c>
      <c r="B1124">
        <v>3</v>
      </c>
      <c r="C1124">
        <v>10.6536231376201</v>
      </c>
      <c r="D1124">
        <v>8.602155961719973</v>
      </c>
      <c r="E1124">
        <v>53.21426665141668</v>
      </c>
      <c r="F1124">
        <v>2018.139046789806</v>
      </c>
      <c r="G1124">
        <v>0.8015848851266877</v>
      </c>
    </row>
    <row r="1125" spans="1:7">
      <c r="A1125" t="s">
        <v>137</v>
      </c>
      <c r="B1125">
        <v>3</v>
      </c>
      <c r="C1125">
        <v>10.66611647634009</v>
      </c>
      <c r="D1125">
        <v>8.612169877927768</v>
      </c>
      <c r="E1125">
        <v>53.32179885666054</v>
      </c>
      <c r="F1125">
        <v>2020.488396813238</v>
      </c>
      <c r="G1125">
        <v>0.8014959986990363</v>
      </c>
    </row>
    <row r="1126" spans="1:7">
      <c r="A1126" t="s">
        <v>137</v>
      </c>
      <c r="B1126">
        <v>3</v>
      </c>
      <c r="C1126">
        <v>10.67861121219286</v>
      </c>
      <c r="D1126">
        <v>8.622183794135562</v>
      </c>
      <c r="E1126">
        <v>53.42946820855038</v>
      </c>
      <c r="F1126">
        <v>2022.83774683667</v>
      </c>
      <c r="G1126">
        <v>0.8014056324540932</v>
      </c>
    </row>
    <row r="1127" spans="1:7">
      <c r="A1127" t="s">
        <v>137</v>
      </c>
      <c r="B1127">
        <v>3</v>
      </c>
      <c r="C1127">
        <v>10.69110736856675</v>
      </c>
      <c r="D1127">
        <v>8.632197710343359</v>
      </c>
      <c r="E1127">
        <v>53.53727493684325</v>
      </c>
      <c r="F1127">
        <v>2025.187096860102</v>
      </c>
      <c r="G1127">
        <v>0.8013137863918575</v>
      </c>
    </row>
    <row r="1128" spans="1:7">
      <c r="A1128" t="s">
        <v>137</v>
      </c>
      <c r="B1128">
        <v>3</v>
      </c>
      <c r="C1128">
        <v>10.70360496886591</v>
      </c>
      <c r="D1128">
        <v>8.642211626551154</v>
      </c>
      <c r="E1128">
        <v>53.64521927213563</v>
      </c>
      <c r="F1128">
        <v>2027.536446883534</v>
      </c>
      <c r="G1128">
        <v>0.8012204605123305</v>
      </c>
    </row>
    <row r="1129" spans="1:7">
      <c r="A1129" t="s">
        <v>137</v>
      </c>
      <c r="B1129">
        <v>3</v>
      </c>
      <c r="C1129">
        <v>10.7161040365106</v>
      </c>
      <c r="D1129">
        <v>8.652225542758949</v>
      </c>
      <c r="E1129">
        <v>53.75330144586652</v>
      </c>
      <c r="F1129">
        <v>2029.885796906966</v>
      </c>
      <c r="G1129">
        <v>0.801125654815511</v>
      </c>
    </row>
    <row r="1130" spans="1:7">
      <c r="A1130" t="s">
        <v>137</v>
      </c>
      <c r="B1130">
        <v>3</v>
      </c>
      <c r="C1130">
        <v>10.7286045949375</v>
      </c>
      <c r="D1130">
        <v>8.662239458966745</v>
      </c>
      <c r="E1130">
        <v>53.86152169032032</v>
      </c>
      <c r="F1130">
        <v>2032.235146930399</v>
      </c>
      <c r="G1130">
        <v>0.8010293693013998</v>
      </c>
    </row>
    <row r="1131" spans="1:7">
      <c r="A1131" t="s">
        <v>137</v>
      </c>
      <c r="B1131">
        <v>3</v>
      </c>
      <c r="C1131">
        <v>10.74110666759991</v>
      </c>
      <c r="D1131">
        <v>8.67225337517454</v>
      </c>
      <c r="E1131">
        <v>53.96988023862976</v>
      </c>
      <c r="F1131">
        <v>2034.58449695383</v>
      </c>
      <c r="G1131">
        <v>0.800931603969997</v>
      </c>
    </row>
    <row r="1132" spans="1:7">
      <c r="A1132" t="s">
        <v>137</v>
      </c>
      <c r="B1132">
        <v>3</v>
      </c>
      <c r="C1132">
        <v>10.75361027796806</v>
      </c>
      <c r="D1132">
        <v>8.682267291382335</v>
      </c>
      <c r="E1132">
        <v>54.07837732477903</v>
      </c>
      <c r="F1132">
        <v>2036.933846977262</v>
      </c>
      <c r="G1132">
        <v>0.8008323588213018</v>
      </c>
    </row>
    <row r="1133" spans="1:7">
      <c r="A1133" t="s">
        <v>137</v>
      </c>
      <c r="B1133">
        <v>3</v>
      </c>
      <c r="C1133">
        <v>10.76611544952935</v>
      </c>
      <c r="D1133">
        <v>8.692281207590131</v>
      </c>
      <c r="E1133">
        <v>54.18701318360669</v>
      </c>
      <c r="F1133">
        <v>2039.283197000695</v>
      </c>
      <c r="G1133">
        <v>0.8007316338553148</v>
      </c>
    </row>
    <row r="1134" spans="1:7">
      <c r="A1134" t="s">
        <v>137</v>
      </c>
      <c r="B1134">
        <v>3</v>
      </c>
      <c r="C1134">
        <v>10.77862220578865</v>
      </c>
      <c r="D1134">
        <v>8.702295123797926</v>
      </c>
      <c r="E1134">
        <v>54.29578805080865</v>
      </c>
      <c r="F1134">
        <v>2041.632547024126</v>
      </c>
      <c r="G1134">
        <v>0.8006294290720354</v>
      </c>
    </row>
    <row r="1135" spans="1:7">
      <c r="A1135" t="s">
        <v>137</v>
      </c>
      <c r="B1135">
        <v>3</v>
      </c>
      <c r="C1135">
        <v>10.79113057026856</v>
      </c>
      <c r="D1135">
        <v>8.712309040005721</v>
      </c>
      <c r="E1135">
        <v>54.40470216294134</v>
      </c>
      <c r="F1135">
        <v>2043.981897047559</v>
      </c>
      <c r="G1135">
        <v>0.800525744471464</v>
      </c>
    </row>
    <row r="1136" spans="1:7">
      <c r="A1136" t="s">
        <v>137</v>
      </c>
      <c r="B1136">
        <v>3</v>
      </c>
      <c r="C1136">
        <v>10.80364056650966</v>
      </c>
      <c r="D1136">
        <v>8.722322956213517</v>
      </c>
      <c r="E1136">
        <v>54.51375575742475</v>
      </c>
      <c r="F1136">
        <v>2046.331247070991</v>
      </c>
      <c r="G1136">
        <v>0.8004205800536012</v>
      </c>
    </row>
    <row r="1137" spans="1:7">
      <c r="A1137" t="s">
        <v>137</v>
      </c>
      <c r="B1137">
        <v>3</v>
      </c>
      <c r="C1137">
        <v>10.8161522180708</v>
      </c>
      <c r="D1137">
        <v>8.732336872421312</v>
      </c>
      <c r="E1137">
        <v>54.62294907254537</v>
      </c>
      <c r="F1137">
        <v>2048.680597094423</v>
      </c>
      <c r="G1137">
        <v>0.8003139358184459</v>
      </c>
    </row>
    <row r="1138" spans="1:7">
      <c r="A1138" t="s">
        <v>137</v>
      </c>
      <c r="B1138">
        <v>3</v>
      </c>
      <c r="C1138">
        <v>10.82866554852938</v>
      </c>
      <c r="D1138">
        <v>8.742350788629107</v>
      </c>
      <c r="E1138">
        <v>54.73228234745949</v>
      </c>
      <c r="F1138">
        <v>2051.029947117855</v>
      </c>
      <c r="G1138">
        <v>0.8002058117659989</v>
      </c>
    </row>
    <row r="1139" spans="1:7">
      <c r="A1139" t="s">
        <v>137</v>
      </c>
      <c r="B1139">
        <v>3</v>
      </c>
      <c r="C1139">
        <v>10.84118058148157</v>
      </c>
      <c r="D1139">
        <v>8.752364704836904</v>
      </c>
      <c r="E1139">
        <v>54.84175582219621</v>
      </c>
      <c r="F1139">
        <v>2053.379297141287</v>
      </c>
      <c r="G1139">
        <v>0.8000962078962598</v>
      </c>
    </row>
    <row r="1140" spans="1:7">
      <c r="A1140" t="s">
        <v>137</v>
      </c>
      <c r="B1140">
        <v>3</v>
      </c>
      <c r="C1140">
        <v>10.85369734054266</v>
      </c>
      <c r="D1140">
        <v>8.762378621044698</v>
      </c>
      <c r="E1140">
        <v>54.95136973766054</v>
      </c>
      <c r="F1140">
        <v>2055.728647164719</v>
      </c>
      <c r="G1140">
        <v>0.7999851242092281</v>
      </c>
    </row>
    <row r="1141" spans="1:7">
      <c r="A1141" t="s">
        <v>137</v>
      </c>
      <c r="B1141">
        <v>3</v>
      </c>
      <c r="C1141">
        <v>10.86621584934728</v>
      </c>
      <c r="D1141">
        <v>8.772392537252493</v>
      </c>
      <c r="E1141">
        <v>55.06112433563663</v>
      </c>
      <c r="F1141">
        <v>2058.077997188151</v>
      </c>
      <c r="G1141">
        <v>0.7998725607049055</v>
      </c>
    </row>
    <row r="1142" spans="1:7">
      <c r="A1142" t="s">
        <v>137</v>
      </c>
      <c r="B1142">
        <v>3</v>
      </c>
      <c r="C1142">
        <v>10.87873613154968</v>
      </c>
      <c r="D1142">
        <v>8.78240645346029</v>
      </c>
      <c r="E1142">
        <v>55.17101985879096</v>
      </c>
      <c r="F1142">
        <v>2060.427347211584</v>
      </c>
      <c r="G1142">
        <v>0.7997585173832901</v>
      </c>
    </row>
    <row r="1143" spans="1:7">
      <c r="A1143" t="s">
        <v>137</v>
      </c>
      <c r="B1143">
        <v>3</v>
      </c>
      <c r="C1143">
        <v>10.891258210824</v>
      </c>
      <c r="D1143">
        <v>8.792420369668084</v>
      </c>
      <c r="E1143">
        <v>55.28105655067541</v>
      </c>
      <c r="F1143">
        <v>2062.776697235015</v>
      </c>
      <c r="G1143">
        <v>0.7996429942443832</v>
      </c>
    </row>
    <row r="1144" spans="1:7">
      <c r="A1144" t="s">
        <v>137</v>
      </c>
      <c r="B1144">
        <v>3</v>
      </c>
      <c r="C1144">
        <v>10.90378211086458</v>
      </c>
      <c r="D1144">
        <v>8.802434285875879</v>
      </c>
      <c r="E1144">
        <v>55.39123465573059</v>
      </c>
      <c r="F1144">
        <v>2065.126047258447</v>
      </c>
      <c r="G1144">
        <v>0.799525991288184</v>
      </c>
    </row>
    <row r="1145" spans="1:7">
      <c r="A1145" t="s">
        <v>137</v>
      </c>
      <c r="B1145">
        <v>3</v>
      </c>
      <c r="C1145">
        <v>10.91630785538618</v>
      </c>
      <c r="D1145">
        <v>8.812448202083676</v>
      </c>
      <c r="E1145">
        <v>55.50155441928904</v>
      </c>
      <c r="F1145">
        <v>2067.475397281879</v>
      </c>
      <c r="G1145">
        <v>0.7994075085146933</v>
      </c>
    </row>
    <row r="1146" spans="1:7">
      <c r="A1146" t="s">
        <v>137</v>
      </c>
      <c r="B1146">
        <v>3</v>
      </c>
      <c r="C1146">
        <v>10.92883546812431</v>
      </c>
      <c r="D1146">
        <v>8.822462118291471</v>
      </c>
      <c r="E1146">
        <v>55.6120160875784</v>
      </c>
      <c r="F1146">
        <v>2069.824747305312</v>
      </c>
      <c r="G1146">
        <v>0.79928754592391</v>
      </c>
    </row>
    <row r="1147" spans="1:7">
      <c r="A1147" t="s">
        <v>137</v>
      </c>
      <c r="B1147">
        <v>3</v>
      </c>
      <c r="C1147">
        <v>10.94136497283545</v>
      </c>
      <c r="D1147">
        <v>8.832476034499265</v>
      </c>
      <c r="E1147">
        <v>55.7226199077248</v>
      </c>
      <c r="F1147">
        <v>2072.174097328743</v>
      </c>
      <c r="G1147">
        <v>0.7991661035158355</v>
      </c>
    </row>
    <row r="1148" spans="1:7">
      <c r="A1148" t="s">
        <v>137</v>
      </c>
      <c r="B1148">
        <v>3</v>
      </c>
      <c r="C1148">
        <v>10.95389639329738</v>
      </c>
      <c r="D1148">
        <v>8.842489950707062</v>
      </c>
      <c r="E1148">
        <v>55.83336612775609</v>
      </c>
      <c r="F1148">
        <v>2074.523447352175</v>
      </c>
      <c r="G1148">
        <v>0.7990431812904681</v>
      </c>
    </row>
    <row r="1149" spans="1:7">
      <c r="A1149" t="s">
        <v>137</v>
      </c>
      <c r="B1149">
        <v>3</v>
      </c>
      <c r="C1149">
        <v>10.96642975330942</v>
      </c>
      <c r="D1149">
        <v>8.852503866914857</v>
      </c>
      <c r="E1149">
        <v>55.94425499660505</v>
      </c>
      <c r="F1149">
        <v>2076.872797375608</v>
      </c>
      <c r="G1149">
        <v>0.7989187792478092</v>
      </c>
    </row>
    <row r="1150" spans="1:7">
      <c r="A1150" t="s">
        <v>137</v>
      </c>
      <c r="B1150">
        <v>3</v>
      </c>
      <c r="C1150">
        <v>10.97896507669273</v>
      </c>
      <c r="D1150">
        <v>8.862517783122652</v>
      </c>
      <c r="E1150">
        <v>56.05528676411291</v>
      </c>
      <c r="F1150">
        <v>2079.222147399039</v>
      </c>
      <c r="G1150">
        <v>0.7987928973878579</v>
      </c>
    </row>
    <row r="1151" spans="1:7">
      <c r="A1151" t="s">
        <v>137</v>
      </c>
      <c r="B1151">
        <v>3</v>
      </c>
      <c r="C1151">
        <v>10.99150238729057</v>
      </c>
      <c r="D1151">
        <v>8.872531699330448</v>
      </c>
      <c r="E1151">
        <v>56.16646168103254</v>
      </c>
      <c r="F1151">
        <v>2081.571497422472</v>
      </c>
      <c r="G1151">
        <v>0.7986655357106149</v>
      </c>
    </row>
    <row r="1152" spans="1:7">
      <c r="A1152" t="s">
        <v>137</v>
      </c>
      <c r="B1152">
        <v>3</v>
      </c>
      <c r="C1152">
        <v>11.0040417089686</v>
      </c>
      <c r="D1152">
        <v>8.882545615538243</v>
      </c>
      <c r="E1152">
        <v>56.27777999903181</v>
      </c>
      <c r="F1152">
        <v>2083.920847445904</v>
      </c>
      <c r="G1152">
        <v>0.7985366942160803</v>
      </c>
    </row>
    <row r="1153" spans="1:7">
      <c r="A1153" t="s">
        <v>137</v>
      </c>
      <c r="B1153">
        <v>3</v>
      </c>
      <c r="C1153">
        <v>11.01658306561514</v>
      </c>
      <c r="D1153">
        <v>8.892559531746038</v>
      </c>
      <c r="E1153">
        <v>56.38924197069711</v>
      </c>
      <c r="F1153">
        <v>2086.270197469336</v>
      </c>
      <c r="G1153">
        <v>0.7984063729042533</v>
      </c>
    </row>
    <row r="1154" spans="1:7">
      <c r="A1154" t="s">
        <v>137</v>
      </c>
      <c r="B1154">
        <v>3</v>
      </c>
      <c r="C1154">
        <v>11.02912648114145</v>
      </c>
      <c r="D1154">
        <v>8.902573447953834</v>
      </c>
      <c r="E1154">
        <v>56.50084784953663</v>
      </c>
      <c r="F1154">
        <v>2088.619547492768</v>
      </c>
      <c r="G1154">
        <v>0.7982745717751342</v>
      </c>
    </row>
    <row r="1155" spans="1:7">
      <c r="A1155" t="s">
        <v>137</v>
      </c>
      <c r="B1155">
        <v>3</v>
      </c>
      <c r="C1155">
        <v>11.04167197948204</v>
      </c>
      <c r="D1155">
        <v>8.912587364161629</v>
      </c>
      <c r="E1155">
        <v>56.61259788998375</v>
      </c>
      <c r="F1155">
        <v>2090.9688975162</v>
      </c>
      <c r="G1155">
        <v>0.7981412908287234</v>
      </c>
    </row>
    <row r="1156" spans="1:7">
      <c r="A1156" t="s">
        <v>137</v>
      </c>
      <c r="B1156">
        <v>3</v>
      </c>
      <c r="C1156">
        <v>11.05421958459492</v>
      </c>
      <c r="D1156">
        <v>8.922601280369424</v>
      </c>
      <c r="E1156">
        <v>56.72449234740063</v>
      </c>
      <c r="F1156">
        <v>2093.318247539632</v>
      </c>
      <c r="G1156">
        <v>0.7980065300650204</v>
      </c>
    </row>
    <row r="1157" spans="1:7">
      <c r="A1157" t="s">
        <v>137</v>
      </c>
      <c r="B1157">
        <v>3</v>
      </c>
      <c r="C1157">
        <v>11.06676932046189</v>
      </c>
      <c r="D1157">
        <v>8.93261519657722</v>
      </c>
      <c r="E1157">
        <v>56.83653147808157</v>
      </c>
      <c r="F1157">
        <v>2095.667597563065</v>
      </c>
      <c r="G1157">
        <v>0.7978702894840255</v>
      </c>
    </row>
    <row r="1158" spans="1:7">
      <c r="A1158" t="s">
        <v>137</v>
      </c>
      <c r="B1158">
        <v>3</v>
      </c>
      <c r="C1158">
        <v>11.07932121108882</v>
      </c>
      <c r="D1158">
        <v>8.942629112785015</v>
      </c>
      <c r="E1158">
        <v>56.94871553925646</v>
      </c>
      <c r="F1158">
        <v>2098.016947586496</v>
      </c>
      <c r="G1158">
        <v>0.7977325690857382</v>
      </c>
    </row>
    <row r="1159" spans="1:7">
      <c r="A1159" t="s">
        <v>137</v>
      </c>
      <c r="B1159">
        <v>3</v>
      </c>
      <c r="C1159">
        <v>11.09187528050597</v>
      </c>
      <c r="D1159">
        <v>8.95264302899281</v>
      </c>
      <c r="E1159">
        <v>57.0610447890944</v>
      </c>
      <c r="F1159">
        <v>2100.366297609928</v>
      </c>
      <c r="G1159">
        <v>0.7975933688701596</v>
      </c>
    </row>
    <row r="1160" spans="1:7">
      <c r="A1160" t="s">
        <v>137</v>
      </c>
      <c r="B1160">
        <v>3</v>
      </c>
      <c r="C1160">
        <v>11.10443155276821</v>
      </c>
      <c r="D1160">
        <v>8.962656945200607</v>
      </c>
      <c r="E1160">
        <v>57.17351948670714</v>
      </c>
      <c r="F1160">
        <v>2102.715647633361</v>
      </c>
      <c r="G1160">
        <v>0.7974526888372888</v>
      </c>
    </row>
    <row r="1161" spans="1:7">
      <c r="A1161" t="s">
        <v>137</v>
      </c>
      <c r="B1161">
        <v>3</v>
      </c>
      <c r="C1161">
        <v>11.11699005195535</v>
      </c>
      <c r="D1161">
        <v>8.972670861408401</v>
      </c>
      <c r="E1161">
        <v>57.28613989215259</v>
      </c>
      <c r="F1161">
        <v>2105.064997656792</v>
      </c>
      <c r="G1161">
        <v>0.7973105289871256</v>
      </c>
    </row>
    <row r="1162" spans="1:7">
      <c r="A1162" t="s">
        <v>137</v>
      </c>
      <c r="B1162">
        <v>3</v>
      </c>
      <c r="C1162">
        <v>11.12955080217243</v>
      </c>
      <c r="D1162">
        <v>8.982684777616196</v>
      </c>
      <c r="E1162">
        <v>57.39890626643849</v>
      </c>
      <c r="F1162">
        <v>2107.414347680225</v>
      </c>
      <c r="G1162">
        <v>0.7971668893196708</v>
      </c>
    </row>
    <row r="1163" spans="1:7">
      <c r="A1163" t="s">
        <v>137</v>
      </c>
      <c r="B1163">
        <v>3</v>
      </c>
      <c r="C1163">
        <v>11.14211382754997</v>
      </c>
      <c r="D1163">
        <v>8.992698693823993</v>
      </c>
      <c r="E1163">
        <v>57.51181887152593</v>
      </c>
      <c r="F1163">
        <v>2109.763697703657</v>
      </c>
      <c r="G1163">
        <v>0.7970217698349243</v>
      </c>
    </row>
    <row r="1164" spans="1:7">
      <c r="A1164" t="s">
        <v>137</v>
      </c>
      <c r="B1164">
        <v>3</v>
      </c>
      <c r="C1164">
        <v>11.1546791522443</v>
      </c>
      <c r="D1164">
        <v>9.002712610031788</v>
      </c>
      <c r="E1164">
        <v>57.62487797033292</v>
      </c>
      <c r="F1164">
        <v>2112.113047727089</v>
      </c>
      <c r="G1164">
        <v>0.7968751705328857</v>
      </c>
    </row>
    <row r="1165" spans="1:7">
      <c r="A1165" t="s">
        <v>137</v>
      </c>
      <c r="B1165">
        <v>3</v>
      </c>
      <c r="C1165">
        <v>11.16724680043781</v>
      </c>
      <c r="D1165">
        <v>9.012726526239582</v>
      </c>
      <c r="E1165">
        <v>57.73808382673812</v>
      </c>
      <c r="F1165">
        <v>2114.462397750521</v>
      </c>
      <c r="G1165">
        <v>0.7967270914135544</v>
      </c>
    </row>
    <row r="1166" spans="1:7">
      <c r="A1166" t="s">
        <v>137</v>
      </c>
      <c r="B1166">
        <v>3</v>
      </c>
      <c r="C1166">
        <v>11.17981679633925</v>
      </c>
      <c r="D1166">
        <v>9.022740442447379</v>
      </c>
      <c r="E1166">
        <v>57.85143670558441</v>
      </c>
      <c r="F1166">
        <v>2116.811747773953</v>
      </c>
      <c r="G1166">
        <v>0.7965775324769319</v>
      </c>
    </row>
    <row r="1167" spans="1:7">
      <c r="A1167" t="s">
        <v>137</v>
      </c>
      <c r="B1167">
        <v>3</v>
      </c>
      <c r="C1167">
        <v>11.19238916418405</v>
      </c>
      <c r="D1167">
        <v>9.032754358655174</v>
      </c>
      <c r="E1167">
        <v>57.96493687268254</v>
      </c>
      <c r="F1167">
        <v>2119.161097797385</v>
      </c>
      <c r="G1167">
        <v>0.7964264937230173</v>
      </c>
    </row>
    <row r="1168" spans="1:7">
      <c r="A1168" t="s">
        <v>137</v>
      </c>
      <c r="B1168">
        <v>3</v>
      </c>
      <c r="C1168">
        <v>11.20496392823457</v>
      </c>
      <c r="D1168">
        <v>9.042768274862969</v>
      </c>
      <c r="E1168">
        <v>58.07858459481491</v>
      </c>
      <c r="F1168">
        <v>2121.510447820817</v>
      </c>
      <c r="G1168">
        <v>0.7962739751518099</v>
      </c>
    </row>
    <row r="1169" spans="1:7">
      <c r="A1169" t="s">
        <v>137</v>
      </c>
      <c r="B1169">
        <v>3</v>
      </c>
      <c r="C1169">
        <v>11.2175411127804</v>
      </c>
      <c r="D1169">
        <v>9.052782191070765</v>
      </c>
      <c r="E1169">
        <v>58.19238013973924</v>
      </c>
      <c r="F1169">
        <v>2123.859797844249</v>
      </c>
      <c r="G1169">
        <v>0.7961199767633114</v>
      </c>
    </row>
    <row r="1170" spans="1:7">
      <c r="A1170" t="s">
        <v>137</v>
      </c>
      <c r="B1170">
        <v>3</v>
      </c>
      <c r="C1170">
        <v>11.23012074213867</v>
      </c>
      <c r="D1170">
        <v>9.06279610727856</v>
      </c>
      <c r="E1170">
        <v>58.30632377619221</v>
      </c>
      <c r="F1170">
        <v>2126.209147867681</v>
      </c>
      <c r="G1170">
        <v>0.7959644985575208</v>
      </c>
    </row>
    <row r="1171" spans="1:7">
      <c r="A1171" t="s">
        <v>137</v>
      </c>
      <c r="B1171">
        <v>3</v>
      </c>
      <c r="C1171">
        <v>11.24270284065433</v>
      </c>
      <c r="D1171">
        <v>9.072810023486355</v>
      </c>
      <c r="E1171">
        <v>58.4204157738934</v>
      </c>
      <c r="F1171">
        <v>2128.558497891113</v>
      </c>
      <c r="G1171">
        <v>0.7958075405344377</v>
      </c>
    </row>
    <row r="1172" spans="1:7">
      <c r="A1172" t="s">
        <v>137</v>
      </c>
      <c r="B1172">
        <v>3</v>
      </c>
      <c r="C1172">
        <v>11.25528743270043</v>
      </c>
      <c r="D1172">
        <v>9.082823939694151</v>
      </c>
      <c r="E1172">
        <v>58.53465640354894</v>
      </c>
      <c r="F1172">
        <v>2130.907847914546</v>
      </c>
      <c r="G1172">
        <v>0.7956491026940631</v>
      </c>
    </row>
    <row r="1173" spans="1:7">
      <c r="A1173" t="s">
        <v>137</v>
      </c>
      <c r="B1173">
        <v>3</v>
      </c>
      <c r="C1173">
        <v>11.26787454267845</v>
      </c>
      <c r="D1173">
        <v>9.092837855901946</v>
      </c>
      <c r="E1173">
        <v>58.64904593685529</v>
      </c>
      <c r="F1173">
        <v>2133.257197937977</v>
      </c>
      <c r="G1173">
        <v>0.7954891850363963</v>
      </c>
    </row>
    <row r="1174" spans="1:7">
      <c r="A1174" t="s">
        <v>137</v>
      </c>
      <c r="B1174">
        <v>3</v>
      </c>
      <c r="C1174">
        <v>11.28046419501855</v>
      </c>
      <c r="D1174">
        <v>9.102851772109741</v>
      </c>
      <c r="E1174">
        <v>58.76358464650318</v>
      </c>
      <c r="F1174">
        <v>2135.606547961409</v>
      </c>
      <c r="G1174">
        <v>0.7953277875614378</v>
      </c>
    </row>
    <row r="1175" spans="1:7">
      <c r="A1175" t="s">
        <v>137</v>
      </c>
      <c r="B1175">
        <v>3</v>
      </c>
      <c r="C1175">
        <v>11.29305641417991</v>
      </c>
      <c r="D1175">
        <v>9.112865688317537</v>
      </c>
      <c r="E1175">
        <v>58.87827280618137</v>
      </c>
      <c r="F1175">
        <v>2137.955897984842</v>
      </c>
      <c r="G1175">
        <v>0.795164910269187</v>
      </c>
    </row>
    <row r="1176" spans="1:7">
      <c r="A1176" t="s">
        <v>137</v>
      </c>
      <c r="B1176">
        <v>3</v>
      </c>
      <c r="C1176">
        <v>11.30565122465099</v>
      </c>
      <c r="D1176">
        <v>9.122879604525332</v>
      </c>
      <c r="E1176">
        <v>58.99311069058047</v>
      </c>
      <c r="F1176">
        <v>2140.305248008273</v>
      </c>
      <c r="G1176">
        <v>0.7950005531596441</v>
      </c>
    </row>
    <row r="1177" spans="1:7">
      <c r="A1177" t="s">
        <v>137</v>
      </c>
      <c r="B1177">
        <v>3</v>
      </c>
      <c r="C1177">
        <v>11.31824865094986</v>
      </c>
      <c r="D1177">
        <v>9.132893520733129</v>
      </c>
      <c r="E1177">
        <v>59.10809857539699</v>
      </c>
      <c r="F1177">
        <v>2142.654598031706</v>
      </c>
      <c r="G1177">
        <v>0.7948347162328094</v>
      </c>
    </row>
    <row r="1178" spans="1:7">
      <c r="A1178" t="s">
        <v>137</v>
      </c>
      <c r="B1178">
        <v>3</v>
      </c>
      <c r="C1178">
        <v>11.33084871762446</v>
      </c>
      <c r="D1178">
        <v>9.142907436940924</v>
      </c>
      <c r="E1178">
        <v>59.22323673733706</v>
      </c>
      <c r="F1178">
        <v>2145.003948055138</v>
      </c>
      <c r="G1178">
        <v>0.794667399488683</v>
      </c>
    </row>
    <row r="1179" spans="1:7">
      <c r="A1179" t="s">
        <v>137</v>
      </c>
      <c r="B1179">
        <v>3</v>
      </c>
      <c r="C1179">
        <v>11.34345144925294</v>
      </c>
      <c r="D1179">
        <v>9.152921353148718</v>
      </c>
      <c r="E1179">
        <v>59.33852545412051</v>
      </c>
      <c r="F1179">
        <v>2147.35329807857</v>
      </c>
      <c r="G1179">
        <v>0.794498602927264</v>
      </c>
    </row>
    <row r="1180" spans="1:7">
      <c r="A1180" t="s">
        <v>137</v>
      </c>
      <c r="B1180">
        <v>3</v>
      </c>
      <c r="C1180">
        <v>11.35605687044392</v>
      </c>
      <c r="D1180">
        <v>9.162935269356515</v>
      </c>
      <c r="E1180">
        <v>59.45396500448481</v>
      </c>
      <c r="F1180">
        <v>2149.702648102002</v>
      </c>
      <c r="G1180">
        <v>0.7943283265485533</v>
      </c>
    </row>
    <row r="1181" spans="1:7">
      <c r="A1181" t="s">
        <v>137</v>
      </c>
      <c r="B1181">
        <v>3</v>
      </c>
      <c r="C1181">
        <v>11.36866500583684</v>
      </c>
      <c r="D1181">
        <v>9.17294918556431</v>
      </c>
      <c r="E1181">
        <v>59.56955566818891</v>
      </c>
      <c r="F1181">
        <v>2152.051998125434</v>
      </c>
      <c r="G1181">
        <v>0.7941565703525506</v>
      </c>
    </row>
    <row r="1182" spans="1:7">
      <c r="A1182" t="s">
        <v>137</v>
      </c>
      <c r="B1182">
        <v>3</v>
      </c>
      <c r="C1182">
        <v>11.38127588010222</v>
      </c>
      <c r="D1182">
        <v>9.182963101772105</v>
      </c>
      <c r="E1182">
        <v>59.68529772601745</v>
      </c>
      <c r="F1182">
        <v>2154.401348148866</v>
      </c>
      <c r="G1182">
        <v>0.7939833343392562</v>
      </c>
    </row>
    <row r="1183" spans="1:7">
      <c r="A1183" t="s">
        <v>137</v>
      </c>
      <c r="B1183">
        <v>3</v>
      </c>
      <c r="C1183">
        <v>11.39388951794197</v>
      </c>
      <c r="D1183">
        <v>9.192977017979901</v>
      </c>
      <c r="E1183">
        <v>59.80119145978468</v>
      </c>
      <c r="F1183">
        <v>2156.750698172298</v>
      </c>
      <c r="G1183">
        <v>0.7938086185086696</v>
      </c>
    </row>
    <row r="1184" spans="1:7">
      <c r="A1184" t="s">
        <v>137</v>
      </c>
      <c r="B1184">
        <v>3</v>
      </c>
      <c r="C1184">
        <v>11.4065059440897</v>
      </c>
      <c r="D1184">
        <v>9.202990934187696</v>
      </c>
      <c r="E1184">
        <v>59.91723715233846</v>
      </c>
      <c r="F1184">
        <v>2159.10004819573</v>
      </c>
      <c r="G1184">
        <v>0.7936324228607907</v>
      </c>
    </row>
    <row r="1185" spans="1:7">
      <c r="A1185" t="s">
        <v>137</v>
      </c>
      <c r="B1185">
        <v>3</v>
      </c>
      <c r="C1185">
        <v>11.41912518331105</v>
      </c>
      <c r="D1185">
        <v>9.213004850395491</v>
      </c>
      <c r="E1185">
        <v>60.03343508756444</v>
      </c>
      <c r="F1185">
        <v>2161.449398219162</v>
      </c>
      <c r="G1185">
        <v>0.7934547473956205</v>
      </c>
    </row>
    <row r="1186" spans="1:7">
      <c r="A1186" t="s">
        <v>137</v>
      </c>
      <c r="B1186">
        <v>3</v>
      </c>
      <c r="C1186">
        <v>11.43174726040395</v>
      </c>
      <c r="D1186">
        <v>9.223018766603287</v>
      </c>
      <c r="E1186">
        <v>60.14978555039014</v>
      </c>
      <c r="F1186">
        <v>2163.798748242595</v>
      </c>
      <c r="G1186">
        <v>0.7932755921131576</v>
      </c>
    </row>
    <row r="1187" spans="1:7">
      <c r="A1187" t="s">
        <v>137</v>
      </c>
      <c r="B1187">
        <v>3</v>
      </c>
      <c r="C1187">
        <v>11.44437220019893</v>
      </c>
      <c r="D1187">
        <v>9.233032682811082</v>
      </c>
      <c r="E1187">
        <v>60.26628882678898</v>
      </c>
      <c r="F1187">
        <v>2166.148098266026</v>
      </c>
      <c r="G1187">
        <v>0.793094957013403</v>
      </c>
    </row>
    <row r="1188" spans="1:7">
      <c r="A1188" t="s">
        <v>137</v>
      </c>
      <c r="B1188">
        <v>3</v>
      </c>
      <c r="C1188">
        <v>11.45700002755949</v>
      </c>
      <c r="D1188">
        <v>9.243046599018877</v>
      </c>
      <c r="E1188">
        <v>60.38294520378455</v>
      </c>
      <c r="F1188">
        <v>2168.497448289459</v>
      </c>
      <c r="G1188">
        <v>0.7929128420963565</v>
      </c>
    </row>
    <row r="1189" spans="1:7">
      <c r="A1189" t="s">
        <v>137</v>
      </c>
      <c r="B1189">
        <v>3</v>
      </c>
      <c r="C1189">
        <v>11.46963076738233</v>
      </c>
      <c r="D1189">
        <v>9.253060515226673</v>
      </c>
      <c r="E1189">
        <v>60.49975496945473</v>
      </c>
      <c r="F1189">
        <v>2170.846798312891</v>
      </c>
      <c r="G1189">
        <v>0.7927292473620179</v>
      </c>
    </row>
    <row r="1190" spans="1:7">
      <c r="A1190" t="s">
        <v>137</v>
      </c>
      <c r="B1190">
        <v>3</v>
      </c>
      <c r="C1190">
        <v>11.4822644445977</v>
      </c>
      <c r="D1190">
        <v>9.263074431434468</v>
      </c>
      <c r="E1190">
        <v>60.61671841293582</v>
      </c>
      <c r="F1190">
        <v>2173.196148336323</v>
      </c>
      <c r="G1190">
        <v>0.7925441728103872</v>
      </c>
    </row>
    <row r="1191" spans="1:7">
      <c r="A1191" t="s">
        <v>137</v>
      </c>
      <c r="B1191">
        <v>3</v>
      </c>
      <c r="C1191">
        <v>11.4949010841697</v>
      </c>
      <c r="D1191">
        <v>9.273088347642263</v>
      </c>
      <c r="E1191">
        <v>60.7338358244269</v>
      </c>
      <c r="F1191">
        <v>2175.545498359755</v>
      </c>
      <c r="G1191">
        <v>0.7923576184414642</v>
      </c>
    </row>
    <row r="1192" spans="1:7">
      <c r="A1192" t="s">
        <v>137</v>
      </c>
      <c r="B1192">
        <v>3</v>
      </c>
      <c r="C1192">
        <v>11.50754071109662</v>
      </c>
      <c r="D1192">
        <v>9.28310226385006</v>
      </c>
      <c r="E1192">
        <v>60.85110749519396</v>
      </c>
      <c r="F1192">
        <v>2177.894848383187</v>
      </c>
      <c r="G1192">
        <v>0.79216958425525</v>
      </c>
    </row>
    <row r="1193" spans="1:7">
      <c r="A1193" t="s">
        <v>137</v>
      </c>
      <c r="B1193">
        <v>3</v>
      </c>
      <c r="C1193">
        <v>11.52018335041118</v>
      </c>
      <c r="D1193">
        <v>9.293116180057854</v>
      </c>
      <c r="E1193">
        <v>60.9685337175742</v>
      </c>
      <c r="F1193">
        <v>2180.244198406619</v>
      </c>
      <c r="G1193">
        <v>0.7919800702517438</v>
      </c>
    </row>
    <row r="1194" spans="1:7">
      <c r="A1194" t="s">
        <v>137</v>
      </c>
      <c r="B1194">
        <v>3</v>
      </c>
      <c r="C1194">
        <v>11.53282902718093</v>
      </c>
      <c r="D1194">
        <v>9.303130096265649</v>
      </c>
      <c r="E1194">
        <v>61.08611478498035</v>
      </c>
      <c r="F1194">
        <v>2182.593548430051</v>
      </c>
      <c r="G1194">
        <v>0.7917890764309448</v>
      </c>
    </row>
    <row r="1195" spans="1:7">
      <c r="A1195" t="s">
        <v>137</v>
      </c>
      <c r="B1195">
        <v>3</v>
      </c>
      <c r="C1195">
        <v>11.54547776650852</v>
      </c>
      <c r="D1195">
        <v>9.313144012473446</v>
      </c>
      <c r="E1195">
        <v>61.20385099190499</v>
      </c>
      <c r="F1195">
        <v>2184.942898453483</v>
      </c>
      <c r="G1195">
        <v>0.7915966027928546</v>
      </c>
    </row>
    <row r="1196" spans="1:7">
      <c r="A1196" t="s">
        <v>137</v>
      </c>
      <c r="B1196">
        <v>3</v>
      </c>
      <c r="C1196">
        <v>11.55812959353199</v>
      </c>
      <c r="D1196">
        <v>9.32315792868124</v>
      </c>
      <c r="E1196">
        <v>61.32174263392484</v>
      </c>
      <c r="F1196">
        <v>2187.292248476915</v>
      </c>
      <c r="G1196">
        <v>0.7914026493374718</v>
      </c>
    </row>
    <row r="1197" spans="1:7">
      <c r="A1197" t="s">
        <v>137</v>
      </c>
      <c r="B1197">
        <v>3</v>
      </c>
      <c r="C1197">
        <v>11.57078453342516</v>
      </c>
      <c r="D1197">
        <v>9.333171844889035</v>
      </c>
      <c r="E1197">
        <v>61.4397900077052</v>
      </c>
      <c r="F1197">
        <v>2189.641598500347</v>
      </c>
      <c r="G1197">
        <v>0.7912072160647975</v>
      </c>
    </row>
    <row r="1198" spans="1:7">
      <c r="A1198" t="s">
        <v>137</v>
      </c>
      <c r="B1198">
        <v>3</v>
      </c>
      <c r="C1198">
        <v>11.58344261139787</v>
      </c>
      <c r="D1198">
        <v>9.343185761096832</v>
      </c>
      <c r="E1198">
        <v>61.55799341100433</v>
      </c>
      <c r="F1198">
        <v>2191.990948523779</v>
      </c>
      <c r="G1198">
        <v>0.7910103029748312</v>
      </c>
    </row>
    <row r="1199" spans="1:7">
      <c r="A1199" t="s">
        <v>137</v>
      </c>
      <c r="B1199">
        <v>3</v>
      </c>
      <c r="C1199">
        <v>11.59610385269636</v>
      </c>
      <c r="D1199">
        <v>9.353199677304627</v>
      </c>
      <c r="E1199">
        <v>61.67635314267782</v>
      </c>
      <c r="F1199">
        <v>2194.340298547212</v>
      </c>
      <c r="G1199">
        <v>0.7908119100675728</v>
      </c>
    </row>
    <row r="1200" spans="1:7">
      <c r="A1200" t="s">
        <v>137</v>
      </c>
      <c r="B1200">
        <v>3</v>
      </c>
      <c r="C1200">
        <v>11.60876828260354</v>
      </c>
      <c r="D1200">
        <v>9.363213593512423</v>
      </c>
      <c r="E1200">
        <v>61.79486950268313</v>
      </c>
      <c r="F1200">
        <v>2196.689648570644</v>
      </c>
      <c r="G1200">
        <v>0.7906120373430222</v>
      </c>
    </row>
    <row r="1201" spans="1:7">
      <c r="A1201" t="s">
        <v>137</v>
      </c>
      <c r="B1201">
        <v>3</v>
      </c>
      <c r="C1201">
        <v>11.62143592643934</v>
      </c>
      <c r="D1201">
        <v>9.373227509720218</v>
      </c>
      <c r="E1201">
        <v>61.91354279208395</v>
      </c>
      <c r="F1201">
        <v>2199.038998594076</v>
      </c>
      <c r="G1201">
        <v>0.7904106848011797</v>
      </c>
    </row>
    <row r="1202" spans="1:7">
      <c r="A1202" t="s">
        <v>137</v>
      </c>
      <c r="B1202">
        <v>3</v>
      </c>
      <c r="C1202">
        <v>11.63410680956103</v>
      </c>
      <c r="D1202">
        <v>9.383241425928013</v>
      </c>
      <c r="E1202">
        <v>62.03237331305485</v>
      </c>
      <c r="F1202">
        <v>2201.388348617508</v>
      </c>
      <c r="G1202">
        <v>0.7902078524420453</v>
      </c>
    </row>
    <row r="1203" spans="1:7">
      <c r="A1203" t="s">
        <v>137</v>
      </c>
      <c r="B1203">
        <v>3</v>
      </c>
      <c r="C1203">
        <v>11.64678095736355</v>
      </c>
      <c r="D1203">
        <v>9.393255342135809</v>
      </c>
      <c r="E1203">
        <v>62.15136136888568</v>
      </c>
      <c r="F1203">
        <v>2203.73769864094</v>
      </c>
      <c r="G1203">
        <v>0.7900035402656188</v>
      </c>
    </row>
    <row r="1204" spans="1:7">
      <c r="A1204" t="s">
        <v>137</v>
      </c>
      <c r="B1204">
        <v>3</v>
      </c>
      <c r="C1204">
        <v>11.6594583952798</v>
      </c>
      <c r="D1204">
        <v>9.403269258343604</v>
      </c>
      <c r="E1204">
        <v>62.27050726398615</v>
      </c>
      <c r="F1204">
        <v>2206.087048664372</v>
      </c>
      <c r="G1204">
        <v>0.7897977482719009</v>
      </c>
    </row>
    <row r="1205" spans="1:7">
      <c r="A1205" t="s">
        <v>137</v>
      </c>
      <c r="B1205">
        <v>3</v>
      </c>
      <c r="C1205">
        <v>11.67213914878099</v>
      </c>
      <c r="D1205">
        <v>9.413283174551399</v>
      </c>
      <c r="E1205">
        <v>62.38981130389046</v>
      </c>
      <c r="F1205">
        <v>2208.436398687804</v>
      </c>
      <c r="G1205">
        <v>0.7895904764608896</v>
      </c>
    </row>
    <row r="1206" spans="1:7">
      <c r="A1206" t="s">
        <v>137</v>
      </c>
      <c r="B1206">
        <v>3</v>
      </c>
      <c r="C1206">
        <v>11.68482324337699</v>
      </c>
      <c r="D1206">
        <v>9.423297090759196</v>
      </c>
      <c r="E1206">
        <v>62.50927379526192</v>
      </c>
      <c r="F1206">
        <v>2210.785748711236</v>
      </c>
      <c r="G1206">
        <v>0.7893817248325876</v>
      </c>
    </row>
    <row r="1207" spans="1:7">
      <c r="A1207" t="s">
        <v>137</v>
      </c>
      <c r="B1207">
        <v>3</v>
      </c>
      <c r="C1207">
        <v>11.6975107046166</v>
      </c>
      <c r="D1207">
        <v>9.43331100696699</v>
      </c>
      <c r="E1207">
        <v>62.62889504589744</v>
      </c>
      <c r="F1207">
        <v>2213.135098734668</v>
      </c>
      <c r="G1207">
        <v>0.7891714933869933</v>
      </c>
    </row>
    <row r="1208" spans="1:7">
      <c r="A1208" t="s">
        <v>137</v>
      </c>
      <c r="B1208">
        <v>3</v>
      </c>
      <c r="C1208">
        <v>11.71020155808792</v>
      </c>
      <c r="D1208">
        <v>9.443324923174785</v>
      </c>
      <c r="E1208">
        <v>62.7486753647324</v>
      </c>
      <c r="F1208">
        <v>2215.4844487581</v>
      </c>
      <c r="G1208">
        <v>0.7889597821241069</v>
      </c>
    </row>
    <row r="1209" spans="1:7">
      <c r="A1209" t="s">
        <v>137</v>
      </c>
      <c r="B1209">
        <v>3</v>
      </c>
      <c r="C1209">
        <v>11.7228958294187</v>
      </c>
      <c r="D1209">
        <v>9.453338839382582</v>
      </c>
      <c r="E1209">
        <v>62.86861506184521</v>
      </c>
      <c r="F1209">
        <v>2217.833798781533</v>
      </c>
      <c r="G1209">
        <v>0.7887465910439285</v>
      </c>
    </row>
    <row r="1210" spans="1:7">
      <c r="A1210" t="s">
        <v>137</v>
      </c>
      <c r="B1210">
        <v>3</v>
      </c>
      <c r="C1210">
        <v>11.7355935442766</v>
      </c>
      <c r="D1210">
        <v>9.463352755590376</v>
      </c>
      <c r="E1210">
        <v>62.98871444846202</v>
      </c>
      <c r="F1210">
        <v>2220.183148804965</v>
      </c>
      <c r="G1210">
        <v>0.7885319201464582</v>
      </c>
    </row>
    <row r="1211" spans="1:7">
      <c r="A1211" t="s">
        <v>137</v>
      </c>
      <c r="B1211">
        <v>3</v>
      </c>
      <c r="C1211">
        <v>11.74829472836957</v>
      </c>
      <c r="D1211">
        <v>9.473366671798171</v>
      </c>
      <c r="E1211">
        <v>63.10897383696155</v>
      </c>
      <c r="F1211">
        <v>2222.532498828396</v>
      </c>
      <c r="G1211">
        <v>0.7883157694316959</v>
      </c>
    </row>
    <row r="1212" spans="1:7">
      <c r="A1212" t="s">
        <v>137</v>
      </c>
      <c r="B1212">
        <v>3</v>
      </c>
      <c r="C1212">
        <v>11.76099940744621</v>
      </c>
      <c r="D1212">
        <v>9.483380588005968</v>
      </c>
      <c r="E1212">
        <v>63.22939354087982</v>
      </c>
      <c r="F1212">
        <v>2224.881848851829</v>
      </c>
      <c r="G1212">
        <v>0.7880981388996418</v>
      </c>
    </row>
    <row r="1213" spans="1:7">
      <c r="A1213" t="s">
        <v>137</v>
      </c>
      <c r="B1213">
        <v>3</v>
      </c>
      <c r="C1213">
        <v>11.77370760729604</v>
      </c>
      <c r="D1213">
        <v>9.493394504213763</v>
      </c>
      <c r="E1213">
        <v>63.34997387491491</v>
      </c>
      <c r="F1213">
        <v>2227.23119887526</v>
      </c>
      <c r="G1213">
        <v>0.787879028550295</v>
      </c>
    </row>
    <row r="1214" spans="1:7">
      <c r="A1214" t="s">
        <v>137</v>
      </c>
      <c r="B1214">
        <v>3</v>
      </c>
      <c r="C1214">
        <v>11.78641935374988</v>
      </c>
      <c r="D1214">
        <v>9.503408420421557</v>
      </c>
      <c r="E1214">
        <v>63.47071515493187</v>
      </c>
      <c r="F1214">
        <v>2229.580548898693</v>
      </c>
      <c r="G1214">
        <v>0.7876584383836572</v>
      </c>
    </row>
    <row r="1215" spans="1:7">
      <c r="A1215" t="s">
        <v>137</v>
      </c>
      <c r="B1215">
        <v>3</v>
      </c>
      <c r="C1215">
        <v>11.79913467268018</v>
      </c>
      <c r="D1215">
        <v>9.513422336629354</v>
      </c>
      <c r="E1215">
        <v>63.59161769796757</v>
      </c>
      <c r="F1215">
        <v>2231.929898922125</v>
      </c>
      <c r="G1215">
        <v>0.7874363683997265</v>
      </c>
    </row>
    <row r="1216" spans="1:7">
      <c r="A1216" t="s">
        <v>137</v>
      </c>
      <c r="B1216">
        <v>3</v>
      </c>
      <c r="C1216">
        <v>11.81185359000133</v>
      </c>
      <c r="D1216">
        <v>9.523436252837149</v>
      </c>
      <c r="E1216">
        <v>63.71268182223547</v>
      </c>
      <c r="F1216">
        <v>2234.279248945557</v>
      </c>
      <c r="G1216">
        <v>0.7872128185985043</v>
      </c>
    </row>
    <row r="1217" spans="1:7">
      <c r="A1217" t="s">
        <v>137</v>
      </c>
      <c r="B1217">
        <v>3</v>
      </c>
      <c r="C1217">
        <v>11.82457613167005</v>
      </c>
      <c r="D1217">
        <v>9.533450169044944</v>
      </c>
      <c r="E1217">
        <v>63.8339078471307</v>
      </c>
      <c r="F1217">
        <v>2236.628598968989</v>
      </c>
      <c r="G1217">
        <v>0.7869877889799899</v>
      </c>
    </row>
    <row r="1218" spans="1:7">
      <c r="A1218" t="s">
        <v>137</v>
      </c>
      <c r="B1218">
        <v>3</v>
      </c>
      <c r="C1218">
        <v>11.8373023236857</v>
      </c>
      <c r="D1218">
        <v>9.54346408525274</v>
      </c>
      <c r="E1218">
        <v>63.95529609323496</v>
      </c>
      <c r="F1218">
        <v>2238.977948992421</v>
      </c>
      <c r="G1218">
        <v>0.7867612795441836</v>
      </c>
    </row>
    <row r="1219" spans="1:7">
      <c r="A1219" t="s">
        <v>137</v>
      </c>
      <c r="B1219">
        <v>3</v>
      </c>
      <c r="C1219">
        <v>11.85003219209061</v>
      </c>
      <c r="D1219">
        <v>9.553478001460535</v>
      </c>
      <c r="E1219">
        <v>64.07684688232139</v>
      </c>
      <c r="F1219">
        <v>2241.327299015853</v>
      </c>
      <c r="G1219">
        <v>0.7865332902910855</v>
      </c>
    </row>
    <row r="1220" spans="1:7">
      <c r="A1220" t="s">
        <v>137</v>
      </c>
      <c r="B1220">
        <v>3</v>
      </c>
      <c r="C1220">
        <v>11.86276576297045</v>
      </c>
      <c r="D1220">
        <v>9.56349191766833</v>
      </c>
      <c r="E1220">
        <v>64.1985605373597</v>
      </c>
      <c r="F1220">
        <v>2243.676649039285</v>
      </c>
      <c r="G1220">
        <v>0.7863038212206954</v>
      </c>
    </row>
    <row r="1221" spans="1:7">
      <c r="A1221" t="s">
        <v>137</v>
      </c>
      <c r="B1221">
        <v>3</v>
      </c>
      <c r="C1221">
        <v>11.87550306245459</v>
      </c>
      <c r="D1221">
        <v>9.573505833876126</v>
      </c>
      <c r="E1221">
        <v>64.32043738252119</v>
      </c>
      <c r="F1221">
        <v>2246.025999062717</v>
      </c>
      <c r="G1221">
        <v>0.7860728723330132</v>
      </c>
    </row>
    <row r="1222" spans="1:7">
      <c r="A1222" t="s">
        <v>137</v>
      </c>
      <c r="B1222">
        <v>3</v>
      </c>
      <c r="C1222">
        <v>11.88824411671636</v>
      </c>
      <c r="D1222">
        <v>9.583519750083921</v>
      </c>
      <c r="E1222">
        <v>64.44247774318374</v>
      </c>
      <c r="F1222">
        <v>2248.375349086149</v>
      </c>
      <c r="G1222">
        <v>0.7858404436280391</v>
      </c>
    </row>
    <row r="1223" spans="1:7">
      <c r="A1223" t="s">
        <v>137</v>
      </c>
      <c r="B1223">
        <v>3</v>
      </c>
      <c r="C1223">
        <v>11.90098895197353</v>
      </c>
      <c r="D1223">
        <v>9.593533666291716</v>
      </c>
      <c r="E1223">
        <v>64.56468194593698</v>
      </c>
      <c r="F1223">
        <v>2250.724699109581</v>
      </c>
      <c r="G1223">
        <v>0.7856065351057727</v>
      </c>
    </row>
    <row r="1224" spans="1:7">
      <c r="A1224" t="s">
        <v>137</v>
      </c>
      <c r="B1224">
        <v>3</v>
      </c>
      <c r="C1224">
        <v>11.91373759448853</v>
      </c>
      <c r="D1224">
        <v>9.603547582499512</v>
      </c>
      <c r="E1224">
        <v>64.68705031858741</v>
      </c>
      <c r="F1224">
        <v>2253.074049133013</v>
      </c>
      <c r="G1224">
        <v>0.7853711467662144</v>
      </c>
    </row>
    <row r="1225" spans="1:7">
      <c r="A1225" t="s">
        <v>137</v>
      </c>
      <c r="B1225">
        <v>3</v>
      </c>
      <c r="C1225">
        <v>11.92649007056889</v>
      </c>
      <c r="D1225">
        <v>9.613561498707307</v>
      </c>
      <c r="E1225">
        <v>64.80958319016348</v>
      </c>
      <c r="F1225">
        <v>2255.423399156446</v>
      </c>
      <c r="G1225">
        <v>0.7851342786093642</v>
      </c>
    </row>
    <row r="1226" spans="1:7">
      <c r="A1226" t="s">
        <v>137</v>
      </c>
      <c r="B1226">
        <v>3</v>
      </c>
      <c r="C1226">
        <v>11.93924640656754</v>
      </c>
      <c r="D1226">
        <v>9.623575414915102</v>
      </c>
      <c r="E1226">
        <v>64.93228089092086</v>
      </c>
      <c r="F1226">
        <v>2257.772749179878</v>
      </c>
      <c r="G1226">
        <v>0.7848959306352219</v>
      </c>
    </row>
    <row r="1227" spans="1:7">
      <c r="A1227" t="s">
        <v>137</v>
      </c>
      <c r="B1227">
        <v>3</v>
      </c>
      <c r="C1227">
        <v>11.95200662888321</v>
      </c>
      <c r="D1227">
        <v>9.633589331122899</v>
      </c>
      <c r="E1227">
        <v>65.05514375234769</v>
      </c>
      <c r="F1227">
        <v>2260.12209920331</v>
      </c>
      <c r="G1227">
        <v>0.7846561028437878</v>
      </c>
    </row>
    <row r="1228" spans="1:7">
      <c r="A1228" t="s">
        <v>137</v>
      </c>
      <c r="B1228">
        <v>3</v>
      </c>
      <c r="C1228">
        <v>11.96477076396072</v>
      </c>
      <c r="D1228">
        <v>9.643603247330693</v>
      </c>
      <c r="E1228">
        <v>65.17817210716966</v>
      </c>
      <c r="F1228">
        <v>2262.471449226742</v>
      </c>
      <c r="G1228">
        <v>0.7844147952350615</v>
      </c>
    </row>
    <row r="1229" spans="1:7">
      <c r="A1229" t="s">
        <v>137</v>
      </c>
      <c r="B1229">
        <v>3</v>
      </c>
      <c r="C1229">
        <v>11.97753883829141</v>
      </c>
      <c r="D1229">
        <v>9.653617163538488</v>
      </c>
      <c r="E1229">
        <v>65.30136628935549</v>
      </c>
      <c r="F1229">
        <v>2264.820799250174</v>
      </c>
      <c r="G1229">
        <v>0.7841720078090433</v>
      </c>
    </row>
    <row r="1230" spans="1:7">
      <c r="A1230" t="s">
        <v>137</v>
      </c>
      <c r="B1230">
        <v>3</v>
      </c>
      <c r="C1230">
        <v>11.99031087841343</v>
      </c>
      <c r="D1230">
        <v>9.663631079746285</v>
      </c>
      <c r="E1230">
        <v>65.42472663412214</v>
      </c>
      <c r="F1230">
        <v>2267.170149273606</v>
      </c>
      <c r="G1230">
        <v>0.7839277405657332</v>
      </c>
    </row>
    <row r="1231" spans="1:7">
      <c r="A1231" t="s">
        <v>137</v>
      </c>
      <c r="B1231">
        <v>3</v>
      </c>
      <c r="C1231">
        <v>12.00308691091214</v>
      </c>
      <c r="D1231">
        <v>9.67364499595408</v>
      </c>
      <c r="E1231">
        <v>65.54825347794011</v>
      </c>
      <c r="F1231">
        <v>2269.519499297038</v>
      </c>
      <c r="G1231">
        <v>0.7836819935051311</v>
      </c>
    </row>
    <row r="1232" spans="1:7">
      <c r="A1232" t="s">
        <v>137</v>
      </c>
      <c r="B1232">
        <v>3</v>
      </c>
      <c r="C1232">
        <v>12.01586696242046</v>
      </c>
      <c r="D1232">
        <v>9.683658912161874</v>
      </c>
      <c r="E1232">
        <v>65.67194715853893</v>
      </c>
      <c r="F1232">
        <v>2271.86884932047</v>
      </c>
      <c r="G1232">
        <v>0.783434766627237</v>
      </c>
    </row>
    <row r="1233" spans="1:7">
      <c r="A1233" t="s">
        <v>137</v>
      </c>
      <c r="B1233">
        <v>3</v>
      </c>
      <c r="C1233">
        <v>12.02865105961922</v>
      </c>
      <c r="D1233">
        <v>9.693672828369671</v>
      </c>
      <c r="E1233">
        <v>65.79580801491252</v>
      </c>
      <c r="F1233">
        <v>2274.218199343902</v>
      </c>
      <c r="G1233">
        <v>0.7831860599320513</v>
      </c>
    </row>
    <row r="1234" spans="1:7">
      <c r="A1234" t="s">
        <v>137</v>
      </c>
      <c r="B1234">
        <v>3</v>
      </c>
      <c r="C1234">
        <v>12.04143922923756</v>
      </c>
      <c r="D1234">
        <v>9.703686744577466</v>
      </c>
      <c r="E1234">
        <v>65.91983638732457</v>
      </c>
      <c r="F1234">
        <v>2276.567549367334</v>
      </c>
      <c r="G1234">
        <v>0.7829358734195728</v>
      </c>
    </row>
    <row r="1235" spans="1:7">
      <c r="A1235" t="s">
        <v>137</v>
      </c>
      <c r="B1235">
        <v>3</v>
      </c>
      <c r="C1235">
        <v>12.05423149805323</v>
      </c>
      <c r="D1235">
        <v>9.713700660785261</v>
      </c>
      <c r="E1235">
        <v>66.0440326173141</v>
      </c>
      <c r="F1235">
        <v>2278.916899390766</v>
      </c>
      <c r="G1235">
        <v>0.7826842070898027</v>
      </c>
    </row>
    <row r="1236" spans="1:7">
      <c r="A1236" t="s">
        <v>137</v>
      </c>
      <c r="B1236">
        <v>3</v>
      </c>
      <c r="C1236">
        <v>12.06702789289302</v>
      </c>
      <c r="D1236">
        <v>9.723714576993057</v>
      </c>
      <c r="E1236">
        <v>66.16839704770096</v>
      </c>
      <c r="F1236">
        <v>2281.266249414199</v>
      </c>
      <c r="G1236">
        <v>0.7824310609427406</v>
      </c>
    </row>
    <row r="1237" spans="1:7">
      <c r="A1237" t="s">
        <v>137</v>
      </c>
      <c r="B1237">
        <v>3</v>
      </c>
      <c r="C1237">
        <v>12.0798284406331</v>
      </c>
      <c r="D1237">
        <v>9.733728493200852</v>
      </c>
      <c r="E1237">
        <v>66.29293002259125</v>
      </c>
      <c r="F1237">
        <v>2283.61559943763</v>
      </c>
      <c r="G1237">
        <v>0.7821764349783867</v>
      </c>
    </row>
    <row r="1238" spans="1:7">
      <c r="A1238" t="s">
        <v>137</v>
      </c>
      <c r="B1238">
        <v>3</v>
      </c>
      <c r="C1238">
        <v>12.09263316819938</v>
      </c>
      <c r="D1238">
        <v>9.743742409408647</v>
      </c>
      <c r="E1238">
        <v>66.41763188738307</v>
      </c>
      <c r="F1238">
        <v>2285.964949461063</v>
      </c>
      <c r="G1238">
        <v>0.7819203291967407</v>
      </c>
    </row>
    <row r="1239" spans="1:7">
      <c r="A1239" t="s">
        <v>137</v>
      </c>
      <c r="B1239">
        <v>3</v>
      </c>
      <c r="C1239">
        <v>12.10544210256788</v>
      </c>
      <c r="D1239">
        <v>9.753756325616443</v>
      </c>
      <c r="E1239">
        <v>66.54250298877203</v>
      </c>
      <c r="F1239">
        <v>2288.314299484495</v>
      </c>
      <c r="G1239">
        <v>0.7816627435978022</v>
      </c>
    </row>
    <row r="1240" spans="1:7">
      <c r="A1240" t="s">
        <v>137</v>
      </c>
      <c r="B1240">
        <v>3</v>
      </c>
      <c r="C1240">
        <v>12.11825527076515</v>
      </c>
      <c r="D1240">
        <v>9.763770241824238</v>
      </c>
      <c r="E1240">
        <v>66.66754367475683</v>
      </c>
      <c r="F1240">
        <v>2290.663649507927</v>
      </c>
      <c r="G1240">
        <v>0.7814036781815723</v>
      </c>
    </row>
    <row r="1241" spans="1:7">
      <c r="A1241" t="s">
        <v>137</v>
      </c>
      <c r="B1241">
        <v>3</v>
      </c>
      <c r="C1241">
        <v>12.13107269986858</v>
      </c>
      <c r="D1241">
        <v>9.773784158032033</v>
      </c>
      <c r="E1241">
        <v>66.79275429464506</v>
      </c>
      <c r="F1241">
        <v>2293.012999531359</v>
      </c>
      <c r="G1241">
        <v>0.7811431329480508</v>
      </c>
    </row>
    <row r="1242" spans="1:7">
      <c r="A1242" t="s">
        <v>137</v>
      </c>
      <c r="B1242">
        <v>3</v>
      </c>
      <c r="C1242">
        <v>12.14389441700679</v>
      </c>
      <c r="D1242">
        <v>9.783798074239829</v>
      </c>
      <c r="E1242">
        <v>66.91813519905888</v>
      </c>
      <c r="F1242">
        <v>2295.362349554791</v>
      </c>
      <c r="G1242">
        <v>0.7808811078972365</v>
      </c>
    </row>
    <row r="1243" spans="1:7">
      <c r="A1243" t="s">
        <v>137</v>
      </c>
      <c r="B1243">
        <v>3</v>
      </c>
      <c r="C1243">
        <v>12.15672044936006</v>
      </c>
      <c r="D1243">
        <v>9.793811990447624</v>
      </c>
      <c r="E1243">
        <v>67.04368673994063</v>
      </c>
      <c r="F1243">
        <v>2297.711699578223</v>
      </c>
      <c r="G1243">
        <v>0.7806176030291305</v>
      </c>
    </row>
    <row r="1244" spans="1:7">
      <c r="A1244" t="s">
        <v>137</v>
      </c>
      <c r="B1244">
        <v>3</v>
      </c>
      <c r="C1244">
        <v>12.16955082416062</v>
      </c>
      <c r="D1244">
        <v>9.803825906655419</v>
      </c>
      <c r="E1244">
        <v>67.16940927055877</v>
      </c>
      <c r="F1244">
        <v>2300.061049601655</v>
      </c>
      <c r="G1244">
        <v>0.7803526183437326</v>
      </c>
    </row>
    <row r="1245" spans="1:7">
      <c r="A1245" t="s">
        <v>137</v>
      </c>
      <c r="B1245">
        <v>3</v>
      </c>
      <c r="C1245">
        <v>12.18238556869312</v>
      </c>
      <c r="D1245">
        <v>9.813839822863216</v>
      </c>
      <c r="E1245">
        <v>67.29530314551369</v>
      </c>
      <c r="F1245">
        <v>2302.410399625087</v>
      </c>
      <c r="G1245">
        <v>0.7800861538410424</v>
      </c>
    </row>
    <row r="1246" spans="1:7">
      <c r="A1246" t="s">
        <v>137</v>
      </c>
      <c r="B1246">
        <v>3</v>
      </c>
      <c r="C1246">
        <v>12.19522471029495</v>
      </c>
      <c r="D1246">
        <v>9.82385373907101</v>
      </c>
      <c r="E1246">
        <v>67.42136872074335</v>
      </c>
      <c r="F1246">
        <v>2304.75974964852</v>
      </c>
      <c r="G1246">
        <v>0.7798182095210606</v>
      </c>
    </row>
    <row r="1247" spans="1:7">
      <c r="A1247" t="s">
        <v>137</v>
      </c>
      <c r="B1247">
        <v>3</v>
      </c>
      <c r="C1247">
        <v>12.20806827635663</v>
      </c>
      <c r="D1247">
        <v>9.833867655278805</v>
      </c>
      <c r="E1247">
        <v>67.54760635352943</v>
      </c>
      <c r="F1247">
        <v>2307.109099671951</v>
      </c>
      <c r="G1247">
        <v>0.7795487853837867</v>
      </c>
    </row>
    <row r="1248" spans="1:7">
      <c r="A1248" t="s">
        <v>137</v>
      </c>
      <c r="B1248">
        <v>3</v>
      </c>
      <c r="C1248">
        <v>12.22091629432223</v>
      </c>
      <c r="D1248">
        <v>9.843881571486602</v>
      </c>
      <c r="E1248">
        <v>67.67401640250311</v>
      </c>
      <c r="F1248">
        <v>2309.458449695383</v>
      </c>
      <c r="G1248">
        <v>0.7792778814292206</v>
      </c>
    </row>
    <row r="1249" spans="1:7">
      <c r="A1249" t="s">
        <v>137</v>
      </c>
      <c r="B1249">
        <v>3</v>
      </c>
      <c r="C1249">
        <v>12.23376879168973</v>
      </c>
      <c r="D1249">
        <v>9.853895487694396</v>
      </c>
      <c r="E1249">
        <v>67.80059922765098</v>
      </c>
      <c r="F1249">
        <v>2311.807799718816</v>
      </c>
      <c r="G1249">
        <v>0.7790054976573629</v>
      </c>
    </row>
    <row r="1250" spans="1:7">
      <c r="A1250" t="s">
        <v>137</v>
      </c>
      <c r="B1250">
        <v>3</v>
      </c>
      <c r="C1250">
        <v>12.2466257960114</v>
      </c>
      <c r="D1250">
        <v>9.863909403902191</v>
      </c>
      <c r="E1250">
        <v>67.92735519032112</v>
      </c>
      <c r="F1250">
        <v>2314.157149742247</v>
      </c>
      <c r="G1250">
        <v>0.7787316340682127</v>
      </c>
    </row>
    <row r="1251" spans="1:7">
      <c r="A1251" t="s">
        <v>137</v>
      </c>
      <c r="B1251">
        <v>3</v>
      </c>
      <c r="C1251">
        <v>12.25948733489422</v>
      </c>
      <c r="D1251">
        <v>9.873923320109988</v>
      </c>
      <c r="E1251">
        <v>68.05428465322916</v>
      </c>
      <c r="F1251">
        <v>2316.50649976568</v>
      </c>
      <c r="G1251">
        <v>0.7784562906617711</v>
      </c>
    </row>
    <row r="1252" spans="1:7">
      <c r="A1252" t="s">
        <v>137</v>
      </c>
      <c r="B1252">
        <v>3</v>
      </c>
      <c r="C1252">
        <v>12.27235343600025</v>
      </c>
      <c r="D1252">
        <v>9.883937236317783</v>
      </c>
      <c r="E1252">
        <v>68.18138798046415</v>
      </c>
      <c r="F1252">
        <v>2318.855849789112</v>
      </c>
      <c r="G1252">
        <v>0.7781794674380369</v>
      </c>
    </row>
    <row r="1253" spans="1:7">
      <c r="A1253" t="s">
        <v>137</v>
      </c>
      <c r="B1253">
        <v>3</v>
      </c>
      <c r="C1253">
        <v>12.28522412704702</v>
      </c>
      <c r="D1253">
        <v>9.893951152525577</v>
      </c>
      <c r="E1253">
        <v>68.30866553749489</v>
      </c>
      <c r="F1253">
        <v>2321.205199812543</v>
      </c>
      <c r="G1253">
        <v>0.7779011643970114</v>
      </c>
    </row>
    <row r="1254" spans="1:7">
      <c r="A1254" t="s">
        <v>137</v>
      </c>
      <c r="B1254">
        <v>3</v>
      </c>
      <c r="C1254">
        <v>12.29809943580795</v>
      </c>
      <c r="D1254">
        <v>9.903965068733374</v>
      </c>
      <c r="E1254">
        <v>68.43611769117595</v>
      </c>
      <c r="F1254">
        <v>2323.554549835976</v>
      </c>
      <c r="G1254">
        <v>0.7776213815386932</v>
      </c>
    </row>
    <row r="1255" spans="1:7">
      <c r="A1255" t="s">
        <v>137</v>
      </c>
      <c r="B1255">
        <v>3</v>
      </c>
      <c r="C1255">
        <v>12.31097939011273</v>
      </c>
      <c r="D1255">
        <v>9.913978984941169</v>
      </c>
      <c r="E1255">
        <v>68.56374480975379</v>
      </c>
      <c r="F1255">
        <v>2325.903899859408</v>
      </c>
      <c r="G1255">
        <v>0.7773401188630834</v>
      </c>
    </row>
    <row r="1256" spans="1:7">
      <c r="A1256" t="s">
        <v>137</v>
      </c>
      <c r="B1256">
        <v>3</v>
      </c>
      <c r="C1256">
        <v>12.3238640178477</v>
      </c>
      <c r="D1256">
        <v>9.923992901148964</v>
      </c>
      <c r="E1256">
        <v>68.6915472628731</v>
      </c>
      <c r="F1256">
        <v>2328.25324988284</v>
      </c>
      <c r="G1256">
        <v>0.7770573763701814</v>
      </c>
    </row>
    <row r="1257" spans="1:7">
      <c r="A1257" t="s">
        <v>137</v>
      </c>
      <c r="B1257">
        <v>3</v>
      </c>
      <c r="C1257">
        <v>12.33675334695629</v>
      </c>
      <c r="D1257">
        <v>9.93400681735676</v>
      </c>
      <c r="E1257">
        <v>68.81952542158301</v>
      </c>
      <c r="F1257">
        <v>2330.602599906272</v>
      </c>
      <c r="G1257">
        <v>0.7767731540599879</v>
      </c>
    </row>
    <row r="1258" spans="1:7">
      <c r="A1258" t="s">
        <v>137</v>
      </c>
      <c r="B1258">
        <v>3</v>
      </c>
      <c r="C1258">
        <v>12.34964740543941</v>
      </c>
      <c r="D1258">
        <v>9.944020733564555</v>
      </c>
      <c r="E1258">
        <v>68.94767965834328</v>
      </c>
      <c r="F1258">
        <v>2332.951949929704</v>
      </c>
      <c r="G1258">
        <v>0.7764874519325022</v>
      </c>
    </row>
    <row r="1259" spans="1:7">
      <c r="A1259" t="s">
        <v>137</v>
      </c>
      <c r="B1259">
        <v>3</v>
      </c>
      <c r="C1259">
        <v>12.36254622135583</v>
      </c>
      <c r="D1259">
        <v>9.95403464977235</v>
      </c>
      <c r="E1259">
        <v>69.07601034703075</v>
      </c>
      <c r="F1259">
        <v>2335.301299953136</v>
      </c>
      <c r="G1259">
        <v>0.776200269987724</v>
      </c>
    </row>
    <row r="1260" spans="1:7">
      <c r="A1260" t="s">
        <v>137</v>
      </c>
      <c r="B1260">
        <v>3</v>
      </c>
      <c r="C1260">
        <v>12.37544982282261</v>
      </c>
      <c r="D1260">
        <v>9.964048565980146</v>
      </c>
      <c r="E1260">
        <v>69.20451786294566</v>
      </c>
      <c r="F1260">
        <v>2337.650649976569</v>
      </c>
      <c r="G1260">
        <v>0.7759116082256544</v>
      </c>
    </row>
    <row r="1261" spans="1:7">
      <c r="A1261" t="s">
        <v>137</v>
      </c>
      <c r="B1261">
        <v>3</v>
      </c>
      <c r="C1261">
        <v>12.38835823801551</v>
      </c>
      <c r="D1261">
        <v>9.974062482187941</v>
      </c>
      <c r="E1261">
        <v>69.333202582818</v>
      </c>
      <c r="F1261">
        <v>2340</v>
      </c>
      <c r="G1261">
        <v>0.7756214666462921</v>
      </c>
    </row>
    <row r="1262" spans="1:7">
      <c r="A1262" t="s">
        <v>138</v>
      </c>
      <c r="B1262">
        <v>3</v>
      </c>
      <c r="C1262">
        <v>12.42169157134885</v>
      </c>
      <c r="D1262">
        <v>9.968190511415321</v>
      </c>
      <c r="E1262">
        <v>69.66557346211697</v>
      </c>
      <c r="F1262">
        <v>0</v>
      </c>
      <c r="G1262">
        <v>-0.1761379162251807</v>
      </c>
    </row>
    <row r="1263" spans="1:7">
      <c r="A1263" t="s">
        <v>138</v>
      </c>
      <c r="B1263">
        <v>3</v>
      </c>
      <c r="C1263">
        <v>12.45502490468218</v>
      </c>
      <c r="D1263">
        <v>9.962319954048679</v>
      </c>
      <c r="E1263">
        <v>69.99774863261688</v>
      </c>
      <c r="F1263">
        <v>0</v>
      </c>
      <c r="G1263">
        <v>-0.1760955316348377</v>
      </c>
    </row>
    <row r="1264" spans="1:7">
      <c r="A1264" t="s">
        <v>138</v>
      </c>
      <c r="B1264">
        <v>3</v>
      </c>
      <c r="C1264">
        <v>12.48835823801551</v>
      </c>
      <c r="D1264">
        <v>9.956450808915708</v>
      </c>
      <c r="E1264">
        <v>70.32972814141169</v>
      </c>
      <c r="F1264">
        <v>0</v>
      </c>
      <c r="G1264">
        <v>-0.1760531822004828</v>
      </c>
    </row>
    <row r="1265" spans="1:7">
      <c r="A1265" t="s">
        <v>138</v>
      </c>
      <c r="B1265">
        <v>3</v>
      </c>
      <c r="C1265">
        <v>12.52169157134885</v>
      </c>
      <c r="D1265">
        <v>9.950583074844985</v>
      </c>
      <c r="E1265">
        <v>70.66151203555638</v>
      </c>
      <c r="F1265">
        <v>0</v>
      </c>
      <c r="G1265">
        <v>-0.1760108678956555</v>
      </c>
    </row>
    <row r="1266" spans="1:7">
      <c r="A1266" t="s">
        <v>138</v>
      </c>
      <c r="B1266">
        <v>3</v>
      </c>
      <c r="C1266">
        <v>12.55502490468218</v>
      </c>
      <c r="D1266">
        <v>9.944716750665965</v>
      </c>
      <c r="E1266">
        <v>70.99310036206683</v>
      </c>
      <c r="F1266">
        <v>0</v>
      </c>
      <c r="G1266">
        <v>-0.175968588693926</v>
      </c>
    </row>
    <row r="1267" spans="1:7">
      <c r="A1267" t="s">
        <v>138</v>
      </c>
      <c r="B1267">
        <v>3</v>
      </c>
      <c r="C1267">
        <v>12.58835823801551</v>
      </c>
      <c r="D1267">
        <v>9.938851835208983</v>
      </c>
      <c r="E1267">
        <v>71.32449316791991</v>
      </c>
      <c r="F1267">
        <v>0</v>
      </c>
      <c r="G1267">
        <v>-0.1759263445688951</v>
      </c>
    </row>
    <row r="1268" spans="1:7">
      <c r="A1268" t="s">
        <v>138</v>
      </c>
      <c r="B1268">
        <v>3</v>
      </c>
      <c r="C1268">
        <v>12.62169157134885</v>
      </c>
      <c r="D1268">
        <v>9.932988327305255</v>
      </c>
      <c r="E1268">
        <v>71.65569050005357</v>
      </c>
      <c r="F1268">
        <v>0</v>
      </c>
      <c r="G1268">
        <v>-0.1758841354941939</v>
      </c>
    </row>
    <row r="1269" spans="1:7">
      <c r="A1269" t="s">
        <v>138</v>
      </c>
      <c r="B1269">
        <v>3</v>
      </c>
      <c r="C1269">
        <v>12.65502490468218</v>
      </c>
      <c r="D1269">
        <v>9.927126225786878</v>
      </c>
      <c r="E1269">
        <v>71.98669240536677</v>
      </c>
      <c r="F1269">
        <v>0</v>
      </c>
      <c r="G1269">
        <v>-0.1758419614434844</v>
      </c>
    </row>
    <row r="1270" spans="1:7">
      <c r="A1270" t="s">
        <v>138</v>
      </c>
      <c r="B1270">
        <v>3</v>
      </c>
      <c r="C1270">
        <v>12.68835823801551</v>
      </c>
      <c r="D1270">
        <v>9.921265529486826</v>
      </c>
      <c r="E1270">
        <v>72.31749893071957</v>
      </c>
      <c r="F1270">
        <v>0</v>
      </c>
      <c r="G1270">
        <v>-0.1757998223904585</v>
      </c>
    </row>
    <row r="1271" spans="1:7">
      <c r="A1271" t="s">
        <v>138</v>
      </c>
      <c r="B1271">
        <v>3</v>
      </c>
      <c r="C1271">
        <v>12.72169157134885</v>
      </c>
      <c r="D1271">
        <v>9.915406237238946</v>
      </c>
      <c r="E1271">
        <v>72.64811012293313</v>
      </c>
      <c r="F1271">
        <v>0</v>
      </c>
      <c r="G1271">
        <v>-0.175757718308839</v>
      </c>
    </row>
    <row r="1272" spans="1:7">
      <c r="A1272" t="s">
        <v>138</v>
      </c>
      <c r="B1272">
        <v>3</v>
      </c>
      <c r="C1272">
        <v>12.75502490468218</v>
      </c>
      <c r="D1272">
        <v>9.909548347877957</v>
      </c>
      <c r="E1272">
        <v>72.9785260287898</v>
      </c>
      <c r="F1272">
        <v>0</v>
      </c>
      <c r="G1272">
        <v>-0.1757156491723788</v>
      </c>
    </row>
    <row r="1273" spans="1:7">
      <c r="A1273" t="s">
        <v>138</v>
      </c>
      <c r="B1273">
        <v>3</v>
      </c>
      <c r="C1273">
        <v>12.78835823801551</v>
      </c>
      <c r="D1273">
        <v>9.903691860239464</v>
      </c>
      <c r="E1273">
        <v>73.30874669503302</v>
      </c>
      <c r="F1273">
        <v>0</v>
      </c>
      <c r="G1273">
        <v>-0.1756736149548613</v>
      </c>
    </row>
    <row r="1274" spans="1:7">
      <c r="A1274" t="s">
        <v>138</v>
      </c>
      <c r="B1274">
        <v>3</v>
      </c>
      <c r="C1274">
        <v>12.82169157134885</v>
      </c>
      <c r="D1274">
        <v>9.897836773159934</v>
      </c>
      <c r="E1274">
        <v>73.63877216836752</v>
      </c>
      <c r="F1274">
        <v>0</v>
      </c>
      <c r="G1274">
        <v>-0.1756316156301</v>
      </c>
    </row>
    <row r="1275" spans="1:7">
      <c r="A1275" t="s">
        <v>138</v>
      </c>
      <c r="B1275">
        <v>3</v>
      </c>
      <c r="C1275">
        <v>12.85502490468218</v>
      </c>
      <c r="D1275">
        <v>9.891983085476715</v>
      </c>
      <c r="E1275">
        <v>73.96860249545921</v>
      </c>
      <c r="F1275">
        <v>0</v>
      </c>
      <c r="G1275">
        <v>-0.1755896511719389</v>
      </c>
    </row>
    <row r="1276" spans="1:7">
      <c r="A1276" t="s">
        <v>138</v>
      </c>
      <c r="B1276">
        <v>3</v>
      </c>
      <c r="C1276">
        <v>12.88835823801551</v>
      </c>
      <c r="D1276">
        <v>9.886130796028024</v>
      </c>
      <c r="E1276">
        <v>74.29823772293524</v>
      </c>
      <c r="F1276">
        <v>0</v>
      </c>
      <c r="G1276">
        <v>-0.1755477215542521</v>
      </c>
    </row>
    <row r="1277" spans="1:7">
      <c r="A1277" t="s">
        <v>138</v>
      </c>
      <c r="B1277">
        <v>3</v>
      </c>
      <c r="C1277">
        <v>12.92169157134885</v>
      </c>
      <c r="D1277">
        <v>9.880279903652941</v>
      </c>
      <c r="E1277">
        <v>74.62767789738412</v>
      </c>
      <c r="F1277">
        <v>0</v>
      </c>
      <c r="G1277">
        <v>-0.1755058267509437</v>
      </c>
    </row>
    <row r="1278" spans="1:7">
      <c r="A1278" t="s">
        <v>138</v>
      </c>
      <c r="B1278">
        <v>3</v>
      </c>
      <c r="C1278">
        <v>12.95502490468218</v>
      </c>
      <c r="D1278">
        <v>9.874430407191424</v>
      </c>
      <c r="E1278">
        <v>74.9569230653556</v>
      </c>
      <c r="F1278">
        <v>0</v>
      </c>
      <c r="G1278">
        <v>-0.1754639667359484</v>
      </c>
    </row>
    <row r="1279" spans="1:7">
      <c r="A1279" t="s">
        <v>138</v>
      </c>
      <c r="B1279">
        <v>3</v>
      </c>
      <c r="C1279">
        <v>12.98835823801551</v>
      </c>
      <c r="D1279">
        <v>9.868582305484296</v>
      </c>
      <c r="E1279">
        <v>75.28597327336081</v>
      </c>
      <c r="F1279">
        <v>0</v>
      </c>
      <c r="G1279">
        <v>-0.1754221414832305</v>
      </c>
    </row>
    <row r="1280" spans="1:7">
      <c r="A1280" t="s">
        <v>138</v>
      </c>
      <c r="B1280">
        <v>3</v>
      </c>
      <c r="C1280">
        <v>13.02169157134885</v>
      </c>
      <c r="D1280">
        <v>9.862735597373248</v>
      </c>
      <c r="E1280">
        <v>75.61482856787228</v>
      </c>
      <c r="F1280">
        <v>0</v>
      </c>
      <c r="G1280">
        <v>-0.1753803509667848</v>
      </c>
    </row>
    <row r="1281" spans="1:7">
      <c r="A1281" t="s">
        <v>138</v>
      </c>
      <c r="B1281">
        <v>3</v>
      </c>
      <c r="C1281">
        <v>13.05502490468218</v>
      </c>
      <c r="D1281">
        <v>9.85689028170084</v>
      </c>
      <c r="E1281">
        <v>75.9434889953239</v>
      </c>
      <c r="F1281">
        <v>0</v>
      </c>
      <c r="G1281">
        <v>-0.1753385951606358</v>
      </c>
    </row>
    <row r="1282" spans="1:7">
      <c r="A1282" t="s">
        <v>138</v>
      </c>
      <c r="B1282">
        <v>3</v>
      </c>
      <c r="C1282">
        <v>13.08835823801551</v>
      </c>
      <c r="D1282">
        <v>9.851046357310491</v>
      </c>
      <c r="E1282">
        <v>76.27195460211102</v>
      </c>
      <c r="F1282">
        <v>0</v>
      </c>
      <c r="G1282">
        <v>-0.1752968740388383</v>
      </c>
    </row>
    <row r="1283" spans="1:7">
      <c r="A1283" t="s">
        <v>138</v>
      </c>
      <c r="B1283">
        <v>3</v>
      </c>
      <c r="C1283">
        <v>13.12169157134885</v>
      </c>
      <c r="D1283">
        <v>9.845203823046491</v>
      </c>
      <c r="E1283">
        <v>76.60022543459044</v>
      </c>
      <c r="F1283">
        <v>0</v>
      </c>
      <c r="G1283">
        <v>-0.1752551875754769</v>
      </c>
    </row>
    <row r="1284" spans="1:7">
      <c r="A1284" t="s">
        <v>138</v>
      </c>
      <c r="B1284">
        <v>3</v>
      </c>
      <c r="C1284">
        <v>13.15502490468218</v>
      </c>
      <c r="D1284">
        <v>9.839362677753988</v>
      </c>
      <c r="E1284">
        <v>76.92830153908046</v>
      </c>
      <c r="F1284">
        <v>0</v>
      </c>
      <c r="G1284">
        <v>-0.1752135357446661</v>
      </c>
    </row>
    <row r="1285" spans="1:7">
      <c r="A1285" t="s">
        <v>138</v>
      </c>
      <c r="B1285">
        <v>3</v>
      </c>
      <c r="C1285">
        <v>13.18835823801551</v>
      </c>
      <c r="D1285">
        <v>9.833522920278993</v>
      </c>
      <c r="E1285">
        <v>77.2561829618609</v>
      </c>
      <c r="F1285">
        <v>0</v>
      </c>
      <c r="G1285">
        <v>-0.1751719185205503</v>
      </c>
    </row>
    <row r="1286" spans="1:7">
      <c r="A1286" t="s">
        <v>138</v>
      </c>
      <c r="B1286">
        <v>3</v>
      </c>
      <c r="C1286">
        <v>13.22169157134885</v>
      </c>
      <c r="D1286">
        <v>9.827684549468383</v>
      </c>
      <c r="E1286">
        <v>77.58386974917312</v>
      </c>
      <c r="F1286">
        <v>0</v>
      </c>
      <c r="G1286">
        <v>-0.1751303358773038</v>
      </c>
    </row>
    <row r="1287" spans="1:7">
      <c r="A1287" t="s">
        <v>138</v>
      </c>
      <c r="B1287">
        <v>3</v>
      </c>
      <c r="C1287">
        <v>13.25502490468218</v>
      </c>
      <c r="D1287">
        <v>9.821847564169893</v>
      </c>
      <c r="E1287">
        <v>77.91136194722004</v>
      </c>
      <c r="F1287">
        <v>0</v>
      </c>
      <c r="G1287">
        <v>-0.1750887877891307</v>
      </c>
    </row>
    <row r="1288" spans="1:7">
      <c r="A1288" t="s">
        <v>138</v>
      </c>
      <c r="B1288">
        <v>3</v>
      </c>
      <c r="C1288">
        <v>13.28835823801551</v>
      </c>
      <c r="D1288">
        <v>9.816011963232116</v>
      </c>
      <c r="E1288">
        <v>78.23865960216624</v>
      </c>
      <c r="F1288">
        <v>0</v>
      </c>
      <c r="G1288">
        <v>-0.175047274230265</v>
      </c>
    </row>
    <row r="1289" spans="1:7">
      <c r="A1289" t="s">
        <v>138</v>
      </c>
      <c r="B1289">
        <v>3</v>
      </c>
      <c r="C1289">
        <v>13.32169157134885</v>
      </c>
      <c r="D1289">
        <v>9.810177745504504</v>
      </c>
      <c r="E1289">
        <v>78.56576276013786</v>
      </c>
      <c r="F1289">
        <v>0</v>
      </c>
      <c r="G1289">
        <v>-0.1750057951749701</v>
      </c>
    </row>
    <row r="1290" spans="1:7">
      <c r="A1290" t="s">
        <v>138</v>
      </c>
      <c r="B1290">
        <v>3</v>
      </c>
      <c r="C1290">
        <v>13.35502490468218</v>
      </c>
      <c r="D1290">
        <v>9.804344909837363</v>
      </c>
      <c r="E1290">
        <v>78.89267146722275</v>
      </c>
      <c r="F1290">
        <v>0</v>
      </c>
      <c r="G1290">
        <v>-0.1749643505975395</v>
      </c>
    </row>
    <row r="1291" spans="1:7">
      <c r="A1291" t="s">
        <v>138</v>
      </c>
      <c r="B1291">
        <v>3</v>
      </c>
      <c r="C1291">
        <v>13.38835823801551</v>
      </c>
      <c r="D1291">
        <v>9.798513455081865</v>
      </c>
      <c r="E1291">
        <v>79.21938576947048</v>
      </c>
      <c r="F1291">
        <v>0</v>
      </c>
      <c r="G1291">
        <v>-0.1749229404722961</v>
      </c>
    </row>
    <row r="1292" spans="1:7">
      <c r="A1292" t="s">
        <v>137</v>
      </c>
      <c r="B1292">
        <v>4</v>
      </c>
      <c r="C1292">
        <v>13.42103589734914</v>
      </c>
      <c r="D1292">
        <v>9.814616369375987</v>
      </c>
      <c r="E1292">
        <v>79.53984132160389</v>
      </c>
      <c r="F1292">
        <v>1415.606641747534</v>
      </c>
      <c r="G1292">
        <v>0.4928466574547117</v>
      </c>
    </row>
    <row r="1293" spans="1:7">
      <c r="A1293" t="s">
        <v>137</v>
      </c>
      <c r="B1293">
        <v>4</v>
      </c>
      <c r="C1293">
        <v>13.45370482917807</v>
      </c>
      <c r="D1293">
        <v>9.830719283670108</v>
      </c>
      <c r="E1293">
        <v>79.86073735223914</v>
      </c>
      <c r="F1293">
        <v>1417.929238125053</v>
      </c>
      <c r="G1293">
        <v>0.4929777131145786</v>
      </c>
    </row>
    <row r="1294" spans="1:7">
      <c r="A1294" t="s">
        <v>137</v>
      </c>
      <c r="B1294">
        <v>4</v>
      </c>
      <c r="C1294">
        <v>13.48636511639396</v>
      </c>
      <c r="D1294">
        <v>9.846822197964228</v>
      </c>
      <c r="E1294">
        <v>80.18207439585136</v>
      </c>
      <c r="F1294">
        <v>1420.251834502571</v>
      </c>
      <c r="G1294">
        <v>0.4931075877899841</v>
      </c>
    </row>
    <row r="1295" spans="1:7">
      <c r="A1295" t="s">
        <v>137</v>
      </c>
      <c r="B1295">
        <v>4</v>
      </c>
      <c r="C1295">
        <v>13.5190168417606</v>
      </c>
      <c r="D1295">
        <v>9.862925112258349</v>
      </c>
      <c r="E1295">
        <v>80.50385298965985</v>
      </c>
      <c r="F1295">
        <v>1422.57443088009</v>
      </c>
      <c r="G1295">
        <v>0.4932362814809286</v>
      </c>
    </row>
    <row r="1296" spans="1:7">
      <c r="A1296" t="s">
        <v>137</v>
      </c>
      <c r="B1296">
        <v>4</v>
      </c>
      <c r="C1296">
        <v>13.55166008791523</v>
      </c>
      <c r="D1296">
        <v>9.87902802655247</v>
      </c>
      <c r="E1296">
        <v>80.82607367363269</v>
      </c>
      <c r="F1296">
        <v>1424.897027257609</v>
      </c>
      <c r="G1296">
        <v>0.4933637941874115</v>
      </c>
    </row>
    <row r="1297" spans="1:7">
      <c r="A1297" t="s">
        <v>137</v>
      </c>
      <c r="B1297">
        <v>4</v>
      </c>
      <c r="C1297">
        <v>13.58429493736981</v>
      </c>
      <c r="D1297">
        <v>9.895130940846592</v>
      </c>
      <c r="E1297">
        <v>81.14873699049183</v>
      </c>
      <c r="F1297">
        <v>1427.219623635128</v>
      </c>
      <c r="G1297">
        <v>0.4934901259094335</v>
      </c>
    </row>
    <row r="1298" spans="1:7">
      <c r="A1298" t="s">
        <v>137</v>
      </c>
      <c r="B1298">
        <v>4</v>
      </c>
      <c r="C1298">
        <v>13.61692147251239</v>
      </c>
      <c r="D1298">
        <v>9.911233855140713</v>
      </c>
      <c r="E1298">
        <v>81.4718434857179</v>
      </c>
      <c r="F1298">
        <v>1429.542220012646</v>
      </c>
      <c r="G1298">
        <v>0.493615276646994</v>
      </c>
    </row>
    <row r="1299" spans="1:7">
      <c r="A1299" t="s">
        <v>137</v>
      </c>
      <c r="B1299">
        <v>4</v>
      </c>
      <c r="C1299">
        <v>13.64953977560839</v>
      </c>
      <c r="D1299">
        <v>9.927336769434833</v>
      </c>
      <c r="E1299">
        <v>81.79539370755526</v>
      </c>
      <c r="F1299">
        <v>1431.864816390165</v>
      </c>
      <c r="G1299">
        <v>0.4937392464000934</v>
      </c>
    </row>
    <row r="1300" spans="1:7">
      <c r="A1300" t="s">
        <v>137</v>
      </c>
      <c r="B1300">
        <v>4</v>
      </c>
      <c r="C1300">
        <v>13.68214992880191</v>
      </c>
      <c r="D1300">
        <v>9.943439683728954</v>
      </c>
      <c r="E1300">
        <v>82.11938820701717</v>
      </c>
      <c r="F1300">
        <v>1434.187412767684</v>
      </c>
      <c r="G1300">
        <v>0.4938620351687316</v>
      </c>
    </row>
    <row r="1301" spans="1:7">
      <c r="A1301" t="s">
        <v>137</v>
      </c>
      <c r="B1301">
        <v>4</v>
      </c>
      <c r="C1301">
        <v>13.71475201411705</v>
      </c>
      <c r="D1301">
        <v>9.959542598023075</v>
      </c>
      <c r="E1301">
        <v>82.44382753789071</v>
      </c>
      <c r="F1301">
        <v>1436.510009145203</v>
      </c>
      <c r="G1301">
        <v>0.4939836429529085</v>
      </c>
    </row>
    <row r="1302" spans="1:7">
      <c r="A1302" t="s">
        <v>137</v>
      </c>
      <c r="B1302">
        <v>4</v>
      </c>
      <c r="C1302">
        <v>13.74734611345916</v>
      </c>
      <c r="D1302">
        <v>9.975645512317197</v>
      </c>
      <c r="E1302">
        <v>82.76871225674212</v>
      </c>
      <c r="F1302">
        <v>1438.832605522722</v>
      </c>
      <c r="G1302">
        <v>0.4941040697526242</v>
      </c>
    </row>
    <row r="1303" spans="1:7">
      <c r="A1303" t="s">
        <v>137</v>
      </c>
      <c r="B1303">
        <v>4</v>
      </c>
      <c r="C1303">
        <v>13.77993230861617</v>
      </c>
      <c r="D1303">
        <v>9.991748426611316</v>
      </c>
      <c r="E1303">
        <v>83.09404292292196</v>
      </c>
      <c r="F1303">
        <v>1441.15520190024</v>
      </c>
      <c r="G1303">
        <v>0.4942233155678782</v>
      </c>
    </row>
    <row r="1304" spans="1:7">
      <c r="A1304" t="s">
        <v>137</v>
      </c>
      <c r="B1304">
        <v>4</v>
      </c>
      <c r="C1304">
        <v>13.81251068125988</v>
      </c>
      <c r="D1304">
        <v>10.00785134090544</v>
      </c>
      <c r="E1304">
        <v>83.41982009857054</v>
      </c>
      <c r="F1304">
        <v>1443.477798277759</v>
      </c>
      <c r="G1304">
        <v>0.494341380398672</v>
      </c>
    </row>
    <row r="1305" spans="1:7">
      <c r="A1305" t="s">
        <v>137</v>
      </c>
      <c r="B1305">
        <v>4</v>
      </c>
      <c r="C1305">
        <v>13.84508131294722</v>
      </c>
      <c r="D1305">
        <v>10.02395425519956</v>
      </c>
      <c r="E1305">
        <v>83.74604434862312</v>
      </c>
      <c r="F1305">
        <v>1445.800394655278</v>
      </c>
      <c r="G1305">
        <v>0.4944582642450035</v>
      </c>
    </row>
    <row r="1306" spans="1:7">
      <c r="A1306" t="s">
        <v>137</v>
      </c>
      <c r="B1306">
        <v>4</v>
      </c>
      <c r="C1306">
        <v>13.87764428512152</v>
      </c>
      <c r="D1306">
        <v>10.04005716949368</v>
      </c>
      <c r="E1306">
        <v>84.07271624081542</v>
      </c>
      <c r="F1306">
        <v>1448.122991032797</v>
      </c>
      <c r="G1306">
        <v>0.4945739671068742</v>
      </c>
    </row>
    <row r="1307" spans="1:7">
      <c r="A1307" t="s">
        <v>137</v>
      </c>
      <c r="B1307">
        <v>4</v>
      </c>
      <c r="C1307">
        <v>13.91019967911383</v>
      </c>
      <c r="D1307">
        <v>10.0561600837878</v>
      </c>
      <c r="E1307">
        <v>84.39983634568915</v>
      </c>
      <c r="F1307">
        <v>1450.445587410316</v>
      </c>
      <c r="G1307">
        <v>0.4946884889842831</v>
      </c>
    </row>
    <row r="1308" spans="1:7">
      <c r="A1308" t="s">
        <v>137</v>
      </c>
      <c r="B1308">
        <v>4</v>
      </c>
      <c r="C1308">
        <v>13.94274757614414</v>
      </c>
      <c r="D1308">
        <v>10.07226299808192</v>
      </c>
      <c r="E1308">
        <v>84.72740523659742</v>
      </c>
      <c r="F1308">
        <v>1452.768183787834</v>
      </c>
      <c r="G1308">
        <v>0.4948018298772316</v>
      </c>
    </row>
    <row r="1309" spans="1:7">
      <c r="A1309" t="s">
        <v>137</v>
      </c>
      <c r="B1309">
        <v>4</v>
      </c>
      <c r="C1309">
        <v>13.97528805732269</v>
      </c>
      <c r="D1309">
        <v>10.08836591237604</v>
      </c>
      <c r="E1309">
        <v>85.05542348971056</v>
      </c>
      <c r="F1309">
        <v>1455.090780165353</v>
      </c>
      <c r="G1309">
        <v>0.4949139897857186</v>
      </c>
    </row>
    <row r="1310" spans="1:7">
      <c r="A1310" t="s">
        <v>137</v>
      </c>
      <c r="B1310">
        <v>4</v>
      </c>
      <c r="C1310">
        <v>14.00782120365118</v>
      </c>
      <c r="D1310">
        <v>10.10446882667016</v>
      </c>
      <c r="E1310">
        <v>85.38389168402156</v>
      </c>
      <c r="F1310">
        <v>1457.413376542871</v>
      </c>
      <c r="G1310">
        <v>0.4950249687097443</v>
      </c>
    </row>
    <row r="1311" spans="1:7">
      <c r="A1311" t="s">
        <v>137</v>
      </c>
      <c r="B1311">
        <v>4</v>
      </c>
      <c r="C1311">
        <v>14.04034709602407</v>
      </c>
      <c r="D1311">
        <v>10.12057174096429</v>
      </c>
      <c r="E1311">
        <v>85.71281040135194</v>
      </c>
      <c r="F1311">
        <v>1459.73597292039</v>
      </c>
      <c r="G1311">
        <v>0.4951347666493086</v>
      </c>
    </row>
    <row r="1312" spans="1:7">
      <c r="A1312" t="s">
        <v>137</v>
      </c>
      <c r="B1312">
        <v>4</v>
      </c>
      <c r="C1312">
        <v>14.07286581522982</v>
      </c>
      <c r="D1312">
        <v>10.13667465525841</v>
      </c>
      <c r="E1312">
        <v>86.04218022635749</v>
      </c>
      <c r="F1312">
        <v>1462.058569297909</v>
      </c>
      <c r="G1312">
        <v>0.4952433836044118</v>
      </c>
    </row>
    <row r="1313" spans="1:7">
      <c r="A1313" t="s">
        <v>137</v>
      </c>
      <c r="B1313">
        <v>4</v>
      </c>
      <c r="C1313">
        <v>14.10537744195214</v>
      </c>
      <c r="D1313">
        <v>10.15277756955253</v>
      </c>
      <c r="E1313">
        <v>86.3720017465341</v>
      </c>
      <c r="F1313">
        <v>1464.381165675428</v>
      </c>
      <c r="G1313">
        <v>0.4953508195750536</v>
      </c>
    </row>
    <row r="1314" spans="1:7">
      <c r="A1314" t="s">
        <v>137</v>
      </c>
      <c r="B1314">
        <v>4</v>
      </c>
      <c r="C1314">
        <v>14.13788205677125</v>
      </c>
      <c r="D1314">
        <v>10.16888048384665</v>
      </c>
      <c r="E1314">
        <v>86.70227555222382</v>
      </c>
      <c r="F1314">
        <v>1466.703762052947</v>
      </c>
      <c r="G1314">
        <v>0.4954570745612346</v>
      </c>
    </row>
    <row r="1315" spans="1:7">
      <c r="A1315" t="s">
        <v>137</v>
      </c>
      <c r="B1315">
        <v>4</v>
      </c>
      <c r="C1315">
        <v>14.17037974016508</v>
      </c>
      <c r="D1315">
        <v>10.18498339814077</v>
      </c>
      <c r="E1315">
        <v>87.03300223662062</v>
      </c>
      <c r="F1315">
        <v>1469.026358430465</v>
      </c>
      <c r="G1315">
        <v>0.4955621485629537</v>
      </c>
    </row>
    <row r="1316" spans="1:7">
      <c r="A1316" t="s">
        <v>137</v>
      </c>
      <c r="B1316">
        <v>4</v>
      </c>
      <c r="C1316">
        <v>14.20287057251055</v>
      </c>
      <c r="D1316">
        <v>10.20108631243489</v>
      </c>
      <c r="E1316">
        <v>87.36418239577652</v>
      </c>
      <c r="F1316">
        <v>1471.348954807984</v>
      </c>
      <c r="G1316">
        <v>0.4956660415802117</v>
      </c>
    </row>
    <row r="1317" spans="1:7">
      <c r="A1317" t="s">
        <v>137</v>
      </c>
      <c r="B1317">
        <v>4</v>
      </c>
      <c r="C1317">
        <v>14.23535463408479</v>
      </c>
      <c r="D1317">
        <v>10.21718922672901</v>
      </c>
      <c r="E1317">
        <v>87.69581662860774</v>
      </c>
      <c r="F1317">
        <v>1473.671551185503</v>
      </c>
      <c r="G1317">
        <v>0.4957687536130089</v>
      </c>
    </row>
    <row r="1318" spans="1:7">
      <c r="A1318" t="s">
        <v>137</v>
      </c>
      <c r="B1318">
        <v>4</v>
      </c>
      <c r="C1318">
        <v>14.26783200506637</v>
      </c>
      <c r="D1318">
        <v>10.23329214102313</v>
      </c>
      <c r="E1318">
        <v>88.02790553690075</v>
      </c>
      <c r="F1318">
        <v>1475.994147563021</v>
      </c>
      <c r="G1318">
        <v>0.4958702846613444</v>
      </c>
    </row>
    <row r="1319" spans="1:7">
      <c r="A1319" t="s">
        <v>137</v>
      </c>
      <c r="B1319">
        <v>4</v>
      </c>
      <c r="C1319">
        <v>14.30030276553655</v>
      </c>
      <c r="D1319">
        <v>10.24939505531725</v>
      </c>
      <c r="E1319">
        <v>88.36044972531865</v>
      </c>
      <c r="F1319">
        <v>1478.31674394054</v>
      </c>
      <c r="G1319">
        <v>0.4959706347252188</v>
      </c>
    </row>
    <row r="1320" spans="1:7">
      <c r="A1320" t="s">
        <v>137</v>
      </c>
      <c r="B1320">
        <v>4</v>
      </c>
      <c r="C1320">
        <v>14.33276699548044</v>
      </c>
      <c r="D1320">
        <v>10.26549796961137</v>
      </c>
      <c r="E1320">
        <v>88.69344980140725</v>
      </c>
      <c r="F1320">
        <v>1480.639340318059</v>
      </c>
      <c r="G1320">
        <v>0.4960698038046321</v>
      </c>
    </row>
    <row r="1321" spans="1:7">
      <c r="A1321" t="s">
        <v>137</v>
      </c>
      <c r="B1321">
        <v>4</v>
      </c>
      <c r="C1321">
        <v>14.3652247747883</v>
      </c>
      <c r="D1321">
        <v>10.2816008839055</v>
      </c>
      <c r="E1321">
        <v>89.02690637560158</v>
      </c>
      <c r="F1321">
        <v>1482.961936695578</v>
      </c>
      <c r="G1321">
        <v>0.496167791899584</v>
      </c>
    </row>
    <row r="1322" spans="1:7">
      <c r="A1322" t="s">
        <v>137</v>
      </c>
      <c r="B1322">
        <v>4</v>
      </c>
      <c r="C1322">
        <v>14.3976761832567</v>
      </c>
      <c r="D1322">
        <v>10.29770379819962</v>
      </c>
      <c r="E1322">
        <v>89.36082006123216</v>
      </c>
      <c r="F1322">
        <v>1485.284533073096</v>
      </c>
      <c r="G1322">
        <v>0.4962645990100747</v>
      </c>
    </row>
    <row r="1323" spans="1:7">
      <c r="A1323" t="s">
        <v>137</v>
      </c>
      <c r="B1323">
        <v>4</v>
      </c>
      <c r="C1323">
        <v>14.43012130058977</v>
      </c>
      <c r="D1323">
        <v>10.31380671249374</v>
      </c>
      <c r="E1323">
        <v>89.69519147453168</v>
      </c>
      <c r="F1323">
        <v>1487.607129450615</v>
      </c>
      <c r="G1323">
        <v>0.4963602251361037</v>
      </c>
    </row>
    <row r="1324" spans="1:7">
      <c r="A1324" t="s">
        <v>137</v>
      </c>
      <c r="B1324">
        <v>4</v>
      </c>
      <c r="C1324">
        <v>14.46256020640037</v>
      </c>
      <c r="D1324">
        <v>10.32990962678786</v>
      </c>
      <c r="E1324">
        <v>90.03002123464128</v>
      </c>
      <c r="F1324">
        <v>1489.929725828134</v>
      </c>
      <c r="G1324">
        <v>0.496454670277672</v>
      </c>
    </row>
    <row r="1325" spans="1:7">
      <c r="A1325" t="s">
        <v>137</v>
      </c>
      <c r="B1325">
        <v>4</v>
      </c>
      <c r="C1325">
        <v>14.49499298021133</v>
      </c>
      <c r="D1325">
        <v>10.34601254108198</v>
      </c>
      <c r="E1325">
        <v>90.36530996361731</v>
      </c>
      <c r="F1325">
        <v>1492.252322205653</v>
      </c>
      <c r="G1325">
        <v>0.4965479344347792</v>
      </c>
    </row>
    <row r="1326" spans="1:7">
      <c r="A1326" t="s">
        <v>137</v>
      </c>
      <c r="B1326">
        <v>4</v>
      </c>
      <c r="C1326">
        <v>14.52741970145665</v>
      </c>
      <c r="D1326">
        <v>10.3621154553761</v>
      </c>
      <c r="E1326">
        <v>90.70105828643791</v>
      </c>
      <c r="F1326">
        <v>1494.574918583172</v>
      </c>
      <c r="G1326">
        <v>0.4966400176074246</v>
      </c>
    </row>
    <row r="1327" spans="1:7">
      <c r="A1327" t="s">
        <v>137</v>
      </c>
      <c r="B1327">
        <v>4</v>
      </c>
      <c r="C1327">
        <v>14.55984044948269</v>
      </c>
      <c r="D1327">
        <v>10.37821836967022</v>
      </c>
      <c r="E1327">
        <v>91.03726683100977</v>
      </c>
      <c r="F1327">
        <v>1496.897514960691</v>
      </c>
      <c r="G1327">
        <v>0.4967309197956091</v>
      </c>
    </row>
    <row r="1328" spans="1:7">
      <c r="A1328" t="s">
        <v>137</v>
      </c>
      <c r="B1328">
        <v>4</v>
      </c>
      <c r="C1328">
        <v>14.59225530354935</v>
      </c>
      <c r="D1328">
        <v>10.39432128396434</v>
      </c>
      <c r="E1328">
        <v>91.373936228175</v>
      </c>
      <c r="F1328">
        <v>1499.220111338209</v>
      </c>
      <c r="G1328">
        <v>0.4968206409993323</v>
      </c>
    </row>
    <row r="1329" spans="1:7">
      <c r="A1329" t="s">
        <v>137</v>
      </c>
      <c r="B1329">
        <v>4</v>
      </c>
      <c r="C1329">
        <v>14.6246643428313</v>
      </c>
      <c r="D1329">
        <v>10.41042419825846</v>
      </c>
      <c r="E1329">
        <v>91.71106711171777</v>
      </c>
      <c r="F1329">
        <v>1501.542707715728</v>
      </c>
      <c r="G1329">
        <v>0.4969091812185944</v>
      </c>
    </row>
    <row r="1330" spans="1:7">
      <c r="A1330" t="s">
        <v>137</v>
      </c>
      <c r="B1330">
        <v>4</v>
      </c>
      <c r="C1330">
        <v>14.65706764641916</v>
      </c>
      <c r="D1330">
        <v>10.42652711255258</v>
      </c>
      <c r="E1330">
        <v>92.04866011837137</v>
      </c>
      <c r="F1330">
        <v>1503.865304093247</v>
      </c>
      <c r="G1330">
        <v>0.4969965404533951</v>
      </c>
    </row>
    <row r="1331" spans="1:7">
      <c r="A1331" t="s">
        <v>137</v>
      </c>
      <c r="B1331">
        <v>4</v>
      </c>
      <c r="C1331">
        <v>14.68946529332067</v>
      </c>
      <c r="D1331">
        <v>10.44263002684671</v>
      </c>
      <c r="E1331">
        <v>92.38671588782519</v>
      </c>
      <c r="F1331">
        <v>1506.187900470765</v>
      </c>
      <c r="G1331">
        <v>0.4970827187037344</v>
      </c>
    </row>
    <row r="1332" spans="1:7">
      <c r="A1332" t="s">
        <v>137</v>
      </c>
      <c r="B1332">
        <v>4</v>
      </c>
      <c r="C1332">
        <v>14.72185736246187</v>
      </c>
      <c r="D1332">
        <v>10.45873294114083</v>
      </c>
      <c r="E1332">
        <v>92.72523506273164</v>
      </c>
      <c r="F1332">
        <v>1508.510496848284</v>
      </c>
      <c r="G1332">
        <v>0.4971677159696126</v>
      </c>
    </row>
    <row r="1333" spans="1:7">
      <c r="A1333" t="s">
        <v>137</v>
      </c>
      <c r="B1333">
        <v>4</v>
      </c>
      <c r="C1333">
        <v>14.75424393268833</v>
      </c>
      <c r="D1333">
        <v>10.47483585543495</v>
      </c>
      <c r="E1333">
        <v>93.06421828871349</v>
      </c>
      <c r="F1333">
        <v>1510.833093225803</v>
      </c>
      <c r="G1333">
        <v>0.4972515322510297</v>
      </c>
    </row>
    <row r="1334" spans="1:7">
      <c r="A1334" t="s">
        <v>137</v>
      </c>
      <c r="B1334">
        <v>4</v>
      </c>
      <c r="C1334">
        <v>14.78662508276627</v>
      </c>
      <c r="D1334">
        <v>10.49093876972907</v>
      </c>
      <c r="E1334">
        <v>93.40366621437076</v>
      </c>
      <c r="F1334">
        <v>1513.155689603322</v>
      </c>
      <c r="G1334">
        <v>0.4973341675479852</v>
      </c>
    </row>
    <row r="1335" spans="1:7">
      <c r="A1335" t="s">
        <v>137</v>
      </c>
      <c r="B1335">
        <v>4</v>
      </c>
      <c r="C1335">
        <v>14.81900089138377</v>
      </c>
      <c r="D1335">
        <v>10.50704168402319</v>
      </c>
      <c r="E1335">
        <v>93.74357949128812</v>
      </c>
      <c r="F1335">
        <v>1515.478285980841</v>
      </c>
      <c r="G1335">
        <v>0.4974156218604797</v>
      </c>
    </row>
    <row r="1336" spans="1:7">
      <c r="A1336" t="s">
        <v>137</v>
      </c>
      <c r="B1336">
        <v>4</v>
      </c>
      <c r="C1336">
        <v>14.85137143715192</v>
      </c>
      <c r="D1336">
        <v>10.52314459831731</v>
      </c>
      <c r="E1336">
        <v>94.0839587740421</v>
      </c>
      <c r="F1336">
        <v>1517.800882358359</v>
      </c>
      <c r="G1336">
        <v>0.4974958951885127</v>
      </c>
    </row>
    <row r="1337" spans="1:7">
      <c r="A1337" t="s">
        <v>137</v>
      </c>
      <c r="B1337">
        <v>4</v>
      </c>
      <c r="C1337">
        <v>14.88373679860603</v>
      </c>
      <c r="D1337">
        <v>10.53924751261143</v>
      </c>
      <c r="E1337">
        <v>94.42480472020864</v>
      </c>
      <c r="F1337">
        <v>1520.123478735878</v>
      </c>
      <c r="G1337">
        <v>0.4975749875320848</v>
      </c>
    </row>
    <row r="1338" spans="1:7">
      <c r="A1338" t="s">
        <v>137</v>
      </c>
      <c r="B1338">
        <v>4</v>
      </c>
      <c r="C1338">
        <v>14.91609705420674</v>
      </c>
      <c r="D1338">
        <v>10.55535042690555</v>
      </c>
      <c r="E1338">
        <v>94.76611799037026</v>
      </c>
      <c r="F1338">
        <v>1522.446075113397</v>
      </c>
      <c r="G1338">
        <v>0.4976528988911955</v>
      </c>
    </row>
    <row r="1339" spans="1:7">
      <c r="A1339" t="s">
        <v>137</v>
      </c>
      <c r="B1339">
        <v>4</v>
      </c>
      <c r="C1339">
        <v>14.94845228234125</v>
      </c>
      <c r="D1339">
        <v>10.57145334119967</v>
      </c>
      <c r="E1339">
        <v>95.10789924812372</v>
      </c>
      <c r="F1339">
        <v>1524.768671490915</v>
      </c>
      <c r="G1339">
        <v>0.4977296292658451</v>
      </c>
    </row>
    <row r="1340" spans="1:7">
      <c r="A1340" t="s">
        <v>137</v>
      </c>
      <c r="B1340">
        <v>4</v>
      </c>
      <c r="C1340">
        <v>14.9808025613244</v>
      </c>
      <c r="D1340">
        <v>10.58755625549379</v>
      </c>
      <c r="E1340">
        <v>95.45014916008751</v>
      </c>
      <c r="F1340">
        <v>1527.091267868435</v>
      </c>
      <c r="G1340">
        <v>0.4978051786560334</v>
      </c>
    </row>
    <row r="1341" spans="1:7">
      <c r="A1341" t="s">
        <v>137</v>
      </c>
      <c r="B1341">
        <v>4</v>
      </c>
      <c r="C1341">
        <v>15.01314796939992</v>
      </c>
      <c r="D1341">
        <v>10.60365916978791</v>
      </c>
      <c r="E1341">
        <v>95.79286839590949</v>
      </c>
      <c r="F1341">
        <v>1529.413864245953</v>
      </c>
      <c r="G1341">
        <v>0.4978795470617604</v>
      </c>
    </row>
    <row r="1342" spans="1:7">
      <c r="A1342" t="s">
        <v>137</v>
      </c>
      <c r="B1342">
        <v>4</v>
      </c>
      <c r="C1342">
        <v>15.04548858474153</v>
      </c>
      <c r="D1342">
        <v>10.61976208408204</v>
      </c>
      <c r="E1342">
        <v>96.1360576282747</v>
      </c>
      <c r="F1342">
        <v>1531.736460623472</v>
      </c>
      <c r="G1342">
        <v>0.4979527344830258</v>
      </c>
    </row>
    <row r="1343" spans="1:7">
      <c r="A1343" t="s">
        <v>137</v>
      </c>
      <c r="B1343">
        <v>4</v>
      </c>
      <c r="C1343">
        <v>15.0778244854541</v>
      </c>
      <c r="D1343">
        <v>10.63586499837616</v>
      </c>
      <c r="E1343">
        <v>96.47971753291287</v>
      </c>
      <c r="F1343">
        <v>1534.059057000991</v>
      </c>
      <c r="G1343">
        <v>0.4980247409198304</v>
      </c>
    </row>
    <row r="1344" spans="1:7">
      <c r="A1344" t="s">
        <v>137</v>
      </c>
      <c r="B1344">
        <v>4</v>
      </c>
      <c r="C1344">
        <v>15.1101557495748</v>
      </c>
      <c r="D1344">
        <v>10.65196791267028</v>
      </c>
      <c r="E1344">
        <v>96.82384878860647</v>
      </c>
      <c r="F1344">
        <v>1536.381653378509</v>
      </c>
      <c r="G1344">
        <v>0.4980955663721736</v>
      </c>
    </row>
    <row r="1345" spans="1:7">
      <c r="A1345" t="s">
        <v>137</v>
      </c>
      <c r="B1345">
        <v>4</v>
      </c>
      <c r="C1345">
        <v>15.14248245507429</v>
      </c>
      <c r="D1345">
        <v>10.6680708269644</v>
      </c>
      <c r="E1345">
        <v>97.16845207719845</v>
      </c>
      <c r="F1345">
        <v>1538.704249756028</v>
      </c>
      <c r="G1345">
        <v>0.4981652108400555</v>
      </c>
    </row>
    <row r="1346" spans="1:7">
      <c r="A1346" t="s">
        <v>137</v>
      </c>
      <c r="B1346">
        <v>4</v>
      </c>
      <c r="C1346">
        <v>15.17480467985779</v>
      </c>
      <c r="D1346">
        <v>10.68417374125852</v>
      </c>
      <c r="E1346">
        <v>97.51352808360029</v>
      </c>
      <c r="F1346">
        <v>1541.026846133547</v>
      </c>
      <c r="G1346">
        <v>0.4982336743234763</v>
      </c>
    </row>
    <row r="1347" spans="1:7">
      <c r="A1347" t="s">
        <v>137</v>
      </c>
      <c r="B1347">
        <v>4</v>
      </c>
      <c r="C1347">
        <v>15.20712250176632</v>
      </c>
      <c r="D1347">
        <v>10.70027665555264</v>
      </c>
      <c r="E1347">
        <v>97.85907749580005</v>
      </c>
      <c r="F1347">
        <v>1543.349442511065</v>
      </c>
      <c r="G1347">
        <v>0.4983009568224356</v>
      </c>
    </row>
    <row r="1348" spans="1:7">
      <c r="A1348" t="s">
        <v>137</v>
      </c>
      <c r="B1348">
        <v>4</v>
      </c>
      <c r="C1348">
        <v>15.23943599857775</v>
      </c>
      <c r="D1348">
        <v>10.71637956984676</v>
      </c>
      <c r="E1348">
        <v>98.20510100487033</v>
      </c>
      <c r="F1348">
        <v>1545.672038888584</v>
      </c>
      <c r="G1348">
        <v>0.4983670583369337</v>
      </c>
    </row>
    <row r="1349" spans="1:7">
      <c r="A1349" t="s">
        <v>137</v>
      </c>
      <c r="B1349">
        <v>4</v>
      </c>
      <c r="C1349">
        <v>15.271745248008</v>
      </c>
      <c r="D1349">
        <v>10.73248248414088</v>
      </c>
      <c r="E1349">
        <v>98.55159930497653</v>
      </c>
      <c r="F1349">
        <v>1547.994635266103</v>
      </c>
      <c r="G1349">
        <v>0.4984319788669707</v>
      </c>
    </row>
    <row r="1350" spans="1:7">
      <c r="A1350" t="s">
        <v>137</v>
      </c>
      <c r="B1350">
        <v>4</v>
      </c>
      <c r="C1350">
        <v>15.30405032771215</v>
      </c>
      <c r="D1350">
        <v>10.748585398435</v>
      </c>
      <c r="E1350">
        <v>98.89857309338508</v>
      </c>
      <c r="F1350">
        <v>1550.317231643622</v>
      </c>
      <c r="G1350">
        <v>0.4984957184125466</v>
      </c>
    </row>
    <row r="1351" spans="1:7">
      <c r="A1351" t="s">
        <v>137</v>
      </c>
      <c r="B1351">
        <v>4</v>
      </c>
      <c r="C1351">
        <v>15.3363513152856</v>
      </c>
      <c r="D1351">
        <v>10.76468831272912</v>
      </c>
      <c r="E1351">
        <v>99.24602307047164</v>
      </c>
      <c r="F1351">
        <v>1552.63982802114</v>
      </c>
      <c r="G1351">
        <v>0.4985582769736612</v>
      </c>
    </row>
    <row r="1352" spans="1:7">
      <c r="A1352" t="s">
        <v>137</v>
      </c>
      <c r="B1352">
        <v>4</v>
      </c>
      <c r="C1352">
        <v>15.36864828826517</v>
      </c>
      <c r="D1352">
        <v>10.78079122702325</v>
      </c>
      <c r="E1352">
        <v>99.59394993972965</v>
      </c>
      <c r="F1352">
        <v>1554.962424398659</v>
      </c>
      <c r="G1352">
        <v>0.4986196545503142</v>
      </c>
    </row>
    <row r="1353" spans="1:7">
      <c r="A1353" t="s">
        <v>137</v>
      </c>
      <c r="B1353">
        <v>4</v>
      </c>
      <c r="C1353">
        <v>15.40094132413026</v>
      </c>
      <c r="D1353">
        <v>10.79689414131737</v>
      </c>
      <c r="E1353">
        <v>99.94235440777855</v>
      </c>
      <c r="F1353">
        <v>1557.285020776178</v>
      </c>
      <c r="G1353">
        <v>0.498679851142506</v>
      </c>
    </row>
    <row r="1354" spans="1:7">
      <c r="A1354" t="s">
        <v>137</v>
      </c>
      <c r="B1354">
        <v>4</v>
      </c>
      <c r="C1354">
        <v>15.43323050030397</v>
      </c>
      <c r="D1354">
        <v>10.81299705561149</v>
      </c>
      <c r="E1354">
        <v>100.2912371843724</v>
      </c>
      <c r="F1354">
        <v>1559.607617153697</v>
      </c>
      <c r="G1354">
        <v>0.498738866750237</v>
      </c>
    </row>
    <row r="1355" spans="1:7">
      <c r="A1355" t="s">
        <v>137</v>
      </c>
      <c r="B1355">
        <v>4</v>
      </c>
      <c r="C1355">
        <v>15.46551589415421</v>
      </c>
      <c r="D1355">
        <v>10.82909996990561</v>
      </c>
      <c r="E1355">
        <v>100.6405989824084</v>
      </c>
      <c r="F1355">
        <v>1561.930213531216</v>
      </c>
      <c r="G1355">
        <v>0.4987967013735063</v>
      </c>
    </row>
    <row r="1356" spans="1:7">
      <c r="A1356" t="s">
        <v>137</v>
      </c>
      <c r="B1356">
        <v>4</v>
      </c>
      <c r="C1356">
        <v>15.49779758299485</v>
      </c>
      <c r="D1356">
        <v>10.84520288419973</v>
      </c>
      <c r="E1356">
        <v>100.9904405179357</v>
      </c>
      <c r="F1356">
        <v>1564.252809908734</v>
      </c>
      <c r="G1356">
        <v>0.4988533550123148</v>
      </c>
    </row>
    <row r="1357" spans="1:7">
      <c r="A1357" t="s">
        <v>137</v>
      </c>
      <c r="B1357">
        <v>4</v>
      </c>
      <c r="C1357">
        <v>15.53007564408685</v>
      </c>
      <c r="D1357">
        <v>10.86130579849385</v>
      </c>
      <c r="E1357">
        <v>101.3407625101637</v>
      </c>
      <c r="F1357">
        <v>1566.575406286253</v>
      </c>
      <c r="G1357">
        <v>0.4989088276666617</v>
      </c>
    </row>
    <row r="1358" spans="1:7">
      <c r="A1358" t="s">
        <v>137</v>
      </c>
      <c r="B1358">
        <v>4</v>
      </c>
      <c r="C1358">
        <v>15.56235015463932</v>
      </c>
      <c r="D1358">
        <v>10.87740871278797</v>
      </c>
      <c r="E1358">
        <v>101.6915656814714</v>
      </c>
      <c r="F1358">
        <v>1568.898002663772</v>
      </c>
      <c r="G1358">
        <v>0.4989631193365474</v>
      </c>
    </row>
    <row r="1359" spans="1:7">
      <c r="A1359" t="s">
        <v>137</v>
      </c>
      <c r="B1359">
        <v>4</v>
      </c>
      <c r="C1359">
        <v>15.59462119181074</v>
      </c>
      <c r="D1359">
        <v>10.89351162708209</v>
      </c>
      <c r="E1359">
        <v>102.0428507574157</v>
      </c>
      <c r="F1359">
        <v>1571.220599041291</v>
      </c>
      <c r="G1359">
        <v>0.4990162300219717</v>
      </c>
    </row>
    <row r="1360" spans="1:7">
      <c r="A1360" t="s">
        <v>137</v>
      </c>
      <c r="B1360">
        <v>4</v>
      </c>
      <c r="C1360">
        <v>15.62688883270998</v>
      </c>
      <c r="D1360">
        <v>10.90961454137621</v>
      </c>
      <c r="E1360">
        <v>102.3946184667408</v>
      </c>
      <c r="F1360">
        <v>1573.543195418809</v>
      </c>
      <c r="G1360">
        <v>0.4990681597229352</v>
      </c>
    </row>
    <row r="1361" spans="1:7">
      <c r="A1361" t="s">
        <v>137</v>
      </c>
      <c r="B1361">
        <v>4</v>
      </c>
      <c r="C1361">
        <v>15.65915315439747</v>
      </c>
      <c r="D1361">
        <v>10.92571745567033</v>
      </c>
      <c r="E1361">
        <v>102.7468695413865</v>
      </c>
      <c r="F1361">
        <v>1575.865791796328</v>
      </c>
      <c r="G1361">
        <v>0.4991189084394371</v>
      </c>
    </row>
    <row r="1362" spans="1:7">
      <c r="A1362" t="s">
        <v>137</v>
      </c>
      <c r="B1362">
        <v>4</v>
      </c>
      <c r="C1362">
        <v>15.69141423388632</v>
      </c>
      <c r="D1362">
        <v>10.94182036996446</v>
      </c>
      <c r="E1362">
        <v>103.0996047164983</v>
      </c>
      <c r="F1362">
        <v>1578.188388173847</v>
      </c>
      <c r="G1362">
        <v>0.4991684761714778</v>
      </c>
    </row>
    <row r="1363" spans="1:7">
      <c r="A1363" t="s">
        <v>137</v>
      </c>
      <c r="B1363">
        <v>4</v>
      </c>
      <c r="C1363">
        <v>15.72367214814338</v>
      </c>
      <c r="D1363">
        <v>10.95792328425858</v>
      </c>
      <c r="E1363">
        <v>103.4528247304356</v>
      </c>
      <c r="F1363">
        <v>1580.510984551366</v>
      </c>
      <c r="G1363">
        <v>0.4992168629190571</v>
      </c>
    </row>
    <row r="1364" spans="1:7">
      <c r="A1364" t="s">
        <v>137</v>
      </c>
      <c r="B1364">
        <v>4</v>
      </c>
      <c r="C1364">
        <v>15.75592697409041</v>
      </c>
      <c r="D1364">
        <v>10.9740261985527</v>
      </c>
      <c r="E1364">
        <v>103.8065303247813</v>
      </c>
      <c r="F1364">
        <v>1582.833580928884</v>
      </c>
      <c r="G1364">
        <v>0.4992640686821754</v>
      </c>
    </row>
    <row r="1365" spans="1:7">
      <c r="A1365" t="s">
        <v>137</v>
      </c>
      <c r="B1365">
        <v>4</v>
      </c>
      <c r="C1365">
        <v>15.78817878860516</v>
      </c>
      <c r="D1365">
        <v>10.99012911284682</v>
      </c>
      <c r="E1365">
        <v>104.160722244351</v>
      </c>
      <c r="F1365">
        <v>1585.156177306403</v>
      </c>
      <c r="G1365">
        <v>0.4993100934608324</v>
      </c>
    </row>
    <row r="1366" spans="1:7">
      <c r="A1366" t="s">
        <v>137</v>
      </c>
      <c r="B1366">
        <v>4</v>
      </c>
      <c r="C1366">
        <v>15.82042766852248</v>
      </c>
      <c r="D1366">
        <v>11.00623202714094</v>
      </c>
      <c r="E1366">
        <v>104.5154012372024</v>
      </c>
      <c r="F1366">
        <v>1587.478773683922</v>
      </c>
      <c r="G1366">
        <v>0.4993549372550284</v>
      </c>
    </row>
    <row r="1367" spans="1:7">
      <c r="A1367" t="s">
        <v>137</v>
      </c>
      <c r="B1367">
        <v>4</v>
      </c>
      <c r="C1367">
        <v>15.85267369063542</v>
      </c>
      <c r="D1367">
        <v>11.02233494143506</v>
      </c>
      <c r="E1367">
        <v>104.8705680546448</v>
      </c>
      <c r="F1367">
        <v>1589.801370061441</v>
      </c>
      <c r="G1367">
        <v>0.4993986000647626</v>
      </c>
    </row>
    <row r="1368" spans="1:7">
      <c r="A1368" t="s">
        <v>137</v>
      </c>
      <c r="B1368">
        <v>4</v>
      </c>
      <c r="C1368">
        <v>15.88491693169636</v>
      </c>
      <c r="D1368">
        <v>11.03843785572918</v>
      </c>
      <c r="E1368">
        <v>105.2262234512482</v>
      </c>
      <c r="F1368">
        <v>1592.12396643896</v>
      </c>
      <c r="G1368">
        <v>0.4994410818900362</v>
      </c>
    </row>
    <row r="1369" spans="1:7">
      <c r="A1369" t="s">
        <v>137</v>
      </c>
      <c r="B1369">
        <v>4</v>
      </c>
      <c r="C1369">
        <v>15.91715746841807</v>
      </c>
      <c r="D1369">
        <v>11.0545407700233</v>
      </c>
      <c r="E1369">
        <v>105.5823681848535</v>
      </c>
      <c r="F1369">
        <v>1594.446562816478</v>
      </c>
      <c r="G1369">
        <v>0.4994823827308481</v>
      </c>
    </row>
    <row r="1370" spans="1:7">
      <c r="A1370" t="s">
        <v>137</v>
      </c>
      <c r="B1370">
        <v>4</v>
      </c>
      <c r="C1370">
        <v>15.94939537747488</v>
      </c>
      <c r="D1370">
        <v>11.07064368431742</v>
      </c>
      <c r="E1370">
        <v>105.9390030165816</v>
      </c>
      <c r="F1370">
        <v>1596.769159193997</v>
      </c>
      <c r="G1370">
        <v>0.4995225025871989</v>
      </c>
    </row>
    <row r="1371" spans="1:7">
      <c r="A1371" t="s">
        <v>137</v>
      </c>
      <c r="B1371">
        <v>4</v>
      </c>
      <c r="C1371">
        <v>15.98163073550368</v>
      </c>
      <c r="D1371">
        <v>11.08674659861154</v>
      </c>
      <c r="E1371">
        <v>106.2961287108431</v>
      </c>
      <c r="F1371">
        <v>1599.091755571516</v>
      </c>
      <c r="G1371">
        <v>0.4995614414590883</v>
      </c>
    </row>
    <row r="1372" spans="1:7">
      <c r="A1372" t="s">
        <v>137</v>
      </c>
      <c r="B1372">
        <v>4</v>
      </c>
      <c r="C1372">
        <v>16.01386361910513</v>
      </c>
      <c r="D1372">
        <v>11.10284951290567</v>
      </c>
      <c r="E1372">
        <v>106.6537460353487</v>
      </c>
      <c r="F1372">
        <v>1601.414351949035</v>
      </c>
      <c r="G1372">
        <v>0.4995991993465165</v>
      </c>
    </row>
    <row r="1373" spans="1:7">
      <c r="A1373" t="s">
        <v>137</v>
      </c>
      <c r="B1373">
        <v>4</v>
      </c>
      <c r="C1373">
        <v>16.04609410484467</v>
      </c>
      <c r="D1373">
        <v>11.11895242719979</v>
      </c>
      <c r="E1373">
        <v>107.0118557611184</v>
      </c>
      <c r="F1373">
        <v>1603.736948326554</v>
      </c>
      <c r="G1373">
        <v>0.4996357762494836</v>
      </c>
    </row>
    <row r="1374" spans="1:7">
      <c r="A1374" t="s">
        <v>137</v>
      </c>
      <c r="B1374">
        <v>4</v>
      </c>
      <c r="C1374">
        <v>16.07832226925366</v>
      </c>
      <c r="D1374">
        <v>11.13505534149391</v>
      </c>
      <c r="E1374">
        <v>107.3704586624916</v>
      </c>
      <c r="F1374">
        <v>1606.059544704072</v>
      </c>
      <c r="G1374">
        <v>0.4996711721679895</v>
      </c>
    </row>
    <row r="1375" spans="1:7">
      <c r="A1375" t="s">
        <v>137</v>
      </c>
      <c r="B1375">
        <v>4</v>
      </c>
      <c r="C1375">
        <v>16.11054818883048</v>
      </c>
      <c r="D1375">
        <v>11.15115825578803</v>
      </c>
      <c r="E1375">
        <v>107.7295555171373</v>
      </c>
      <c r="F1375">
        <v>1608.382141081591</v>
      </c>
      <c r="G1375">
        <v>0.4997053871020337</v>
      </c>
    </row>
    <row r="1376" spans="1:7">
      <c r="A1376" t="s">
        <v>137</v>
      </c>
      <c r="B1376">
        <v>4</v>
      </c>
      <c r="C1376">
        <v>16.14277194004159</v>
      </c>
      <c r="D1376">
        <v>11.16726117008215</v>
      </c>
      <c r="E1376">
        <v>108.0891471060642</v>
      </c>
      <c r="F1376">
        <v>1610.70473745911</v>
      </c>
      <c r="G1376">
        <v>0.4997384210516172</v>
      </c>
    </row>
    <row r="1377" spans="1:7">
      <c r="A1377" t="s">
        <v>137</v>
      </c>
      <c r="B1377">
        <v>4</v>
      </c>
      <c r="C1377">
        <v>16.17499359932265</v>
      </c>
      <c r="D1377">
        <v>11.18336408437627</v>
      </c>
      <c r="E1377">
        <v>108.4492342136304</v>
      </c>
      <c r="F1377">
        <v>1613.027333836628</v>
      </c>
      <c r="G1377">
        <v>0.4997702740167391</v>
      </c>
    </row>
    <row r="1378" spans="1:7">
      <c r="A1378" t="s">
        <v>137</v>
      </c>
      <c r="B1378">
        <v>4</v>
      </c>
      <c r="C1378">
        <v>16.20721324307961</v>
      </c>
      <c r="D1378">
        <v>11.19946699867039</v>
      </c>
      <c r="E1378">
        <v>108.8098176275542</v>
      </c>
      <c r="F1378">
        <v>1615.349930214147</v>
      </c>
      <c r="G1378">
        <v>0.4998009459974002</v>
      </c>
    </row>
    <row r="1379" spans="1:7">
      <c r="A1379" t="s">
        <v>137</v>
      </c>
      <c r="B1379">
        <v>4</v>
      </c>
      <c r="C1379">
        <v>16.23943094768979</v>
      </c>
      <c r="D1379">
        <v>11.21556991296451</v>
      </c>
      <c r="E1379">
        <v>109.1708981389241</v>
      </c>
      <c r="F1379">
        <v>1617.672526591666</v>
      </c>
      <c r="G1379">
        <v>0.4998304369935994</v>
      </c>
    </row>
    <row r="1380" spans="1:7">
      <c r="A1380" t="s">
        <v>137</v>
      </c>
      <c r="B1380">
        <v>4</v>
      </c>
      <c r="C1380">
        <v>16.27164678950298</v>
      </c>
      <c r="D1380">
        <v>11.23167282725863</v>
      </c>
      <c r="E1380">
        <v>109.5324765422094</v>
      </c>
      <c r="F1380">
        <v>1619.995122969185</v>
      </c>
      <c r="G1380">
        <v>0.4998587470053378</v>
      </c>
    </row>
    <row r="1381" spans="1:7">
      <c r="A1381" t="s">
        <v>137</v>
      </c>
      <c r="B1381">
        <v>4</v>
      </c>
      <c r="C1381">
        <v>16.30386084484253</v>
      </c>
      <c r="D1381">
        <v>11.24777574155275</v>
      </c>
      <c r="E1381">
        <v>109.8945536352702</v>
      </c>
      <c r="F1381">
        <v>1622.317719346703</v>
      </c>
      <c r="G1381">
        <v>0.4998858760326148</v>
      </c>
    </row>
    <row r="1382" spans="1:7">
      <c r="A1382" t="s">
        <v>137</v>
      </c>
      <c r="B1382">
        <v>4</v>
      </c>
      <c r="C1382">
        <v>16.33607319000641</v>
      </c>
      <c r="D1382">
        <v>11.26387865584688</v>
      </c>
      <c r="E1382">
        <v>110.2571302193686</v>
      </c>
      <c r="F1382">
        <v>1624.640315724222</v>
      </c>
      <c r="G1382">
        <v>0.4999118240754307</v>
      </c>
    </row>
    <row r="1383" spans="1:7">
      <c r="A1383" t="s">
        <v>137</v>
      </c>
      <c r="B1383">
        <v>4</v>
      </c>
      <c r="C1383">
        <v>16.36828390126834</v>
      </c>
      <c r="D1383">
        <v>11.279981570141</v>
      </c>
      <c r="E1383">
        <v>110.6202070991787</v>
      </c>
      <c r="F1383">
        <v>1626.962912101741</v>
      </c>
      <c r="G1383">
        <v>0.4999365911337851</v>
      </c>
    </row>
    <row r="1384" spans="1:7">
      <c r="A1384" t="s">
        <v>137</v>
      </c>
      <c r="B1384">
        <v>4</v>
      </c>
      <c r="C1384">
        <v>16.40049305487885</v>
      </c>
      <c r="D1384">
        <v>11.29608448443512</v>
      </c>
      <c r="E1384">
        <v>110.9837850827979</v>
      </c>
      <c r="F1384">
        <v>1629.28550847926</v>
      </c>
      <c r="G1384">
        <v>0.4999601772076784</v>
      </c>
    </row>
    <row r="1385" spans="1:7">
      <c r="A1385" t="s">
        <v>137</v>
      </c>
      <c r="B1385">
        <v>4</v>
      </c>
      <c r="C1385">
        <v>16.43270072706636</v>
      </c>
      <c r="D1385">
        <v>11.31218739872924</v>
      </c>
      <c r="E1385">
        <v>111.3478649817571</v>
      </c>
      <c r="F1385">
        <v>1631.608104856778</v>
      </c>
      <c r="G1385">
        <v>0.4999825822971103</v>
      </c>
    </row>
    <row r="1386" spans="1:7">
      <c r="A1386" t="s">
        <v>137</v>
      </c>
      <c r="B1386">
        <v>4</v>
      </c>
      <c r="C1386">
        <v>16.46490699403831</v>
      </c>
      <c r="D1386">
        <v>11.32829031302336</v>
      </c>
      <c r="E1386">
        <v>111.7124476110319</v>
      </c>
      <c r="F1386">
        <v>1633.930701234297</v>
      </c>
      <c r="G1386">
        <v>0.5000038064020814</v>
      </c>
    </row>
    <row r="1387" spans="1:7">
      <c r="A1387" t="s">
        <v>137</v>
      </c>
      <c r="B1387">
        <v>4</v>
      </c>
      <c r="C1387">
        <v>16.49711193198215</v>
      </c>
      <c r="D1387">
        <v>11.34439322731748</v>
      </c>
      <c r="E1387">
        <v>112.0775337890535</v>
      </c>
      <c r="F1387">
        <v>1636.253297611816</v>
      </c>
      <c r="G1387">
        <v>0.5000238495225906</v>
      </c>
    </row>
    <row r="1388" spans="1:7">
      <c r="A1388" t="s">
        <v>137</v>
      </c>
      <c r="B1388">
        <v>4</v>
      </c>
      <c r="C1388">
        <v>16.52931561706653</v>
      </c>
      <c r="D1388">
        <v>11.3604961416116</v>
      </c>
      <c r="E1388">
        <v>112.4431243377195</v>
      </c>
      <c r="F1388">
        <v>1638.575893989335</v>
      </c>
      <c r="G1388">
        <v>0.5000427116586391</v>
      </c>
    </row>
    <row r="1389" spans="1:7">
      <c r="A1389" t="s">
        <v>137</v>
      </c>
      <c r="B1389">
        <v>4</v>
      </c>
      <c r="C1389">
        <v>16.56151812544231</v>
      </c>
      <c r="D1389">
        <v>11.37659905590572</v>
      </c>
      <c r="E1389">
        <v>112.8092200824051</v>
      </c>
      <c r="F1389">
        <v>1640.898490366853</v>
      </c>
      <c r="G1389">
        <v>0.5000603928102259</v>
      </c>
    </row>
    <row r="1390" spans="1:7">
      <c r="A1390" t="s">
        <v>137</v>
      </c>
      <c r="B1390">
        <v>4</v>
      </c>
      <c r="C1390">
        <v>16.59371953324369</v>
      </c>
      <c r="D1390">
        <v>11.39270197019984</v>
      </c>
      <c r="E1390">
        <v>113.1758218519747</v>
      </c>
      <c r="F1390">
        <v>1643.221086744372</v>
      </c>
      <c r="G1390">
        <v>0.5000768929773517</v>
      </c>
    </row>
    <row r="1391" spans="1:7">
      <c r="A1391" t="s">
        <v>137</v>
      </c>
      <c r="B1391">
        <v>4</v>
      </c>
      <c r="C1391">
        <v>16.62591991658924</v>
      </c>
      <c r="D1391">
        <v>11.40880488449396</v>
      </c>
      <c r="E1391">
        <v>113.5429304787924</v>
      </c>
      <c r="F1391">
        <v>1645.543683121891</v>
      </c>
      <c r="G1391">
        <v>0.5000922121600163</v>
      </c>
    </row>
    <row r="1392" spans="1:7">
      <c r="A1392" t="s">
        <v>137</v>
      </c>
      <c r="B1392">
        <v>4</v>
      </c>
      <c r="C1392">
        <v>16.65811935158301</v>
      </c>
      <c r="D1392">
        <v>11.42490779878809</v>
      </c>
      <c r="E1392">
        <v>113.9105467987337</v>
      </c>
      <c r="F1392">
        <v>1647.86627949941</v>
      </c>
      <c r="G1392">
        <v>0.5001063503582196</v>
      </c>
    </row>
    <row r="1393" spans="1:7">
      <c r="A1393" t="s">
        <v>137</v>
      </c>
      <c r="B1393">
        <v>4</v>
      </c>
      <c r="C1393">
        <v>16.69031791431564</v>
      </c>
      <c r="D1393">
        <v>11.44101071308221</v>
      </c>
      <c r="E1393">
        <v>114.2786716511972</v>
      </c>
      <c r="F1393">
        <v>1650.188875876928</v>
      </c>
      <c r="G1393">
        <v>0.5001193075719617</v>
      </c>
    </row>
    <row r="1394" spans="1:7">
      <c r="A1394" t="s">
        <v>137</v>
      </c>
      <c r="B1394">
        <v>4</v>
      </c>
      <c r="C1394">
        <v>16.72251568086536</v>
      </c>
      <c r="D1394">
        <v>11.45711362737633</v>
      </c>
      <c r="E1394">
        <v>114.6473058791154</v>
      </c>
      <c r="F1394">
        <v>1652.511472254447</v>
      </c>
      <c r="G1394">
        <v>0.5001310838012424</v>
      </c>
    </row>
    <row r="1395" spans="1:7">
      <c r="A1395" t="s">
        <v>137</v>
      </c>
      <c r="B1395">
        <v>4</v>
      </c>
      <c r="C1395">
        <v>16.75471272729916</v>
      </c>
      <c r="D1395">
        <v>11.47321654167045</v>
      </c>
      <c r="E1395">
        <v>115.0164503289671</v>
      </c>
      <c r="F1395">
        <v>1654.834068631966</v>
      </c>
      <c r="G1395">
        <v>0.500141679046062</v>
      </c>
    </row>
    <row r="1396" spans="1:7">
      <c r="A1396" t="s">
        <v>137</v>
      </c>
      <c r="B1396">
        <v>4</v>
      </c>
      <c r="C1396">
        <v>16.78690912967379</v>
      </c>
      <c r="D1396">
        <v>11.48931945596457</v>
      </c>
      <c r="E1396">
        <v>115.3861058507882</v>
      </c>
      <c r="F1396">
        <v>1657.156665009485</v>
      </c>
      <c r="G1396">
        <v>0.5001510933064203</v>
      </c>
    </row>
    <row r="1397" spans="1:7">
      <c r="A1397" t="s">
        <v>137</v>
      </c>
      <c r="B1397">
        <v>4</v>
      </c>
      <c r="C1397">
        <v>16.8191049640369</v>
      </c>
      <c r="D1397">
        <v>11.50542237025869</v>
      </c>
      <c r="E1397">
        <v>115.7562732981843</v>
      </c>
      <c r="F1397">
        <v>1659.479261387004</v>
      </c>
      <c r="G1397">
        <v>0.5001593265823175</v>
      </c>
    </row>
    <row r="1398" spans="1:7">
      <c r="A1398" t="s">
        <v>137</v>
      </c>
      <c r="B1398">
        <v>4</v>
      </c>
      <c r="C1398">
        <v>16.85130030642806</v>
      </c>
      <c r="D1398">
        <v>11.52152528455281</v>
      </c>
      <c r="E1398">
        <v>116.1269535283419</v>
      </c>
      <c r="F1398">
        <v>1661.801857764522</v>
      </c>
      <c r="G1398">
        <v>0.5001663788737533</v>
      </c>
    </row>
    <row r="1399" spans="1:7">
      <c r="A1399" t="s">
        <v>137</v>
      </c>
      <c r="B1399">
        <v>4</v>
      </c>
      <c r="C1399">
        <v>16.88349523287991</v>
      </c>
      <c r="D1399">
        <v>11.53762819884693</v>
      </c>
      <c r="E1399">
        <v>116.4981474020404</v>
      </c>
      <c r="F1399">
        <v>1664.124454142041</v>
      </c>
      <c r="G1399">
        <v>0.5001722501807278</v>
      </c>
    </row>
    <row r="1400" spans="1:7">
      <c r="A1400" t="s">
        <v>137</v>
      </c>
      <c r="B1400">
        <v>4</v>
      </c>
      <c r="C1400">
        <v>16.91568981941916</v>
      </c>
      <c r="D1400">
        <v>11.55373111314105</v>
      </c>
      <c r="E1400">
        <v>116.8698557836645</v>
      </c>
      <c r="F1400">
        <v>1666.44705051956</v>
      </c>
      <c r="G1400">
        <v>0.5001769405032409</v>
      </c>
    </row>
    <row r="1401" spans="1:7">
      <c r="A1401" t="s">
        <v>137</v>
      </c>
      <c r="B1401">
        <v>4</v>
      </c>
      <c r="C1401">
        <v>16.94788414206774</v>
      </c>
      <c r="D1401">
        <v>11.56983402743517</v>
      </c>
      <c r="E1401">
        <v>117.2420795412157</v>
      </c>
      <c r="F1401">
        <v>1668.769646897079</v>
      </c>
      <c r="G1401">
        <v>0.5001804498412932</v>
      </c>
    </row>
    <row r="1402" spans="1:7">
      <c r="A1402" t="s">
        <v>137</v>
      </c>
      <c r="B1402">
        <v>4</v>
      </c>
      <c r="C1402">
        <v>16.98007827684381</v>
      </c>
      <c r="D1402">
        <v>11.5859369417293</v>
      </c>
      <c r="E1402">
        <v>117.6148195463249</v>
      </c>
      <c r="F1402">
        <v>1671.092243274597</v>
      </c>
      <c r="G1402">
        <v>0.5001827781948839</v>
      </c>
    </row>
    <row r="1403" spans="1:7">
      <c r="A1403" t="s">
        <v>137</v>
      </c>
      <c r="B1403">
        <v>4</v>
      </c>
      <c r="C1403">
        <v>17.01227229976287</v>
      </c>
      <c r="D1403">
        <v>11.60203985602342</v>
      </c>
      <c r="E1403">
        <v>117.9880766742644</v>
      </c>
      <c r="F1403">
        <v>1673.414839652116</v>
      </c>
      <c r="G1403">
        <v>0.5001839255640133</v>
      </c>
    </row>
    <row r="1404" spans="1:7">
      <c r="A1404" t="s">
        <v>137</v>
      </c>
      <c r="B1404">
        <v>4</v>
      </c>
      <c r="C1404">
        <v>17.04446628683886</v>
      </c>
      <c r="D1404">
        <v>11.61814277031754</v>
      </c>
      <c r="E1404">
        <v>118.3618518039604</v>
      </c>
      <c r="F1404">
        <v>1675.737436029635</v>
      </c>
      <c r="G1404">
        <v>0.5001838919486815</v>
      </c>
    </row>
    <row r="1405" spans="1:7">
      <c r="A1405" t="s">
        <v>137</v>
      </c>
      <c r="B1405">
        <v>4</v>
      </c>
      <c r="C1405">
        <v>17.0766603140852</v>
      </c>
      <c r="D1405">
        <v>11.63424568461166</v>
      </c>
      <c r="E1405">
        <v>118.7361458180053</v>
      </c>
      <c r="F1405">
        <v>1678.060032407154</v>
      </c>
      <c r="G1405">
        <v>0.5001826773488889</v>
      </c>
    </row>
    <row r="1406" spans="1:7">
      <c r="A1406" t="s">
        <v>137</v>
      </c>
      <c r="B1406">
        <v>4</v>
      </c>
      <c r="C1406">
        <v>17.10885445751587</v>
      </c>
      <c r="D1406">
        <v>11.65034859890578</v>
      </c>
      <c r="E1406">
        <v>119.1109596026703</v>
      </c>
      <c r="F1406">
        <v>1680.382628784673</v>
      </c>
      <c r="G1406">
        <v>0.5001802817646347</v>
      </c>
    </row>
    <row r="1407" spans="1:7">
      <c r="A1407" t="s">
        <v>137</v>
      </c>
      <c r="B1407">
        <v>4</v>
      </c>
      <c r="C1407">
        <v>17.1410487931465</v>
      </c>
      <c r="D1407">
        <v>11.6664515131999</v>
      </c>
      <c r="E1407">
        <v>119.4862940479177</v>
      </c>
      <c r="F1407">
        <v>1682.705225162191</v>
      </c>
      <c r="G1407">
        <v>0.5001767051959194</v>
      </c>
    </row>
    <row r="1408" spans="1:7">
      <c r="A1408" t="s">
        <v>137</v>
      </c>
      <c r="B1408">
        <v>4</v>
      </c>
      <c r="C1408">
        <v>17.17324339699545</v>
      </c>
      <c r="D1408">
        <v>11.68255442749402</v>
      </c>
      <c r="E1408">
        <v>119.8621500474142</v>
      </c>
      <c r="F1408">
        <v>1685.02782153971</v>
      </c>
      <c r="G1408">
        <v>0.5001719476427425</v>
      </c>
    </row>
    <row r="1409" spans="1:7">
      <c r="A1409" t="s">
        <v>137</v>
      </c>
      <c r="B1409">
        <v>4</v>
      </c>
      <c r="C1409">
        <v>17.20543834508487</v>
      </c>
      <c r="D1409">
        <v>11.69865734178814</v>
      </c>
      <c r="E1409">
        <v>120.238528498543</v>
      </c>
      <c r="F1409">
        <v>1687.350417917229</v>
      </c>
      <c r="G1409">
        <v>0.5001660091051048</v>
      </c>
    </row>
    <row r="1410" spans="1:7">
      <c r="A1410" t="s">
        <v>137</v>
      </c>
      <c r="B1410">
        <v>4</v>
      </c>
      <c r="C1410">
        <v>17.2376337134418</v>
      </c>
      <c r="D1410">
        <v>11.71476025608226</v>
      </c>
      <c r="E1410">
        <v>120.615430302417</v>
      </c>
      <c r="F1410">
        <v>1689.673014294747</v>
      </c>
      <c r="G1410">
        <v>0.5001588895830055</v>
      </c>
    </row>
    <row r="1411" spans="1:7">
      <c r="A1411" t="s">
        <v>137</v>
      </c>
      <c r="B1411">
        <v>4</v>
      </c>
      <c r="C1411">
        <v>17.26982957809922</v>
      </c>
      <c r="D1411">
        <v>11.73086317037638</v>
      </c>
      <c r="E1411">
        <v>120.9928563638916</v>
      </c>
      <c r="F1411">
        <v>1691.995610672266</v>
      </c>
      <c r="G1411">
        <v>0.5001505890764449</v>
      </c>
    </row>
    <row r="1412" spans="1:7">
      <c r="A1412" t="s">
        <v>137</v>
      </c>
      <c r="B1412">
        <v>4</v>
      </c>
      <c r="C1412">
        <v>17.30202601509716</v>
      </c>
      <c r="D1412">
        <v>11.7469660846705</v>
      </c>
      <c r="E1412">
        <v>121.370807591578</v>
      </c>
      <c r="F1412">
        <v>1694.318207049785</v>
      </c>
      <c r="G1412">
        <v>0.5001411075854237</v>
      </c>
    </row>
    <row r="1413" spans="1:7">
      <c r="A1413" t="s">
        <v>137</v>
      </c>
      <c r="B1413">
        <v>4</v>
      </c>
      <c r="C1413">
        <v>17.33422310048374</v>
      </c>
      <c r="D1413">
        <v>11.76306899896463</v>
      </c>
      <c r="E1413">
        <v>121.749284897856</v>
      </c>
      <c r="F1413">
        <v>1696.640803427304</v>
      </c>
      <c r="G1413">
        <v>0.5001304451099403</v>
      </c>
    </row>
    <row r="1414" spans="1:7">
      <c r="A1414" t="s">
        <v>137</v>
      </c>
      <c r="B1414">
        <v>4</v>
      </c>
      <c r="C1414">
        <v>17.36642091031628</v>
      </c>
      <c r="D1414">
        <v>11.77917191325875</v>
      </c>
      <c r="E1414">
        <v>122.1282891988873</v>
      </c>
      <c r="F1414">
        <v>1698.963399804823</v>
      </c>
      <c r="G1414">
        <v>0.5001186016499962</v>
      </c>
    </row>
    <row r="1415" spans="1:7">
      <c r="A1415" t="s">
        <v>137</v>
      </c>
      <c r="B1415">
        <v>4</v>
      </c>
      <c r="C1415">
        <v>17.39861952066237</v>
      </c>
      <c r="D1415">
        <v>11.79527482755287</v>
      </c>
      <c r="E1415">
        <v>122.5078214146291</v>
      </c>
      <c r="F1415">
        <v>1701.285996182341</v>
      </c>
      <c r="G1415">
        <v>0.5001055772055908</v>
      </c>
    </row>
    <row r="1416" spans="1:7">
      <c r="A1416" t="s">
        <v>137</v>
      </c>
      <c r="B1416">
        <v>4</v>
      </c>
      <c r="C1416">
        <v>17.43081900760092</v>
      </c>
      <c r="D1416">
        <v>11.81137774184699</v>
      </c>
      <c r="E1416">
        <v>122.8878824688469</v>
      </c>
      <c r="F1416">
        <v>1703.60859255986</v>
      </c>
      <c r="G1416">
        <v>0.5000913717767241</v>
      </c>
    </row>
    <row r="1417" spans="1:7">
      <c r="A1417" t="s">
        <v>137</v>
      </c>
      <c r="B1417">
        <v>4</v>
      </c>
      <c r="C1417">
        <v>17.4630194472233</v>
      </c>
      <c r="D1417">
        <v>11.82748065614111</v>
      </c>
      <c r="E1417">
        <v>123.2684732891284</v>
      </c>
      <c r="F1417">
        <v>1705.931188937378</v>
      </c>
      <c r="G1417">
        <v>0.5000759853633963</v>
      </c>
    </row>
    <row r="1418" spans="1:7">
      <c r="A1418" t="s">
        <v>137</v>
      </c>
      <c r="B1418">
        <v>4</v>
      </c>
      <c r="C1418">
        <v>17.49522091563436</v>
      </c>
      <c r="D1418">
        <v>11.84358357043523</v>
      </c>
      <c r="E1418">
        <v>123.6495948068974</v>
      </c>
      <c r="F1418">
        <v>1708.253785314897</v>
      </c>
      <c r="G1418">
        <v>0.5000594179656069</v>
      </c>
    </row>
    <row r="1419" spans="1:7">
      <c r="A1419" t="s">
        <v>137</v>
      </c>
      <c r="B1419">
        <v>4</v>
      </c>
      <c r="C1419">
        <v>17.52742348895354</v>
      </c>
      <c r="D1419">
        <v>11.85968648472935</v>
      </c>
      <c r="E1419">
        <v>124.0312479574265</v>
      </c>
      <c r="F1419">
        <v>1710.576381692416</v>
      </c>
      <c r="G1419">
        <v>0.5000416695833567</v>
      </c>
    </row>
    <row r="1420" spans="1:7">
      <c r="A1420" t="s">
        <v>137</v>
      </c>
      <c r="B1420">
        <v>4</v>
      </c>
      <c r="C1420">
        <v>17.55962724331594</v>
      </c>
      <c r="D1420">
        <v>11.87578939902347</v>
      </c>
      <c r="E1420">
        <v>124.4134336798519</v>
      </c>
      <c r="F1420">
        <v>1712.898978069935</v>
      </c>
      <c r="G1420">
        <v>0.5000227402166452</v>
      </c>
    </row>
    <row r="1421" spans="1:7">
      <c r="A1421" t="s">
        <v>137</v>
      </c>
      <c r="B1421">
        <v>4</v>
      </c>
      <c r="C1421">
        <v>17.59183225487342</v>
      </c>
      <c r="D1421">
        <v>11.89189231331759</v>
      </c>
      <c r="E1421">
        <v>124.7961529171866</v>
      </c>
      <c r="F1421">
        <v>1715.221574447454</v>
      </c>
      <c r="G1421">
        <v>0.5000026298654723</v>
      </c>
    </row>
    <row r="1422" spans="1:7">
      <c r="A1422" t="s">
        <v>137</v>
      </c>
      <c r="B1422">
        <v>4</v>
      </c>
      <c r="C1422">
        <v>17.62403859979565</v>
      </c>
      <c r="D1422">
        <v>11.90799522761171</v>
      </c>
      <c r="E1422">
        <v>125.1794066163344</v>
      </c>
      <c r="F1422">
        <v>1717.544170824973</v>
      </c>
      <c r="G1422">
        <v>0.499981338529838</v>
      </c>
    </row>
    <row r="1423" spans="1:7">
      <c r="A1423" t="s">
        <v>137</v>
      </c>
      <c r="B1423">
        <v>4</v>
      </c>
      <c r="C1423">
        <v>17.65624635427123</v>
      </c>
      <c r="D1423">
        <v>11.92409814190584</v>
      </c>
      <c r="E1423">
        <v>125.5631957281044</v>
      </c>
      <c r="F1423">
        <v>1719.866767202491</v>
      </c>
      <c r="G1423">
        <v>0.4999588662097426</v>
      </c>
    </row>
    <row r="1424" spans="1:7">
      <c r="A1424" t="s">
        <v>137</v>
      </c>
      <c r="B1424">
        <v>4</v>
      </c>
      <c r="C1424">
        <v>17.68845559450872</v>
      </c>
      <c r="D1424">
        <v>11.94020105619996</v>
      </c>
      <c r="E1424">
        <v>125.9475212072248</v>
      </c>
      <c r="F1424">
        <v>1722.18936358001</v>
      </c>
      <c r="G1424">
        <v>0.4999352129051861</v>
      </c>
    </row>
    <row r="1425" spans="1:7">
      <c r="A1425" t="s">
        <v>137</v>
      </c>
      <c r="B1425">
        <v>4</v>
      </c>
      <c r="C1425">
        <v>17.7206663967378</v>
      </c>
      <c r="D1425">
        <v>11.95630397049408</v>
      </c>
      <c r="E1425">
        <v>126.332384012357</v>
      </c>
      <c r="F1425">
        <v>1724.511959957529</v>
      </c>
      <c r="G1425">
        <v>0.4999103786161679</v>
      </c>
    </row>
    <row r="1426" spans="1:7">
      <c r="A1426" t="s">
        <v>137</v>
      </c>
      <c r="B1426">
        <v>4</v>
      </c>
      <c r="C1426">
        <v>17.75287883721029</v>
      </c>
      <c r="D1426">
        <v>11.9724068847882</v>
      </c>
      <c r="E1426">
        <v>126.7177851061101</v>
      </c>
      <c r="F1426">
        <v>1726.834556335047</v>
      </c>
      <c r="G1426">
        <v>0.4998843633426889</v>
      </c>
    </row>
    <row r="1427" spans="1:7">
      <c r="A1427" t="s">
        <v>137</v>
      </c>
      <c r="B1427">
        <v>4</v>
      </c>
      <c r="C1427">
        <v>17.78509299220123</v>
      </c>
      <c r="D1427">
        <v>11.98850979908232</v>
      </c>
      <c r="E1427">
        <v>127.1037254550555</v>
      </c>
      <c r="F1427">
        <v>1729.157152712566</v>
      </c>
      <c r="G1427">
        <v>0.4998571670847487</v>
      </c>
    </row>
    <row r="1428" spans="1:7">
      <c r="A1428" t="s">
        <v>137</v>
      </c>
      <c r="B1428">
        <v>4</v>
      </c>
      <c r="C1428">
        <v>17.81730893801004</v>
      </c>
      <c r="D1428">
        <v>12.00461271337644</v>
      </c>
      <c r="E1428">
        <v>127.4902060297412</v>
      </c>
      <c r="F1428">
        <v>1731.479749090085</v>
      </c>
      <c r="G1428">
        <v>0.4998287898423469</v>
      </c>
    </row>
    <row r="1429" spans="1:7">
      <c r="A1429" t="s">
        <v>137</v>
      </c>
      <c r="B1429">
        <v>4</v>
      </c>
      <c r="C1429">
        <v>17.84952675096153</v>
      </c>
      <c r="D1429">
        <v>12.02071562767056</v>
      </c>
      <c r="E1429">
        <v>127.8772278047065</v>
      </c>
      <c r="F1429">
        <v>1733.802345467604</v>
      </c>
      <c r="G1429">
        <v>0.4997992316154838</v>
      </c>
    </row>
    <row r="1430" spans="1:7">
      <c r="A1430" t="s">
        <v>137</v>
      </c>
      <c r="B1430">
        <v>4</v>
      </c>
      <c r="C1430">
        <v>17.88174650740704</v>
      </c>
      <c r="D1430">
        <v>12.03681854196468</v>
      </c>
      <c r="E1430">
        <v>128.2647917584967</v>
      </c>
      <c r="F1430">
        <v>1736.124941845122</v>
      </c>
      <c r="G1430">
        <v>0.4997684924041596</v>
      </c>
    </row>
    <row r="1431" spans="1:7">
      <c r="A1431" t="s">
        <v>137</v>
      </c>
      <c r="B1431">
        <v>4</v>
      </c>
      <c r="C1431">
        <v>17.91396828372547</v>
      </c>
      <c r="D1431">
        <v>12.0529214562588</v>
      </c>
      <c r="E1431">
        <v>128.652898873678</v>
      </c>
      <c r="F1431">
        <v>1738.447538222641</v>
      </c>
      <c r="G1431">
        <v>0.4997365722083746</v>
      </c>
    </row>
    <row r="1432" spans="1:7">
      <c r="A1432" t="s">
        <v>137</v>
      </c>
      <c r="B1432">
        <v>4</v>
      </c>
      <c r="C1432">
        <v>17.94619215632445</v>
      </c>
      <c r="D1432">
        <v>12.06902437055292</v>
      </c>
      <c r="E1432">
        <v>129.0415501368522</v>
      </c>
      <c r="F1432">
        <v>1740.77013460016</v>
      </c>
      <c r="G1432">
        <v>0.4997034710281276</v>
      </c>
    </row>
    <row r="1433" spans="1:7">
      <c r="A1433" t="s">
        <v>137</v>
      </c>
      <c r="B1433">
        <v>4</v>
      </c>
      <c r="C1433">
        <v>17.97841820164135</v>
      </c>
      <c r="D1433">
        <v>12.08512728484705</v>
      </c>
      <c r="E1433">
        <v>129.430746538672</v>
      </c>
      <c r="F1433">
        <v>1743.092730977679</v>
      </c>
      <c r="G1433">
        <v>0.4996691888634202</v>
      </c>
    </row>
    <row r="1434" spans="1:7">
      <c r="A1434" t="s">
        <v>137</v>
      </c>
      <c r="B1434">
        <v>4</v>
      </c>
      <c r="C1434">
        <v>18.01064649614444</v>
      </c>
      <c r="D1434">
        <v>12.10123019914117</v>
      </c>
      <c r="E1434">
        <v>129.820489073856</v>
      </c>
      <c r="F1434">
        <v>1745.415327355198</v>
      </c>
      <c r="G1434">
        <v>0.4996337257142507</v>
      </c>
    </row>
    <row r="1435" spans="1:7">
      <c r="A1435" t="s">
        <v>137</v>
      </c>
      <c r="B1435">
        <v>4</v>
      </c>
      <c r="C1435">
        <v>18.04287711633392</v>
      </c>
      <c r="D1435">
        <v>12.11733311343529</v>
      </c>
      <c r="E1435">
        <v>130.2107787412039</v>
      </c>
      <c r="F1435">
        <v>1747.737923732716</v>
      </c>
      <c r="G1435">
        <v>0.4995970815806204</v>
      </c>
    </row>
    <row r="1436" spans="1:7">
      <c r="A1436" t="s">
        <v>137</v>
      </c>
      <c r="B1436">
        <v>4</v>
      </c>
      <c r="C1436">
        <v>18.07511013874309</v>
      </c>
      <c r="D1436">
        <v>12.13343602772941</v>
      </c>
      <c r="E1436">
        <v>130.601616543612</v>
      </c>
      <c r="F1436">
        <v>1750.060520110235</v>
      </c>
      <c r="G1436">
        <v>0.4995592564625288</v>
      </c>
    </row>
    <row r="1437" spans="1:7">
      <c r="A1437" t="s">
        <v>137</v>
      </c>
      <c r="B1437">
        <v>4</v>
      </c>
      <c r="C1437">
        <v>18.10734563993934</v>
      </c>
      <c r="D1437">
        <v>12.14953894202353</v>
      </c>
      <c r="E1437">
        <v>130.9930034880881</v>
      </c>
      <c r="F1437">
        <v>1752.383116487754</v>
      </c>
      <c r="G1437">
        <v>0.4995202503599758</v>
      </c>
    </row>
    <row r="1438" spans="1:7">
      <c r="A1438" t="s">
        <v>137</v>
      </c>
      <c r="B1438">
        <v>4</v>
      </c>
      <c r="C1438">
        <v>18.13958369652537</v>
      </c>
      <c r="D1438">
        <v>12.16564185631765</v>
      </c>
      <c r="E1438">
        <v>131.3849405857678</v>
      </c>
      <c r="F1438">
        <v>1754.705712865273</v>
      </c>
      <c r="G1438">
        <v>0.4994800632729618</v>
      </c>
    </row>
    <row r="1439" spans="1:7">
      <c r="A1439" t="s">
        <v>137</v>
      </c>
      <c r="B1439">
        <v>4</v>
      </c>
      <c r="C1439">
        <v>18.17182438514019</v>
      </c>
      <c r="D1439">
        <v>12.18174477061177</v>
      </c>
      <c r="E1439">
        <v>131.7774288519297</v>
      </c>
      <c r="F1439">
        <v>1757.028309242791</v>
      </c>
      <c r="G1439">
        <v>0.4994386952014865</v>
      </c>
    </row>
    <row r="1440" spans="1:7">
      <c r="A1440" t="s">
        <v>137</v>
      </c>
      <c r="B1440">
        <v>4</v>
      </c>
      <c r="C1440">
        <v>18.20406778246026</v>
      </c>
      <c r="D1440">
        <v>12.19784768490589</v>
      </c>
      <c r="E1440">
        <v>132.1704693060109</v>
      </c>
      <c r="F1440">
        <v>1759.35090562031</v>
      </c>
      <c r="G1440">
        <v>0.4993961461455499</v>
      </c>
    </row>
    <row r="1441" spans="1:7">
      <c r="A1441" t="s">
        <v>137</v>
      </c>
      <c r="B1441">
        <v>4</v>
      </c>
      <c r="C1441">
        <v>18.23631396520059</v>
      </c>
      <c r="D1441">
        <v>12.21395059920001</v>
      </c>
      <c r="E1441">
        <v>132.5640629716235</v>
      </c>
      <c r="F1441">
        <v>1761.673501997829</v>
      </c>
      <c r="G1441">
        <v>0.4993524161051517</v>
      </c>
    </row>
    <row r="1442" spans="1:7">
      <c r="A1442" t="s">
        <v>137</v>
      </c>
      <c r="B1442">
        <v>4</v>
      </c>
      <c r="C1442">
        <v>18.26856301011585</v>
      </c>
      <c r="D1442">
        <v>12.23005351349413</v>
      </c>
      <c r="E1442">
        <v>132.9582108765698</v>
      </c>
      <c r="F1442">
        <v>1763.996098375348</v>
      </c>
      <c r="G1442">
        <v>0.4993075050802928</v>
      </c>
    </row>
    <row r="1443" spans="1:7">
      <c r="A1443" t="s">
        <v>137</v>
      </c>
      <c r="B1443">
        <v>4</v>
      </c>
      <c r="C1443">
        <v>18.30081499400143</v>
      </c>
      <c r="D1443">
        <v>12.24615642778826</v>
      </c>
      <c r="E1443">
        <v>133.3529140528591</v>
      </c>
      <c r="F1443">
        <v>1766.318694752866</v>
      </c>
      <c r="G1443">
        <v>0.4992614130709725</v>
      </c>
    </row>
    <row r="1444" spans="1:7">
      <c r="A1444" t="s">
        <v>137</v>
      </c>
      <c r="B1444">
        <v>4</v>
      </c>
      <c r="C1444">
        <v>18.33306999369461</v>
      </c>
      <c r="D1444">
        <v>12.26225934208238</v>
      </c>
      <c r="E1444">
        <v>133.7481735367233</v>
      </c>
      <c r="F1444">
        <v>1768.641291130385</v>
      </c>
      <c r="G1444">
        <v>0.4992141400771908</v>
      </c>
    </row>
    <row r="1445" spans="1:7">
      <c r="A1445" t="s">
        <v>137</v>
      </c>
      <c r="B1445">
        <v>4</v>
      </c>
      <c r="C1445">
        <v>18.36532808607559</v>
      </c>
      <c r="D1445">
        <v>12.2783622563765</v>
      </c>
      <c r="E1445">
        <v>134.1439903686333</v>
      </c>
      <c r="F1445">
        <v>1770.963887507904</v>
      </c>
      <c r="G1445">
        <v>0.4991656860989481</v>
      </c>
    </row>
    <row r="1446" spans="1:7">
      <c r="A1446" t="s">
        <v>137</v>
      </c>
      <c r="B1446">
        <v>4</v>
      </c>
      <c r="C1446">
        <v>18.39758934806868</v>
      </c>
      <c r="D1446">
        <v>12.29446517067062</v>
      </c>
      <c r="E1446">
        <v>134.5403655933157</v>
      </c>
      <c r="F1446">
        <v>1773.286483885423</v>
      </c>
      <c r="G1446">
        <v>0.4991160511362442</v>
      </c>
    </row>
    <row r="1447" spans="1:7">
      <c r="A1447" t="s">
        <v>137</v>
      </c>
      <c r="B1447">
        <v>4</v>
      </c>
      <c r="C1447">
        <v>18.42985385664334</v>
      </c>
      <c r="D1447">
        <v>12.31056808496474</v>
      </c>
      <c r="E1447">
        <v>134.9373002597686</v>
      </c>
      <c r="F1447">
        <v>1775.609080262941</v>
      </c>
      <c r="G1447">
        <v>0.4990652351890784</v>
      </c>
    </row>
    <row r="1448" spans="1:7">
      <c r="A1448" t="s">
        <v>137</v>
      </c>
      <c r="B1448">
        <v>4</v>
      </c>
      <c r="C1448">
        <v>18.46212168881533</v>
      </c>
      <c r="D1448">
        <v>12.32667099925886</v>
      </c>
      <c r="E1448">
        <v>135.3347954212791</v>
      </c>
      <c r="F1448">
        <v>1777.93167664046</v>
      </c>
      <c r="G1448">
        <v>0.4990132382574521</v>
      </c>
    </row>
    <row r="1449" spans="1:7">
      <c r="A1449" t="s">
        <v>137</v>
      </c>
      <c r="B1449">
        <v>4</v>
      </c>
      <c r="C1449">
        <v>18.49439292164782</v>
      </c>
      <c r="D1449">
        <v>12.34277391355298</v>
      </c>
      <c r="E1449">
        <v>135.7328521354392</v>
      </c>
      <c r="F1449">
        <v>1780.254273017979</v>
      </c>
      <c r="G1449">
        <v>0.4989600603413639</v>
      </c>
    </row>
    <row r="1450" spans="1:7">
      <c r="A1450" t="s">
        <v>137</v>
      </c>
      <c r="B1450">
        <v>4</v>
      </c>
      <c r="C1450">
        <v>18.52666763225247</v>
      </c>
      <c r="D1450">
        <v>12.3588768278471</v>
      </c>
      <c r="E1450">
        <v>136.131471464163</v>
      </c>
      <c r="F1450">
        <v>1782.576869395497</v>
      </c>
      <c r="G1450">
        <v>0.4989057014408148</v>
      </c>
    </row>
    <row r="1451" spans="1:7">
      <c r="A1451" t="s">
        <v>137</v>
      </c>
      <c r="B1451">
        <v>4</v>
      </c>
      <c r="C1451">
        <v>18.55894589779061</v>
      </c>
      <c r="D1451">
        <v>12.37497974214122</v>
      </c>
      <c r="E1451">
        <v>136.5306544737036</v>
      </c>
      <c r="F1451">
        <v>1784.899465773016</v>
      </c>
      <c r="G1451">
        <v>0.4988501615558045</v>
      </c>
    </row>
    <row r="1452" spans="1:7">
      <c r="A1452" t="s">
        <v>137</v>
      </c>
      <c r="B1452">
        <v>4</v>
      </c>
      <c r="C1452">
        <v>18.59122779547427</v>
      </c>
      <c r="D1452">
        <v>12.39108265643534</v>
      </c>
      <c r="E1452">
        <v>136.9304022346702</v>
      </c>
      <c r="F1452">
        <v>1787.222062150535</v>
      </c>
      <c r="G1452">
        <v>0.498793440686333</v>
      </c>
    </row>
    <row r="1453" spans="1:7">
      <c r="A1453" t="s">
        <v>137</v>
      </c>
      <c r="B1453">
        <v>4</v>
      </c>
      <c r="C1453">
        <v>18.6235134025674</v>
      </c>
      <c r="D1453">
        <v>12.40718557072947</v>
      </c>
      <c r="E1453">
        <v>137.330715822045</v>
      </c>
      <c r="F1453">
        <v>1789.544658528054</v>
      </c>
      <c r="G1453">
        <v>0.4987355388324002</v>
      </c>
    </row>
    <row r="1454" spans="1:7">
      <c r="A1454" t="s">
        <v>137</v>
      </c>
      <c r="B1454">
        <v>4</v>
      </c>
      <c r="C1454">
        <v>18.65580279638691</v>
      </c>
      <c r="D1454">
        <v>12.42328848502359</v>
      </c>
      <c r="E1454">
        <v>137.7315963152007</v>
      </c>
      <c r="F1454">
        <v>1791.867254905573</v>
      </c>
      <c r="G1454">
        <v>0.498676455994006</v>
      </c>
    </row>
    <row r="1455" spans="1:7">
      <c r="A1455" t="s">
        <v>137</v>
      </c>
      <c r="B1455">
        <v>4</v>
      </c>
      <c r="C1455">
        <v>18.68809605430382</v>
      </c>
      <c r="D1455">
        <v>12.43939139931771</v>
      </c>
      <c r="E1455">
        <v>138.1330447979176</v>
      </c>
      <c r="F1455">
        <v>1794.189851283091</v>
      </c>
      <c r="G1455">
        <v>0.4986161921711509</v>
      </c>
    </row>
    <row r="1456" spans="1:7">
      <c r="A1456" t="s">
        <v>137</v>
      </c>
      <c r="B1456">
        <v>4</v>
      </c>
      <c r="C1456">
        <v>18.72039325374442</v>
      </c>
      <c r="D1456">
        <v>12.45549431361183</v>
      </c>
      <c r="E1456">
        <v>138.5350623584017</v>
      </c>
      <c r="F1456">
        <v>1796.51244766061</v>
      </c>
      <c r="G1456">
        <v>0.4985547473638343</v>
      </c>
    </row>
    <row r="1457" spans="1:7">
      <c r="A1457" t="s">
        <v>137</v>
      </c>
      <c r="B1457">
        <v>4</v>
      </c>
      <c r="C1457">
        <v>18.75269447219133</v>
      </c>
      <c r="D1457">
        <v>12.47159722790595</v>
      </c>
      <c r="E1457">
        <v>138.9376500893014</v>
      </c>
      <c r="F1457">
        <v>1798.835044038129</v>
      </c>
      <c r="G1457">
        <v>0.4984921215720563</v>
      </c>
    </row>
    <row r="1458" spans="1:7">
      <c r="A1458" t="s">
        <v>137</v>
      </c>
      <c r="B1458">
        <v>4</v>
      </c>
      <c r="C1458">
        <v>18.78499978718468</v>
      </c>
      <c r="D1458">
        <v>12.48770014220007</v>
      </c>
      <c r="E1458">
        <v>139.3408090877261</v>
      </c>
      <c r="F1458">
        <v>1801.157640415648</v>
      </c>
      <c r="G1458">
        <v>0.4984283147958171</v>
      </c>
    </row>
    <row r="1459" spans="1:7">
      <c r="A1459" t="s">
        <v>137</v>
      </c>
      <c r="B1459">
        <v>4</v>
      </c>
      <c r="C1459">
        <v>18.81730927632323</v>
      </c>
      <c r="D1459">
        <v>12.50380305649419</v>
      </c>
      <c r="E1459">
        <v>139.7445404552635</v>
      </c>
      <c r="F1459">
        <v>1803.480236793167</v>
      </c>
      <c r="G1459">
        <v>0.4983633270351169</v>
      </c>
    </row>
    <row r="1460" spans="1:7">
      <c r="A1460" t="s">
        <v>137</v>
      </c>
      <c r="B1460">
        <v>4</v>
      </c>
      <c r="C1460">
        <v>18.8496230172655</v>
      </c>
      <c r="D1460">
        <v>12.51990597078831</v>
      </c>
      <c r="E1460">
        <v>140.1488452979977</v>
      </c>
      <c r="F1460">
        <v>1805.802833170685</v>
      </c>
      <c r="G1460">
        <v>0.4982971582899551</v>
      </c>
    </row>
    <row r="1461" spans="1:7">
      <c r="A1461" t="s">
        <v>137</v>
      </c>
      <c r="B1461">
        <v>4</v>
      </c>
      <c r="C1461">
        <v>18.88194108773091</v>
      </c>
      <c r="D1461">
        <v>12.53600888508243</v>
      </c>
      <c r="E1461">
        <v>140.5537247265274</v>
      </c>
      <c r="F1461">
        <v>1808.125429548204</v>
      </c>
      <c r="G1461">
        <v>0.4982298085603324</v>
      </c>
    </row>
    <row r="1462" spans="1:7">
      <c r="A1462" t="s">
        <v>137</v>
      </c>
      <c r="B1462">
        <v>4</v>
      </c>
      <c r="C1462">
        <v>18.9142635655009</v>
      </c>
      <c r="D1462">
        <v>12.55211179937655</v>
      </c>
      <c r="E1462">
        <v>140.9591798559838</v>
      </c>
      <c r="F1462">
        <v>1810.448025925723</v>
      </c>
      <c r="G1462">
        <v>0.4981612778462484</v>
      </c>
    </row>
    <row r="1463" spans="1:7">
      <c r="A1463" t="s">
        <v>137</v>
      </c>
      <c r="B1463">
        <v>4</v>
      </c>
      <c r="C1463">
        <v>18.9465905284201</v>
      </c>
      <c r="D1463">
        <v>12.56821471367068</v>
      </c>
      <c r="E1463">
        <v>141.3652118060492</v>
      </c>
      <c r="F1463">
        <v>1812.770622303242</v>
      </c>
      <c r="G1463">
        <v>0.4980915661477029</v>
      </c>
    </row>
    <row r="1464" spans="1:7">
      <c r="A1464" t="s">
        <v>137</v>
      </c>
      <c r="B1464">
        <v>4</v>
      </c>
      <c r="C1464">
        <v>18.97892205439743</v>
      </c>
      <c r="D1464">
        <v>12.5843176279648</v>
      </c>
      <c r="E1464">
        <v>141.7718217009753</v>
      </c>
      <c r="F1464">
        <v>1815.093218680761</v>
      </c>
      <c r="G1464">
        <v>0.4980206734646964</v>
      </c>
    </row>
    <row r="1465" spans="1:7">
      <c r="A1465" t="s">
        <v>137</v>
      </c>
      <c r="B1465">
        <v>4</v>
      </c>
      <c r="C1465">
        <v>19.0112582214073</v>
      </c>
      <c r="D1465">
        <v>12.60042054225892</v>
      </c>
      <c r="E1465">
        <v>142.1790106696019</v>
      </c>
      <c r="F1465">
        <v>1817.415815058279</v>
      </c>
      <c r="G1465">
        <v>0.4979485997972285</v>
      </c>
    </row>
    <row r="1466" spans="1:7">
      <c r="A1466" t="s">
        <v>137</v>
      </c>
      <c r="B1466">
        <v>4</v>
      </c>
      <c r="C1466">
        <v>19.04359910749071</v>
      </c>
      <c r="D1466">
        <v>12.61652345655304</v>
      </c>
      <c r="E1466">
        <v>142.5867798453754</v>
      </c>
      <c r="F1466">
        <v>1819.738411435798</v>
      </c>
      <c r="G1466">
        <v>0.4978753451452997</v>
      </c>
    </row>
    <row r="1467" spans="1:7">
      <c r="A1467" t="s">
        <v>137</v>
      </c>
      <c r="B1467">
        <v>4</v>
      </c>
      <c r="C1467">
        <v>19.07594479075642</v>
      </c>
      <c r="D1467">
        <v>12.63262637084716</v>
      </c>
      <c r="E1467">
        <v>142.9951303663677</v>
      </c>
      <c r="F1467">
        <v>1822.061007813317</v>
      </c>
      <c r="G1467">
        <v>0.4978009095089092</v>
      </c>
    </row>
    <row r="1468" spans="1:7">
      <c r="A1468" t="s">
        <v>137</v>
      </c>
      <c r="B1468">
        <v>4</v>
      </c>
      <c r="C1468">
        <v>19.10829534938211</v>
      </c>
      <c r="D1468">
        <v>12.64872928514128</v>
      </c>
      <c r="E1468">
        <v>143.404063375295</v>
      </c>
      <c r="F1468">
        <v>1824.383604190836</v>
      </c>
      <c r="G1468">
        <v>0.4977252928880576</v>
      </c>
    </row>
    <row r="1469" spans="1:7">
      <c r="A1469" t="s">
        <v>137</v>
      </c>
      <c r="B1469">
        <v>4</v>
      </c>
      <c r="C1469">
        <v>19.1406508616155</v>
      </c>
      <c r="D1469">
        <v>12.6648321994354</v>
      </c>
      <c r="E1469">
        <v>143.8135800195369</v>
      </c>
      <c r="F1469">
        <v>1826.706200568354</v>
      </c>
      <c r="G1469">
        <v>0.4976484952827448</v>
      </c>
    </row>
    <row r="1470" spans="1:7">
      <c r="A1470" t="s">
        <v>137</v>
      </c>
      <c r="B1470">
        <v>4</v>
      </c>
      <c r="C1470">
        <v>19.17301140577554</v>
      </c>
      <c r="D1470">
        <v>12.68093511372952</v>
      </c>
      <c r="E1470">
        <v>144.2236814511558</v>
      </c>
      <c r="F1470">
        <v>1829.028796945873</v>
      </c>
      <c r="G1470">
        <v>0.4975705166929707</v>
      </c>
    </row>
    <row r="1471" spans="1:7">
      <c r="A1471" t="s">
        <v>137</v>
      </c>
      <c r="B1471">
        <v>4</v>
      </c>
      <c r="C1471">
        <v>19.20537706025358</v>
      </c>
      <c r="D1471">
        <v>12.69703802802364</v>
      </c>
      <c r="E1471">
        <v>144.6343688269158</v>
      </c>
      <c r="F1471">
        <v>1831.351393323391</v>
      </c>
      <c r="G1471">
        <v>0.4974913571187355</v>
      </c>
    </row>
    <row r="1472" spans="1:7">
      <c r="A1472" t="s">
        <v>137</v>
      </c>
      <c r="B1472">
        <v>4</v>
      </c>
      <c r="C1472">
        <v>19.23774790351448</v>
      </c>
      <c r="D1472">
        <v>12.71314094231776</v>
      </c>
      <c r="E1472">
        <v>145.0456433083027</v>
      </c>
      <c r="F1472">
        <v>1833.67398970091</v>
      </c>
      <c r="G1472">
        <v>0.4974110165600389</v>
      </c>
    </row>
    <row r="1473" spans="1:7">
      <c r="A1473" t="s">
        <v>137</v>
      </c>
      <c r="B1473">
        <v>4</v>
      </c>
      <c r="C1473">
        <v>19.27012401409782</v>
      </c>
      <c r="D1473">
        <v>12.72924385661188</v>
      </c>
      <c r="E1473">
        <v>145.4575060615427</v>
      </c>
      <c r="F1473">
        <v>1835.996586078429</v>
      </c>
      <c r="G1473">
        <v>0.4973294950168811</v>
      </c>
    </row>
    <row r="1474" spans="1:7">
      <c r="A1474" t="s">
        <v>137</v>
      </c>
      <c r="B1474">
        <v>4</v>
      </c>
      <c r="C1474">
        <v>19.30250547061906</v>
      </c>
      <c r="D1474">
        <v>12.74534677090601</v>
      </c>
      <c r="E1474">
        <v>145.8699582576229</v>
      </c>
      <c r="F1474">
        <v>1838.319182455948</v>
      </c>
      <c r="G1474">
        <v>0.4972467924892622</v>
      </c>
    </row>
    <row r="1475" spans="1:7">
      <c r="A1475" t="s">
        <v>137</v>
      </c>
      <c r="B1475">
        <v>4</v>
      </c>
      <c r="C1475">
        <v>19.33489235177067</v>
      </c>
      <c r="D1475">
        <v>12.76144968520013</v>
      </c>
      <c r="E1475">
        <v>146.2830010723107</v>
      </c>
      <c r="F1475">
        <v>1840.641778833467</v>
      </c>
      <c r="G1475">
        <v>0.4971629089771817</v>
      </c>
    </row>
    <row r="1476" spans="1:7">
      <c r="A1476" t="s">
        <v>137</v>
      </c>
      <c r="B1476">
        <v>4</v>
      </c>
      <c r="C1476">
        <v>19.36728473632339</v>
      </c>
      <c r="D1476">
        <v>12.77755259949425</v>
      </c>
      <c r="E1476">
        <v>146.6966356861738</v>
      </c>
      <c r="F1476">
        <v>1842.964375210986</v>
      </c>
      <c r="G1476">
        <v>0.4970778444806402</v>
      </c>
    </row>
    <row r="1477" spans="1:7">
      <c r="A1477" t="s">
        <v>137</v>
      </c>
      <c r="B1477">
        <v>4</v>
      </c>
      <c r="C1477">
        <v>19.39968270312731</v>
      </c>
      <c r="D1477">
        <v>12.79365551378837</v>
      </c>
      <c r="E1477">
        <v>147.1108632846004</v>
      </c>
      <c r="F1477">
        <v>1845.286971588504</v>
      </c>
      <c r="G1477">
        <v>0.4969915989996372</v>
      </c>
    </row>
    <row r="1478" spans="1:7">
      <c r="A1478" t="s">
        <v>137</v>
      </c>
      <c r="B1478">
        <v>4</v>
      </c>
      <c r="C1478">
        <v>19.4320863311131</v>
      </c>
      <c r="D1478">
        <v>12.80975842808249</v>
      </c>
      <c r="E1478">
        <v>147.525685057819</v>
      </c>
      <c r="F1478">
        <v>1847.609567966023</v>
      </c>
      <c r="G1478">
        <v>0.4969041725341732</v>
      </c>
    </row>
    <row r="1479" spans="1:7">
      <c r="A1479" t="s">
        <v>137</v>
      </c>
      <c r="B1479">
        <v>4</v>
      </c>
      <c r="C1479">
        <v>19.4644956992932</v>
      </c>
      <c r="D1479">
        <v>12.82586134237661</v>
      </c>
      <c r="E1479">
        <v>147.9411022009195</v>
      </c>
      <c r="F1479">
        <v>1849.932164343541</v>
      </c>
      <c r="G1479">
        <v>0.4968155650842481</v>
      </c>
    </row>
    <row r="1480" spans="1:7">
      <c r="A1480" t="s">
        <v>137</v>
      </c>
      <c r="B1480">
        <v>4</v>
      </c>
      <c r="C1480">
        <v>19.49691088676297</v>
      </c>
      <c r="D1480">
        <v>12.84196425667073</v>
      </c>
      <c r="E1480">
        <v>148.3571159138729</v>
      </c>
      <c r="F1480">
        <v>1852.254760721061</v>
      </c>
      <c r="G1480">
        <v>0.4967257766498614</v>
      </c>
    </row>
    <row r="1481" spans="1:7">
      <c r="A1481" t="s">
        <v>137</v>
      </c>
      <c r="B1481">
        <v>4</v>
      </c>
      <c r="C1481">
        <v>19.52933197270188</v>
      </c>
      <c r="D1481">
        <v>12.85806717096485</v>
      </c>
      <c r="E1481">
        <v>148.7737274015521</v>
      </c>
      <c r="F1481">
        <v>1854.577357098579</v>
      </c>
      <c r="G1481">
        <v>0.4966348072310137</v>
      </c>
    </row>
    <row r="1482" spans="1:7">
      <c r="A1482" t="s">
        <v>137</v>
      </c>
      <c r="B1482">
        <v>4</v>
      </c>
      <c r="C1482">
        <v>19.56175903637476</v>
      </c>
      <c r="D1482">
        <v>12.87417008525897</v>
      </c>
      <c r="E1482">
        <v>149.190937873753</v>
      </c>
      <c r="F1482">
        <v>1856.899953476098</v>
      </c>
      <c r="G1482">
        <v>0.4965426568277045</v>
      </c>
    </row>
    <row r="1483" spans="1:7">
      <c r="A1483" t="s">
        <v>137</v>
      </c>
      <c r="B1483">
        <v>4</v>
      </c>
      <c r="C1483">
        <v>19.59419215713289</v>
      </c>
      <c r="D1483">
        <v>12.89027299955309</v>
      </c>
      <c r="E1483">
        <v>149.6087485452149</v>
      </c>
      <c r="F1483">
        <v>1859.222549853616</v>
      </c>
      <c r="G1483">
        <v>0.4964493254399342</v>
      </c>
    </row>
    <row r="1484" spans="1:7">
      <c r="A1484" t="s">
        <v>137</v>
      </c>
      <c r="B1484">
        <v>4</v>
      </c>
      <c r="C1484">
        <v>19.62663141441532</v>
      </c>
      <c r="D1484">
        <v>12.90637591384722</v>
      </c>
      <c r="E1484">
        <v>150.027160635642</v>
      </c>
      <c r="F1484">
        <v>1861.545146231135</v>
      </c>
      <c r="G1484">
        <v>0.4963548130677028</v>
      </c>
    </row>
    <row r="1485" spans="1:7">
      <c r="A1485" t="s">
        <v>137</v>
      </c>
      <c r="B1485">
        <v>4</v>
      </c>
      <c r="C1485">
        <v>19.65907688774996</v>
      </c>
      <c r="D1485">
        <v>12.92247882814134</v>
      </c>
      <c r="E1485">
        <v>150.4461753697241</v>
      </c>
      <c r="F1485">
        <v>1863.867742608654</v>
      </c>
      <c r="G1485">
        <v>0.4962591197110102</v>
      </c>
    </row>
    <row r="1486" spans="1:7">
      <c r="A1486" t="s">
        <v>137</v>
      </c>
      <c r="B1486">
        <v>4</v>
      </c>
      <c r="C1486">
        <v>19.69152865675485</v>
      </c>
      <c r="D1486">
        <v>12.93858174243546</v>
      </c>
      <c r="E1486">
        <v>150.8657939771579</v>
      </c>
      <c r="F1486">
        <v>1866.190338986173</v>
      </c>
      <c r="G1486">
        <v>0.496162245369856</v>
      </c>
    </row>
    <row r="1487" spans="1:7">
      <c r="A1487" t="s">
        <v>137</v>
      </c>
      <c r="B1487">
        <v>4</v>
      </c>
      <c r="C1487">
        <v>19.72398680113933</v>
      </c>
      <c r="D1487">
        <v>12.95468465672958</v>
      </c>
      <c r="E1487">
        <v>151.286017692669</v>
      </c>
      <c r="F1487">
        <v>1868.512935363692</v>
      </c>
      <c r="G1487">
        <v>0.4960641900442407</v>
      </c>
    </row>
    <row r="1488" spans="1:7">
      <c r="A1488" t="s">
        <v>137</v>
      </c>
      <c r="B1488">
        <v>4</v>
      </c>
      <c r="C1488">
        <v>19.75645140070527</v>
      </c>
      <c r="D1488">
        <v>12.9707875710237</v>
      </c>
      <c r="E1488">
        <v>151.7068477560325</v>
      </c>
      <c r="F1488">
        <v>1870.835531741211</v>
      </c>
      <c r="G1488">
        <v>0.4959649537341642</v>
      </c>
    </row>
    <row r="1489" spans="1:7">
      <c r="A1489" t="s">
        <v>137</v>
      </c>
      <c r="B1489">
        <v>4</v>
      </c>
      <c r="C1489">
        <v>19.78892253534831</v>
      </c>
      <c r="D1489">
        <v>12.98689048531782</v>
      </c>
      <c r="E1489">
        <v>152.1282854120959</v>
      </c>
      <c r="F1489">
        <v>1873.158128118729</v>
      </c>
      <c r="G1489">
        <v>0.495864536439626</v>
      </c>
    </row>
    <row r="1490" spans="1:7">
      <c r="A1490" t="s">
        <v>137</v>
      </c>
      <c r="B1490">
        <v>4</v>
      </c>
      <c r="C1490">
        <v>19.821400285059</v>
      </c>
      <c r="D1490">
        <v>13.00299339961194</v>
      </c>
      <c r="E1490">
        <v>152.5503319107999</v>
      </c>
      <c r="F1490">
        <v>1875.480724496248</v>
      </c>
      <c r="G1490">
        <v>0.4957629381606274</v>
      </c>
    </row>
    <row r="1491" spans="1:7">
      <c r="A1491" t="s">
        <v>137</v>
      </c>
      <c r="B1491">
        <v>4</v>
      </c>
      <c r="C1491">
        <v>19.8538847299241</v>
      </c>
      <c r="D1491">
        <v>13.01909631390606</v>
      </c>
      <c r="E1491">
        <v>152.9729885072008</v>
      </c>
      <c r="F1491">
        <v>1877.803320873767</v>
      </c>
      <c r="G1491">
        <v>0.495660158897167</v>
      </c>
    </row>
    <row r="1492" spans="1:7">
      <c r="A1492" t="s">
        <v>137</v>
      </c>
      <c r="B1492">
        <v>4</v>
      </c>
      <c r="C1492">
        <v>19.88637595012776</v>
      </c>
      <c r="D1492">
        <v>13.03519922820018</v>
      </c>
      <c r="E1492">
        <v>153.3962564614929</v>
      </c>
      <c r="F1492">
        <v>1880.125917251285</v>
      </c>
      <c r="G1492">
        <v>0.4955561986492454</v>
      </c>
    </row>
    <row r="1493" spans="1:7">
      <c r="A1493" t="s">
        <v>137</v>
      </c>
      <c r="B1493">
        <v>4</v>
      </c>
      <c r="C1493">
        <v>19.91887402595275</v>
      </c>
      <c r="D1493">
        <v>13.0513021424943</v>
      </c>
      <c r="E1493">
        <v>153.8201370390303</v>
      </c>
      <c r="F1493">
        <v>1882.448513628804</v>
      </c>
      <c r="G1493">
        <v>0.4954510574168629</v>
      </c>
    </row>
    <row r="1494" spans="1:7">
      <c r="A1494" t="s">
        <v>137</v>
      </c>
      <c r="B1494">
        <v>4</v>
      </c>
      <c r="C1494">
        <v>19.95137903778172</v>
      </c>
      <c r="D1494">
        <v>13.06740505678843</v>
      </c>
      <c r="E1494">
        <v>154.2446315103497</v>
      </c>
      <c r="F1494">
        <v>1884.771110006323</v>
      </c>
      <c r="G1494">
        <v>0.4953447352000188</v>
      </c>
    </row>
    <row r="1495" spans="1:7">
      <c r="A1495" t="s">
        <v>137</v>
      </c>
      <c r="B1495">
        <v>4</v>
      </c>
      <c r="C1495">
        <v>19.9838910660984</v>
      </c>
      <c r="D1495">
        <v>13.08350797108255</v>
      </c>
      <c r="E1495">
        <v>154.6697411511928</v>
      </c>
      <c r="F1495">
        <v>1887.093706383841</v>
      </c>
      <c r="G1495">
        <v>0.4952372319987136</v>
      </c>
    </row>
    <row r="1496" spans="1:7">
      <c r="A1496" t="s">
        <v>137</v>
      </c>
      <c r="B1496">
        <v>4</v>
      </c>
      <c r="C1496">
        <v>20.01641019148885</v>
      </c>
      <c r="D1496">
        <v>13.09961088537667</v>
      </c>
      <c r="E1496">
        <v>155.0954672425291</v>
      </c>
      <c r="F1496">
        <v>1889.41630276136</v>
      </c>
      <c r="G1496">
        <v>0.4951285478129468</v>
      </c>
    </row>
    <row r="1497" spans="1:7">
      <c r="A1497" t="s">
        <v>137</v>
      </c>
      <c r="B1497">
        <v>4</v>
      </c>
      <c r="C1497">
        <v>20.04893649464271</v>
      </c>
      <c r="D1497">
        <v>13.11571379967079</v>
      </c>
      <c r="E1497">
        <v>155.5218110705787</v>
      </c>
      <c r="F1497">
        <v>1891.738899138879</v>
      </c>
      <c r="G1497">
        <v>0.4950186826427191</v>
      </c>
    </row>
    <row r="1498" spans="1:7">
      <c r="A1498" t="s">
        <v>137</v>
      </c>
      <c r="B1498">
        <v>4</v>
      </c>
      <c r="C1498">
        <v>20.08147005635443</v>
      </c>
      <c r="D1498">
        <v>13.13181671396491</v>
      </c>
      <c r="E1498">
        <v>155.9487739268353</v>
      </c>
      <c r="F1498">
        <v>1894.061495516398</v>
      </c>
      <c r="G1498">
        <v>0.4949076364880299</v>
      </c>
    </row>
    <row r="1499" spans="1:7">
      <c r="A1499" t="s">
        <v>137</v>
      </c>
      <c r="B1499">
        <v>4</v>
      </c>
      <c r="C1499">
        <v>20.11401095752457</v>
      </c>
      <c r="D1499">
        <v>13.14791962825903</v>
      </c>
      <c r="E1499">
        <v>156.3763571080896</v>
      </c>
      <c r="F1499">
        <v>1896.384091893917</v>
      </c>
      <c r="G1499">
        <v>0.4947954093488798</v>
      </c>
    </row>
    <row r="1500" spans="1:7">
      <c r="A1500" t="s">
        <v>137</v>
      </c>
      <c r="B1500">
        <v>4</v>
      </c>
      <c r="C1500">
        <v>20.14655927916096</v>
      </c>
      <c r="D1500">
        <v>13.16402254255315</v>
      </c>
      <c r="E1500">
        <v>156.8045619164524</v>
      </c>
      <c r="F1500">
        <v>1898.706688271436</v>
      </c>
      <c r="G1500">
        <v>0.4946820012252685</v>
      </c>
    </row>
    <row r="1501" spans="1:7">
      <c r="A1501" t="s">
        <v>137</v>
      </c>
      <c r="B1501">
        <v>4</v>
      </c>
      <c r="C1501">
        <v>20.17911510238005</v>
      </c>
      <c r="D1501">
        <v>13.18012545684727</v>
      </c>
      <c r="E1501">
        <v>157.2333896593782</v>
      </c>
      <c r="F1501">
        <v>1901.029284648954</v>
      </c>
      <c r="G1501">
        <v>0.4945674121171958</v>
      </c>
    </row>
    <row r="1502" spans="1:7">
      <c r="A1502" t="s">
        <v>137</v>
      </c>
      <c r="B1502">
        <v>4</v>
      </c>
      <c r="C1502">
        <v>20.21167850840813</v>
      </c>
      <c r="D1502">
        <v>13.19622837114139</v>
      </c>
      <c r="E1502">
        <v>157.6628416496887</v>
      </c>
      <c r="F1502">
        <v>1903.351881026473</v>
      </c>
      <c r="G1502">
        <v>0.4944516420246617</v>
      </c>
    </row>
    <row r="1503" spans="1:7">
      <c r="A1503" t="s">
        <v>137</v>
      </c>
      <c r="B1503">
        <v>4</v>
      </c>
      <c r="C1503">
        <v>20.24424957858258</v>
      </c>
      <c r="D1503">
        <v>13.21233128543551</v>
      </c>
      <c r="E1503">
        <v>158.0929192055966</v>
      </c>
      <c r="F1503">
        <v>1905.674477403992</v>
      </c>
      <c r="G1503">
        <v>0.4943346909476664</v>
      </c>
    </row>
    <row r="1504" spans="1:7">
      <c r="A1504" t="s">
        <v>137</v>
      </c>
      <c r="B1504">
        <v>4</v>
      </c>
      <c r="C1504">
        <v>20.2768283943532</v>
      </c>
      <c r="D1504">
        <v>13.22843419972964</v>
      </c>
      <c r="E1504">
        <v>158.52362365073</v>
      </c>
      <c r="F1504">
        <v>1907.997073781511</v>
      </c>
      <c r="G1504">
        <v>0.4942165588862101</v>
      </c>
    </row>
    <row r="1505" spans="1:7">
      <c r="A1505" t="s">
        <v>137</v>
      </c>
      <c r="B1505">
        <v>4</v>
      </c>
      <c r="C1505">
        <v>20.30941503728341</v>
      </c>
      <c r="D1505">
        <v>13.24453711402376</v>
      </c>
      <c r="E1505">
        <v>158.9549563141558</v>
      </c>
      <c r="F1505">
        <v>1910.319670159029</v>
      </c>
      <c r="G1505">
        <v>0.4940972458402921</v>
      </c>
    </row>
    <row r="1506" spans="1:7">
      <c r="A1506" t="s">
        <v>137</v>
      </c>
      <c r="B1506">
        <v>4</v>
      </c>
      <c r="C1506">
        <v>20.34200958905157</v>
      </c>
      <c r="D1506">
        <v>13.26064002831788</v>
      </c>
      <c r="E1506">
        <v>159.3869185304044</v>
      </c>
      <c r="F1506">
        <v>1912.642266536548</v>
      </c>
      <c r="G1506">
        <v>0.493976751809913</v>
      </c>
    </row>
    <row r="1507" spans="1:7">
      <c r="A1507" t="s">
        <v>137</v>
      </c>
      <c r="B1507">
        <v>4</v>
      </c>
      <c r="C1507">
        <v>20.37461213145228</v>
      </c>
      <c r="D1507">
        <v>13.276742942612</v>
      </c>
      <c r="E1507">
        <v>159.819511639494</v>
      </c>
      <c r="F1507">
        <v>1914.964862914067</v>
      </c>
      <c r="G1507">
        <v>0.4938550767950726</v>
      </c>
    </row>
    <row r="1508" spans="1:7">
      <c r="A1508" t="s">
        <v>137</v>
      </c>
      <c r="B1508">
        <v>4</v>
      </c>
      <c r="C1508">
        <v>20.40722274639761</v>
      </c>
      <c r="D1508">
        <v>13.29284585690612</v>
      </c>
      <c r="E1508">
        <v>160.2527369869553</v>
      </c>
      <c r="F1508">
        <v>1917.287459291586</v>
      </c>
      <c r="G1508">
        <v>0.4937322207957713</v>
      </c>
    </row>
    <row r="1509" spans="1:7">
      <c r="A1509" t="s">
        <v>137</v>
      </c>
      <c r="B1509">
        <v>4</v>
      </c>
      <c r="C1509">
        <v>20.43984151591846</v>
      </c>
      <c r="D1509">
        <v>13.30894877120024</v>
      </c>
      <c r="E1509">
        <v>160.6865959238563</v>
      </c>
      <c r="F1509">
        <v>1919.610055669104</v>
      </c>
      <c r="G1509">
        <v>0.4936081838120083</v>
      </c>
    </row>
    <row r="1510" spans="1:7">
      <c r="A1510" t="s">
        <v>137</v>
      </c>
      <c r="B1510">
        <v>4</v>
      </c>
      <c r="C1510">
        <v>20.4724685221658</v>
      </c>
      <c r="D1510">
        <v>13.32505168549436</v>
      </c>
      <c r="E1510">
        <v>161.1210898068266</v>
      </c>
      <c r="F1510">
        <v>1921.932652046623</v>
      </c>
      <c r="G1510">
        <v>0.4934829658437844</v>
      </c>
    </row>
    <row r="1511" spans="1:7">
      <c r="A1511" t="s">
        <v>137</v>
      </c>
      <c r="B1511">
        <v>4</v>
      </c>
      <c r="C1511">
        <v>20.50510384741198</v>
      </c>
      <c r="D1511">
        <v>13.34115459978848</v>
      </c>
      <c r="E1511">
        <v>161.5562199980834</v>
      </c>
      <c r="F1511">
        <v>1924.255248424142</v>
      </c>
      <c r="G1511">
        <v>0.4933565668910994</v>
      </c>
    </row>
    <row r="1512" spans="1:7">
      <c r="A1512" t="s">
        <v>137</v>
      </c>
      <c r="B1512">
        <v>4</v>
      </c>
      <c r="C1512">
        <v>20.53774757405209</v>
      </c>
      <c r="D1512">
        <v>13.3572575140826</v>
      </c>
      <c r="E1512">
        <v>161.9919878654563</v>
      </c>
      <c r="F1512">
        <v>1926.577844801661</v>
      </c>
      <c r="G1512">
        <v>0.4932289869539527</v>
      </c>
    </row>
    <row r="1513" spans="1:7">
      <c r="A1513" t="s">
        <v>137</v>
      </c>
      <c r="B1513">
        <v>4</v>
      </c>
      <c r="C1513">
        <v>20.57039978460519</v>
      </c>
      <c r="D1513">
        <v>13.37336042837672</v>
      </c>
      <c r="E1513">
        <v>162.4283947824121</v>
      </c>
      <c r="F1513">
        <v>1928.900441179179</v>
      </c>
      <c r="G1513">
        <v>0.493100226032345</v>
      </c>
    </row>
    <row r="1514" spans="1:7">
      <c r="A1514" t="s">
        <v>137</v>
      </c>
      <c r="B1514">
        <v>4</v>
      </c>
      <c r="C1514">
        <v>20.60306056171567</v>
      </c>
      <c r="D1514">
        <v>13.38946334267085</v>
      </c>
      <c r="E1514">
        <v>162.8654421280819</v>
      </c>
      <c r="F1514">
        <v>1931.223037556698</v>
      </c>
      <c r="G1514">
        <v>0.4929702841262763</v>
      </c>
    </row>
    <row r="1515" spans="1:7">
      <c r="A1515" t="s">
        <v>137</v>
      </c>
      <c r="B1515">
        <v>4</v>
      </c>
      <c r="C1515">
        <v>20.63572998815456</v>
      </c>
      <c r="D1515">
        <v>13.40556625696497</v>
      </c>
      <c r="E1515">
        <v>163.3031312872851</v>
      </c>
      <c r="F1515">
        <v>1933.545633934217</v>
      </c>
      <c r="G1515">
        <v>0.4928391612357459</v>
      </c>
    </row>
    <row r="1516" spans="1:7">
      <c r="A1516" t="s">
        <v>137</v>
      </c>
      <c r="B1516">
        <v>4</v>
      </c>
      <c r="C1516">
        <v>20.66840814682086</v>
      </c>
      <c r="D1516">
        <v>13.42166917125909</v>
      </c>
      <c r="E1516">
        <v>163.7414636505565</v>
      </c>
      <c r="F1516">
        <v>1935.868230311735</v>
      </c>
      <c r="G1516">
        <v>0.4927068573607542</v>
      </c>
    </row>
    <row r="1517" spans="1:7">
      <c r="A1517" t="s">
        <v>137</v>
      </c>
      <c r="B1517">
        <v>4</v>
      </c>
      <c r="C1517">
        <v>20.70109512074286</v>
      </c>
      <c r="D1517">
        <v>13.43777208555321</v>
      </c>
      <c r="E1517">
        <v>164.1804406141721</v>
      </c>
      <c r="F1517">
        <v>1938.190826689254</v>
      </c>
      <c r="G1517">
        <v>0.4925733725013016</v>
      </c>
    </row>
    <row r="1518" spans="1:7">
      <c r="A1518" t="s">
        <v>137</v>
      </c>
      <c r="B1518">
        <v>4</v>
      </c>
      <c r="C1518">
        <v>20.73379099307948</v>
      </c>
      <c r="D1518">
        <v>13.45387499984733</v>
      </c>
      <c r="E1518">
        <v>164.6200635801751</v>
      </c>
      <c r="F1518">
        <v>1940.513423066773</v>
      </c>
      <c r="G1518">
        <v>0.4924387066573876</v>
      </c>
    </row>
    <row r="1519" spans="1:7">
      <c r="A1519" t="s">
        <v>137</v>
      </c>
      <c r="B1519">
        <v>4</v>
      </c>
      <c r="C1519">
        <v>20.7664958471216</v>
      </c>
      <c r="D1519">
        <v>13.46997791414145</v>
      </c>
      <c r="E1519">
        <v>165.0603339564024</v>
      </c>
      <c r="F1519">
        <v>1942.836019444292</v>
      </c>
      <c r="G1519">
        <v>0.4923028598290122</v>
      </c>
    </row>
    <row r="1520" spans="1:7">
      <c r="A1520" t="s">
        <v>137</v>
      </c>
      <c r="B1520">
        <v>4</v>
      </c>
      <c r="C1520">
        <v>20.7992097662934</v>
      </c>
      <c r="D1520">
        <v>13.48608082843557</v>
      </c>
      <c r="E1520">
        <v>165.5012531565117</v>
      </c>
      <c r="F1520">
        <v>1945.158615821811</v>
      </c>
      <c r="G1520">
        <v>0.492165832016176</v>
      </c>
    </row>
    <row r="1521" spans="1:7">
      <c r="A1521" t="s">
        <v>137</v>
      </c>
      <c r="B1521">
        <v>4</v>
      </c>
      <c r="C1521">
        <v>20.83193283415372</v>
      </c>
      <c r="D1521">
        <v>13.50218374272969</v>
      </c>
      <c r="E1521">
        <v>165.9428226000075</v>
      </c>
      <c r="F1521">
        <v>1947.48121219933</v>
      </c>
      <c r="G1521">
        <v>0.4920276232188782</v>
      </c>
    </row>
    <row r="1522" spans="1:7">
      <c r="A1522" t="s">
        <v>137</v>
      </c>
      <c r="B1522">
        <v>4</v>
      </c>
      <c r="C1522">
        <v>20.86466513439743</v>
      </c>
      <c r="D1522">
        <v>13.51828665702381</v>
      </c>
      <c r="E1522">
        <v>166.3850437122687</v>
      </c>
      <c r="F1522">
        <v>1949.803808576848</v>
      </c>
      <c r="G1522">
        <v>0.4918882334371192</v>
      </c>
    </row>
    <row r="1523" spans="1:7">
      <c r="A1523" t="s">
        <v>137</v>
      </c>
      <c r="B1523">
        <v>4</v>
      </c>
      <c r="C1523">
        <v>20.89740675085675</v>
      </c>
      <c r="D1523">
        <v>13.53438957131793</v>
      </c>
      <c r="E1523">
        <v>166.8279179245754</v>
      </c>
      <c r="F1523">
        <v>1952.126404954367</v>
      </c>
      <c r="G1523">
        <v>0.4917476626708991</v>
      </c>
    </row>
    <row r="1524" spans="1:7">
      <c r="A1524" t="s">
        <v>137</v>
      </c>
      <c r="B1524">
        <v>4</v>
      </c>
      <c r="C1524">
        <v>20.93015776750263</v>
      </c>
      <c r="D1524">
        <v>13.55049248561206</v>
      </c>
      <c r="E1524">
        <v>167.2714466741362</v>
      </c>
      <c r="F1524">
        <v>1954.449001331886</v>
      </c>
      <c r="G1524">
        <v>0.4916059109202177</v>
      </c>
    </row>
    <row r="1525" spans="1:7">
      <c r="A1525" t="s">
        <v>137</v>
      </c>
      <c r="B1525">
        <v>4</v>
      </c>
      <c r="C1525">
        <v>20.96291826844613</v>
      </c>
      <c r="D1525">
        <v>13.56659539990618</v>
      </c>
      <c r="E1525">
        <v>167.7156314041161</v>
      </c>
      <c r="F1525">
        <v>1956.771597709404</v>
      </c>
      <c r="G1525">
        <v>0.4914629781850747</v>
      </c>
    </row>
    <row r="1526" spans="1:7">
      <c r="A1526" t="s">
        <v>137</v>
      </c>
      <c r="B1526">
        <v>4</v>
      </c>
      <c r="C1526">
        <v>20.99568833793978</v>
      </c>
      <c r="D1526">
        <v>13.5826983142003</v>
      </c>
      <c r="E1526">
        <v>168.1604735636637</v>
      </c>
      <c r="F1526">
        <v>1959.094194086923</v>
      </c>
      <c r="G1526">
        <v>0.4913188644654709</v>
      </c>
    </row>
    <row r="1527" spans="1:7">
      <c r="A1527" t="s">
        <v>137</v>
      </c>
      <c r="B1527">
        <v>4</v>
      </c>
      <c r="C1527">
        <v>21.02846806037898</v>
      </c>
      <c r="D1527">
        <v>13.59880122849442</v>
      </c>
      <c r="E1527">
        <v>168.6059746079392</v>
      </c>
      <c r="F1527">
        <v>1961.416790464442</v>
      </c>
      <c r="G1527">
        <v>0.4911735697614054</v>
      </c>
    </row>
    <row r="1528" spans="1:7">
      <c r="A1528" t="s">
        <v>137</v>
      </c>
      <c r="B1528">
        <v>4</v>
      </c>
      <c r="C1528">
        <v>21.06125752030336</v>
      </c>
      <c r="D1528">
        <v>13.61490414278854</v>
      </c>
      <c r="E1528">
        <v>169.0521359981428</v>
      </c>
      <c r="F1528">
        <v>1963.739386841961</v>
      </c>
      <c r="G1528">
        <v>0.4910270940728792</v>
      </c>
    </row>
    <row r="1529" spans="1:7">
      <c r="A1529" t="s">
        <v>137</v>
      </c>
      <c r="B1529">
        <v>4</v>
      </c>
      <c r="C1529">
        <v>21.09405680239819</v>
      </c>
      <c r="D1529">
        <v>13.63100705708266</v>
      </c>
      <c r="E1529">
        <v>169.4989592015423</v>
      </c>
      <c r="F1529">
        <v>1966.06198321948</v>
      </c>
      <c r="G1529">
        <v>0.4908794373998914</v>
      </c>
    </row>
    <row r="1530" spans="1:7">
      <c r="A1530" t="s">
        <v>137</v>
      </c>
      <c r="B1530">
        <v>4</v>
      </c>
      <c r="C1530">
        <v>21.12686599149575</v>
      </c>
      <c r="D1530">
        <v>13.64710997137678</v>
      </c>
      <c r="E1530">
        <v>169.9464456915022</v>
      </c>
      <c r="F1530">
        <v>1968.384579596999</v>
      </c>
      <c r="G1530">
        <v>0.4907305997424425</v>
      </c>
    </row>
    <row r="1531" spans="1:7">
      <c r="A1531" t="s">
        <v>137</v>
      </c>
      <c r="B1531">
        <v>4</v>
      </c>
      <c r="C1531">
        <v>21.15968517257678</v>
      </c>
      <c r="D1531">
        <v>13.6632128856709</v>
      </c>
      <c r="E1531">
        <v>170.3945969475118</v>
      </c>
      <c r="F1531">
        <v>1970.707175974517</v>
      </c>
      <c r="G1531">
        <v>0.4905805811005322</v>
      </c>
    </row>
    <row r="1532" spans="1:7">
      <c r="A1532" t="s">
        <v>137</v>
      </c>
      <c r="B1532">
        <v>4</v>
      </c>
      <c r="C1532">
        <v>21.19251443077184</v>
      </c>
      <c r="D1532">
        <v>13.67931579996502</v>
      </c>
      <c r="E1532">
        <v>170.8434144552144</v>
      </c>
      <c r="F1532">
        <v>1973.029772352036</v>
      </c>
      <c r="G1532">
        <v>0.490429381474161</v>
      </c>
    </row>
    <row r="1533" spans="1:7">
      <c r="A1533" t="s">
        <v>137</v>
      </c>
      <c r="B1533">
        <v>4</v>
      </c>
      <c r="C1533">
        <v>21.22535385136275</v>
      </c>
      <c r="D1533">
        <v>13.69541871425914</v>
      </c>
      <c r="E1533">
        <v>171.2928997064358</v>
      </c>
      <c r="F1533">
        <v>1975.352368729555</v>
      </c>
      <c r="G1533">
        <v>0.490277000863328</v>
      </c>
    </row>
    <row r="1534" spans="1:7">
      <c r="A1534" t="s">
        <v>137</v>
      </c>
      <c r="B1534">
        <v>4</v>
      </c>
      <c r="C1534">
        <v>21.258203519784</v>
      </c>
      <c r="D1534">
        <v>13.71152162855327</v>
      </c>
      <c r="E1534">
        <v>171.743054199214</v>
      </c>
      <c r="F1534">
        <v>1977.674965107073</v>
      </c>
      <c r="G1534">
        <v>0.4901234392680342</v>
      </c>
    </row>
    <row r="1535" spans="1:7">
      <c r="A1535" t="s">
        <v>137</v>
      </c>
      <c r="B1535">
        <v>4</v>
      </c>
      <c r="C1535">
        <v>21.29106352162417</v>
      </c>
      <c r="D1535">
        <v>13.72762454284739</v>
      </c>
      <c r="E1535">
        <v>172.1938794378286</v>
      </c>
      <c r="F1535">
        <v>1979.997561484592</v>
      </c>
      <c r="G1535">
        <v>0.4899686966882792</v>
      </c>
    </row>
    <row r="1536" spans="1:7">
      <c r="A1536" t="s">
        <v>137</v>
      </c>
      <c r="B1536">
        <v>4</v>
      </c>
      <c r="C1536">
        <v>21.32393394262739</v>
      </c>
      <c r="D1536">
        <v>13.74372745714151</v>
      </c>
      <c r="E1536">
        <v>172.6453769328296</v>
      </c>
      <c r="F1536">
        <v>1982.320157862111</v>
      </c>
      <c r="G1536">
        <v>0.4898127731240627</v>
      </c>
    </row>
    <row r="1537" spans="1:7">
      <c r="A1537" t="s">
        <v>137</v>
      </c>
      <c r="B1537">
        <v>4</v>
      </c>
      <c r="C1537">
        <v>21.35681486869474</v>
      </c>
      <c r="D1537">
        <v>13.75983037143563</v>
      </c>
      <c r="E1537">
        <v>173.0975482010684</v>
      </c>
      <c r="F1537">
        <v>1984.64275423963</v>
      </c>
      <c r="G1537">
        <v>0.489655668575385</v>
      </c>
    </row>
    <row r="1538" spans="1:7">
      <c r="A1538" t="s">
        <v>137</v>
      </c>
      <c r="B1538">
        <v>4</v>
      </c>
      <c r="C1538">
        <v>21.3897063858857</v>
      </c>
      <c r="D1538">
        <v>13.77593328572975</v>
      </c>
      <c r="E1538">
        <v>173.5503947657267</v>
      </c>
      <c r="F1538">
        <v>1986.965350617148</v>
      </c>
      <c r="G1538">
        <v>0.4894973830422458</v>
      </c>
    </row>
    <row r="1539" spans="1:7">
      <c r="A1539" t="s">
        <v>137</v>
      </c>
      <c r="B1539">
        <v>4</v>
      </c>
      <c r="C1539">
        <v>21.42260858041962</v>
      </c>
      <c r="D1539">
        <v>13.79203620002387</v>
      </c>
      <c r="E1539">
        <v>174.0039181563473</v>
      </c>
      <c r="F1539">
        <v>1989.287946994667</v>
      </c>
      <c r="G1539">
        <v>0.4893379165246456</v>
      </c>
    </row>
    <row r="1540" spans="1:7">
      <c r="A1540" t="s">
        <v>137</v>
      </c>
      <c r="B1540">
        <v>4</v>
      </c>
      <c r="C1540">
        <v>21.45552153867718</v>
      </c>
      <c r="D1540">
        <v>13.80813911431799</v>
      </c>
      <c r="E1540">
        <v>174.4581199088642</v>
      </c>
      <c r="F1540">
        <v>1991.610543372186</v>
      </c>
      <c r="G1540">
        <v>0.4891772690225843</v>
      </c>
    </row>
    <row r="1541" spans="1:7">
      <c r="A1541" t="s">
        <v>137</v>
      </c>
      <c r="B1541">
        <v>4</v>
      </c>
      <c r="C1541">
        <v>21.4884453472018</v>
      </c>
      <c r="D1541">
        <v>13.82424202861211</v>
      </c>
      <c r="E1541">
        <v>174.9130015656333</v>
      </c>
      <c r="F1541">
        <v>1993.933139749705</v>
      </c>
      <c r="G1541">
        <v>0.4890154405360616</v>
      </c>
    </row>
    <row r="1542" spans="1:7">
      <c r="A1542" t="s">
        <v>137</v>
      </c>
      <c r="B1542">
        <v>4</v>
      </c>
      <c r="C1542">
        <v>21.52138009270117</v>
      </c>
      <c r="D1542">
        <v>13.84034494290623</v>
      </c>
      <c r="E1542">
        <v>175.3685646754634</v>
      </c>
      <c r="F1542">
        <v>1996.255736127224</v>
      </c>
      <c r="G1542">
        <v>0.4888524310650776</v>
      </c>
    </row>
    <row r="1543" spans="1:7">
      <c r="A1543" t="s">
        <v>137</v>
      </c>
      <c r="B1543">
        <v>4</v>
      </c>
      <c r="C1543">
        <v>21.55432586204869</v>
      </c>
      <c r="D1543">
        <v>13.85644785720035</v>
      </c>
      <c r="E1543">
        <v>175.8248107936467</v>
      </c>
      <c r="F1543">
        <v>1998.578332504743</v>
      </c>
      <c r="G1543">
        <v>0.4886882406096322</v>
      </c>
    </row>
    <row r="1544" spans="1:7">
      <c r="A1544" t="s">
        <v>137</v>
      </c>
      <c r="B1544">
        <v>4</v>
      </c>
      <c r="C1544">
        <v>21.58728274228497</v>
      </c>
      <c r="D1544">
        <v>13.87255077149447</v>
      </c>
      <c r="E1544">
        <v>176.2817414819903</v>
      </c>
      <c r="F1544">
        <v>2000.900928882261</v>
      </c>
      <c r="G1544">
        <v>0.4885228691697261</v>
      </c>
    </row>
    <row r="1545" spans="1:7">
      <c r="A1545" t="s">
        <v>137</v>
      </c>
      <c r="B1545">
        <v>4</v>
      </c>
      <c r="C1545">
        <v>21.62025082061929</v>
      </c>
      <c r="D1545">
        <v>13.8886536857886</v>
      </c>
      <c r="E1545">
        <v>176.7393583088479</v>
      </c>
      <c r="F1545">
        <v>2003.22352525978</v>
      </c>
      <c r="G1545">
        <v>0.4883563167453581</v>
      </c>
    </row>
    <row r="1546" spans="1:7">
      <c r="A1546" t="s">
        <v>137</v>
      </c>
      <c r="B1546">
        <v>4</v>
      </c>
      <c r="C1546">
        <v>21.65323018443111</v>
      </c>
      <c r="D1546">
        <v>13.90475660008272</v>
      </c>
      <c r="E1546">
        <v>177.1976628491508</v>
      </c>
      <c r="F1546">
        <v>2005.546121637298</v>
      </c>
      <c r="G1546">
        <v>0.4881885833365294</v>
      </c>
    </row>
    <row r="1547" spans="1:7">
      <c r="A1547" t="s">
        <v>137</v>
      </c>
      <c r="B1547">
        <v>4</v>
      </c>
      <c r="C1547">
        <v>21.68622092127161</v>
      </c>
      <c r="D1547">
        <v>13.92085951437684</v>
      </c>
      <c r="E1547">
        <v>177.6566566844402</v>
      </c>
      <c r="F1547">
        <v>2007.868718014817</v>
      </c>
      <c r="G1547">
        <v>0.4880196689432393</v>
      </c>
    </row>
    <row r="1548" spans="1:7">
      <c r="A1548" t="s">
        <v>137</v>
      </c>
      <c r="B1548">
        <v>4</v>
      </c>
      <c r="C1548">
        <v>21.7192231188651</v>
      </c>
      <c r="D1548">
        <v>13.93696242867096</v>
      </c>
      <c r="E1548">
        <v>178.1163414028993</v>
      </c>
      <c r="F1548">
        <v>2010.191314392336</v>
      </c>
      <c r="G1548">
        <v>0.4878495735654876</v>
      </c>
    </row>
    <row r="1549" spans="1:7">
      <c r="A1549" t="s">
        <v>137</v>
      </c>
      <c r="B1549">
        <v>4</v>
      </c>
      <c r="C1549">
        <v>21.75223686511064</v>
      </c>
      <c r="D1549">
        <v>13.95306534296508</v>
      </c>
      <c r="E1549">
        <v>178.5767185993851</v>
      </c>
      <c r="F1549">
        <v>2012.513910769854</v>
      </c>
      <c r="G1549">
        <v>0.4876782972032749</v>
      </c>
    </row>
    <row r="1550" spans="1:7">
      <c r="A1550" t="s">
        <v>137</v>
      </c>
      <c r="B1550">
        <v>4</v>
      </c>
      <c r="C1550">
        <v>21.78526224808351</v>
      </c>
      <c r="D1550">
        <v>13.9691682572592</v>
      </c>
      <c r="E1550">
        <v>179.0377898754614</v>
      </c>
      <c r="F1550">
        <v>2014.836507147374</v>
      </c>
      <c r="G1550">
        <v>0.4875058398566012</v>
      </c>
    </row>
    <row r="1551" spans="1:7">
      <c r="A1551" t="s">
        <v>137</v>
      </c>
      <c r="B1551">
        <v>4</v>
      </c>
      <c r="C1551">
        <v>21.81829935603671</v>
      </c>
      <c r="D1551">
        <v>13.98527117155332</v>
      </c>
      <c r="E1551">
        <v>179.4995568394313</v>
      </c>
      <c r="F1551">
        <v>2017.159103524892</v>
      </c>
      <c r="G1551">
        <v>0.487332201525466</v>
      </c>
    </row>
    <row r="1552" spans="1:7">
      <c r="A1552" t="s">
        <v>137</v>
      </c>
      <c r="B1552">
        <v>4</v>
      </c>
      <c r="C1552">
        <v>21.85134827740257</v>
      </c>
      <c r="D1552">
        <v>14.00137408584744</v>
      </c>
      <c r="E1552">
        <v>179.9620211063701</v>
      </c>
      <c r="F1552">
        <v>2019.481699902411</v>
      </c>
      <c r="G1552">
        <v>0.4871573822098695</v>
      </c>
    </row>
    <row r="1553" spans="1:7">
      <c r="A1553" t="s">
        <v>137</v>
      </c>
      <c r="B1553">
        <v>4</v>
      </c>
      <c r="C1553">
        <v>21.88440910079422</v>
      </c>
      <c r="D1553">
        <v>14.01747700014156</v>
      </c>
      <c r="E1553">
        <v>180.4251842981585</v>
      </c>
      <c r="F1553">
        <v>2021.80429627993</v>
      </c>
      <c r="G1553">
        <v>0.4869813819098117</v>
      </c>
    </row>
    <row r="1554" spans="1:7">
      <c r="A1554" t="s">
        <v>137</v>
      </c>
      <c r="B1554">
        <v>4</v>
      </c>
      <c r="C1554">
        <v>21.91748191500719</v>
      </c>
      <c r="D1554">
        <v>14.03357991443568</v>
      </c>
      <c r="E1554">
        <v>180.8890480435158</v>
      </c>
      <c r="F1554">
        <v>2024.126892657449</v>
      </c>
      <c r="G1554">
        <v>0.4868042006252929</v>
      </c>
    </row>
    <row r="1555" spans="1:7">
      <c r="A1555" t="s">
        <v>137</v>
      </c>
      <c r="B1555">
        <v>4</v>
      </c>
      <c r="C1555">
        <v>21.95056680902094</v>
      </c>
      <c r="D1555">
        <v>14.04968282872981</v>
      </c>
      <c r="E1555">
        <v>181.353613978034</v>
      </c>
      <c r="F1555">
        <v>2026.449489034967</v>
      </c>
      <c r="G1555">
        <v>0.4866258383563127</v>
      </c>
    </row>
    <row r="1556" spans="1:7">
      <c r="A1556" t="s">
        <v>137</v>
      </c>
      <c r="B1556">
        <v>4</v>
      </c>
      <c r="C1556">
        <v>21.98366387200042</v>
      </c>
      <c r="D1556">
        <v>14.06578574302393</v>
      </c>
      <c r="E1556">
        <v>181.8188837442111</v>
      </c>
      <c r="F1556">
        <v>2028.772085412486</v>
      </c>
      <c r="G1556">
        <v>0.4864462951028716</v>
      </c>
    </row>
    <row r="1557" spans="1:7">
      <c r="A1557" t="s">
        <v>137</v>
      </c>
      <c r="B1557">
        <v>4</v>
      </c>
      <c r="C1557">
        <v>22.01677319329767</v>
      </c>
      <c r="D1557">
        <v>14.08188865731805</v>
      </c>
      <c r="E1557">
        <v>182.2848589914854</v>
      </c>
      <c r="F1557">
        <v>2031.094681790005</v>
      </c>
      <c r="G1557">
        <v>0.4862655708649688</v>
      </c>
    </row>
    <row r="1558" spans="1:7">
      <c r="A1558" t="s">
        <v>137</v>
      </c>
      <c r="B1558">
        <v>4</v>
      </c>
      <c r="C1558">
        <v>22.04989486245335</v>
      </c>
      <c r="D1558">
        <v>14.09799157161217</v>
      </c>
      <c r="E1558">
        <v>182.7515413762697</v>
      </c>
      <c r="F1558">
        <v>2033.417278167523</v>
      </c>
      <c r="G1558">
        <v>0.4860836656426049</v>
      </c>
    </row>
    <row r="1559" spans="1:7">
      <c r="A1559" t="s">
        <v>137</v>
      </c>
      <c r="B1559">
        <v>4</v>
      </c>
      <c r="C1559">
        <v>22.08302896919839</v>
      </c>
      <c r="D1559">
        <v>14.11409448590629</v>
      </c>
      <c r="E1559">
        <v>183.2189325619859</v>
      </c>
      <c r="F1559">
        <v>2035.739874545042</v>
      </c>
      <c r="G1559">
        <v>0.4859005794357797</v>
      </c>
    </row>
    <row r="1560" spans="1:7">
      <c r="A1560" t="s">
        <v>137</v>
      </c>
      <c r="B1560">
        <v>4</v>
      </c>
      <c r="C1560">
        <v>22.11617560345555</v>
      </c>
      <c r="D1560">
        <v>14.13019740020041</v>
      </c>
      <c r="E1560">
        <v>183.6870342191</v>
      </c>
      <c r="F1560">
        <v>2038.062470922561</v>
      </c>
      <c r="G1560">
        <v>0.4857163122444934</v>
      </c>
    </row>
    <row r="1561" spans="1:7">
      <c r="A1561" t="s">
        <v>137</v>
      </c>
      <c r="B1561">
        <v>4</v>
      </c>
      <c r="C1561">
        <v>22.14933485534097</v>
      </c>
      <c r="D1561">
        <v>14.14630031449453</v>
      </c>
      <c r="E1561">
        <v>184.1558480251564</v>
      </c>
      <c r="F1561">
        <v>2040.38506730008</v>
      </c>
      <c r="G1561">
        <v>0.4855308640687455</v>
      </c>
    </row>
    <row r="1562" spans="1:7">
      <c r="A1562" t="s">
        <v>137</v>
      </c>
      <c r="B1562">
        <v>4</v>
      </c>
      <c r="C1562">
        <v>22.1825068151659</v>
      </c>
      <c r="D1562">
        <v>14.16240322878865</v>
      </c>
      <c r="E1562">
        <v>184.6253756648138</v>
      </c>
      <c r="F1562">
        <v>2042.707663677598</v>
      </c>
      <c r="G1562">
        <v>0.4853442349085367</v>
      </c>
    </row>
    <row r="1563" spans="1:7">
      <c r="A1563" t="s">
        <v>137</v>
      </c>
      <c r="B1563">
        <v>4</v>
      </c>
      <c r="C1563">
        <v>22.2156915734382</v>
      </c>
      <c r="D1563">
        <v>14.17850614308277</v>
      </c>
      <c r="E1563">
        <v>185.0956188298807</v>
      </c>
      <c r="F1563">
        <v>2045.030260055117</v>
      </c>
      <c r="G1563">
        <v>0.4851564247638663</v>
      </c>
    </row>
    <row r="1564" spans="1:7">
      <c r="A1564" t="s">
        <v>137</v>
      </c>
      <c r="B1564">
        <v>4</v>
      </c>
      <c r="C1564">
        <v>22.24888922086403</v>
      </c>
      <c r="D1564">
        <v>14.19460905737689</v>
      </c>
      <c r="E1564">
        <v>185.5665792193502</v>
      </c>
      <c r="F1564">
        <v>2047.352856432636</v>
      </c>
      <c r="G1564">
        <v>0.4849674336347351</v>
      </c>
    </row>
    <row r="1565" spans="1:7">
      <c r="A1565" t="s">
        <v>137</v>
      </c>
      <c r="B1565">
        <v>4</v>
      </c>
      <c r="C1565">
        <v>22.28209984834945</v>
      </c>
      <c r="D1565">
        <v>14.21071197167102</v>
      </c>
      <c r="E1565">
        <v>186.0382585394375</v>
      </c>
      <c r="F1565">
        <v>2049.675452810155</v>
      </c>
      <c r="G1565">
        <v>0.4847772615211424</v>
      </c>
    </row>
    <row r="1566" spans="1:7">
      <c r="A1566" t="s">
        <v>137</v>
      </c>
      <c r="B1566">
        <v>4</v>
      </c>
      <c r="C1566">
        <v>22.31532354700211</v>
      </c>
      <c r="D1566">
        <v>14.22681488596514</v>
      </c>
      <c r="E1566">
        <v>186.5106585036145</v>
      </c>
      <c r="F1566">
        <v>2051.998049187674</v>
      </c>
      <c r="G1566">
        <v>0.4845859084230886</v>
      </c>
    </row>
    <row r="1567" spans="1:7">
      <c r="A1567" t="s">
        <v>137</v>
      </c>
      <c r="B1567">
        <v>4</v>
      </c>
      <c r="C1567">
        <v>22.34856040813282</v>
      </c>
      <c r="D1567">
        <v>14.24291780025926</v>
      </c>
      <c r="E1567">
        <v>186.9837808326474</v>
      </c>
      <c r="F1567">
        <v>2054.320645565192</v>
      </c>
      <c r="G1567">
        <v>0.4843933743405738</v>
      </c>
    </row>
    <row r="1568" spans="1:7">
      <c r="A1568" t="s">
        <v>137</v>
      </c>
      <c r="B1568">
        <v>4</v>
      </c>
      <c r="C1568">
        <v>22.38181052325729</v>
      </c>
      <c r="D1568">
        <v>14.25902071455338</v>
      </c>
      <c r="E1568">
        <v>187.4576272546328</v>
      </c>
      <c r="F1568">
        <v>2056.643241942711</v>
      </c>
      <c r="G1568">
        <v>0.484199659273597</v>
      </c>
    </row>
    <row r="1569" spans="1:7">
      <c r="A1569" t="s">
        <v>137</v>
      </c>
      <c r="B1569">
        <v>4</v>
      </c>
      <c r="C1569">
        <v>22.41507398409773</v>
      </c>
      <c r="D1569">
        <v>14.2751236288475</v>
      </c>
      <c r="E1569">
        <v>187.9321995050349</v>
      </c>
      <c r="F1569">
        <v>2058.96583832023</v>
      </c>
      <c r="G1569">
        <v>0.4840047632221597</v>
      </c>
    </row>
    <row r="1570" spans="1:7">
      <c r="A1570" t="s">
        <v>137</v>
      </c>
      <c r="B1570">
        <v>4</v>
      </c>
      <c r="C1570">
        <v>22.44835088258457</v>
      </c>
      <c r="D1570">
        <v>14.29122654314162</v>
      </c>
      <c r="E1570">
        <v>188.4074993267229</v>
      </c>
      <c r="F1570">
        <v>2061.288434697748</v>
      </c>
      <c r="G1570">
        <v>0.4838086861862604</v>
      </c>
    </row>
    <row r="1571" spans="1:7">
      <c r="A1571" t="s">
        <v>137</v>
      </c>
      <c r="B1571">
        <v>4</v>
      </c>
      <c r="C1571">
        <v>22.48164131085811</v>
      </c>
      <c r="D1571">
        <v>14.30732945743574</v>
      </c>
      <c r="E1571">
        <v>188.8835284700078</v>
      </c>
      <c r="F1571">
        <v>2063.611031075267</v>
      </c>
      <c r="G1571">
        <v>0.4836114281659004</v>
      </c>
    </row>
    <row r="1572" spans="1:7">
      <c r="A1572" t="s">
        <v>137</v>
      </c>
      <c r="B1572">
        <v>4</v>
      </c>
      <c r="C1572">
        <v>22.51494536127023</v>
      </c>
      <c r="D1572">
        <v>14.32343237172986</v>
      </c>
      <c r="E1572">
        <v>189.3602886926809</v>
      </c>
      <c r="F1572">
        <v>2065.933627452786</v>
      </c>
      <c r="G1572">
        <v>0.4834129891610791</v>
      </c>
    </row>
    <row r="1573" spans="1:7">
      <c r="A1573" t="s">
        <v>137</v>
      </c>
      <c r="B1573">
        <v>4</v>
      </c>
      <c r="C1573">
        <v>22.54826312638609</v>
      </c>
      <c r="D1573">
        <v>14.33953528602398</v>
      </c>
      <c r="E1573">
        <v>189.8377817600514</v>
      </c>
      <c r="F1573">
        <v>2068.256223830305</v>
      </c>
      <c r="G1573">
        <v>0.4832133691717962</v>
      </c>
    </row>
    <row r="1574" spans="1:7">
      <c r="A1574" t="s">
        <v>137</v>
      </c>
      <c r="B1574">
        <v>4</v>
      </c>
      <c r="C1574">
        <v>22.58159469898581</v>
      </c>
      <c r="D1574">
        <v>14.3556382003181</v>
      </c>
      <c r="E1574">
        <v>190.3160094449844</v>
      </c>
      <c r="F1574">
        <v>2070.578820207823</v>
      </c>
      <c r="G1574">
        <v>0.4830125681980525</v>
      </c>
    </row>
    <row r="1575" spans="1:7">
      <c r="A1575" t="s">
        <v>137</v>
      </c>
      <c r="B1575">
        <v>4</v>
      </c>
      <c r="C1575">
        <v>22.61494017206625</v>
      </c>
      <c r="D1575">
        <v>14.37174111461223</v>
      </c>
      <c r="E1575">
        <v>190.7949735279401</v>
      </c>
      <c r="F1575">
        <v>2072.901416585342</v>
      </c>
      <c r="G1575">
        <v>0.4828105862398473</v>
      </c>
    </row>
    <row r="1576" spans="1:7">
      <c r="A1576" t="s">
        <v>137</v>
      </c>
      <c r="B1576">
        <v>4</v>
      </c>
      <c r="C1576">
        <v>22.64829963884264</v>
      </c>
      <c r="D1576">
        <v>14.38784402890635</v>
      </c>
      <c r="E1576">
        <v>191.2746757970118</v>
      </c>
      <c r="F1576">
        <v>2075.224012962861</v>
      </c>
      <c r="G1576">
        <v>0.4826074232971809</v>
      </c>
    </row>
    <row r="1577" spans="1:7">
      <c r="A1577" t="s">
        <v>137</v>
      </c>
      <c r="B1577">
        <v>4</v>
      </c>
      <c r="C1577">
        <v>22.68167319275041</v>
      </c>
      <c r="D1577">
        <v>14.40394694320047</v>
      </c>
      <c r="E1577">
        <v>191.7551180479655</v>
      </c>
      <c r="F1577">
        <v>2077.54660934038</v>
      </c>
      <c r="G1577">
        <v>0.4824030793700534</v>
      </c>
    </row>
    <row r="1578" spans="1:7">
      <c r="A1578" t="s">
        <v>137</v>
      </c>
      <c r="B1578">
        <v>4</v>
      </c>
      <c r="C1578">
        <v>22.71506092744688</v>
      </c>
      <c r="D1578">
        <v>14.42004985749459</v>
      </c>
      <c r="E1578">
        <v>192.236302084279</v>
      </c>
      <c r="F1578">
        <v>2079.869205717899</v>
      </c>
      <c r="G1578">
        <v>0.4821975544584644</v>
      </c>
    </row>
    <row r="1579" spans="1:7">
      <c r="A1579" t="s">
        <v>137</v>
      </c>
      <c r="B1579">
        <v>4</v>
      </c>
      <c r="C1579">
        <v>22.74846293681302</v>
      </c>
      <c r="D1579">
        <v>14.43615277178871</v>
      </c>
      <c r="E1579">
        <v>192.7182297171814</v>
      </c>
      <c r="F1579">
        <v>2082.191802095418</v>
      </c>
      <c r="G1579">
        <v>0.4819908485624143</v>
      </c>
    </row>
    <row r="1580" spans="1:7">
      <c r="A1580" t="s">
        <v>137</v>
      </c>
      <c r="B1580">
        <v>4</v>
      </c>
      <c r="C1580">
        <v>22.78187931495523</v>
      </c>
      <c r="D1580">
        <v>14.45225568608283</v>
      </c>
      <c r="E1580">
        <v>193.2009027656933</v>
      </c>
      <c r="F1580">
        <v>2084.514398472937</v>
      </c>
      <c r="G1580">
        <v>0.481782961681903</v>
      </c>
    </row>
    <row r="1581" spans="1:7">
      <c r="A1581" t="s">
        <v>137</v>
      </c>
      <c r="B1581">
        <v>4</v>
      </c>
      <c r="C1581">
        <v>22.81531015620708</v>
      </c>
      <c r="D1581">
        <v>14.46835860037695</v>
      </c>
      <c r="E1581">
        <v>193.6843230566663</v>
      </c>
      <c r="F1581">
        <v>2086.836994850455</v>
      </c>
      <c r="G1581">
        <v>0.4815738938169302</v>
      </c>
    </row>
    <row r="1582" spans="1:7">
      <c r="A1582" t="s">
        <v>137</v>
      </c>
      <c r="B1582">
        <v>4</v>
      </c>
      <c r="C1582">
        <v>22.84875555513112</v>
      </c>
      <c r="D1582">
        <v>14.48446151467107</v>
      </c>
      <c r="E1582">
        <v>194.168492424824</v>
      </c>
      <c r="F1582">
        <v>2089.159591227974</v>
      </c>
      <c r="G1582">
        <v>0.4813636449674966</v>
      </c>
    </row>
    <row r="1583" spans="1:7">
      <c r="A1583" t="s">
        <v>137</v>
      </c>
      <c r="B1583">
        <v>4</v>
      </c>
      <c r="C1583">
        <v>22.88221560652068</v>
      </c>
      <c r="D1583">
        <v>14.50056442896519</v>
      </c>
      <c r="E1583">
        <v>194.6534127128028</v>
      </c>
      <c r="F1583">
        <v>2091.482187605493</v>
      </c>
      <c r="G1583">
        <v>0.4811522151336013</v>
      </c>
    </row>
    <row r="1584" spans="1:7">
      <c r="A1584" t="s">
        <v>137</v>
      </c>
      <c r="B1584">
        <v>4</v>
      </c>
      <c r="C1584">
        <v>22.91569040540161</v>
      </c>
      <c r="D1584">
        <v>14.51666734325931</v>
      </c>
      <c r="E1584">
        <v>195.1390857711919</v>
      </c>
      <c r="F1584">
        <v>2093.804783983011</v>
      </c>
      <c r="G1584">
        <v>0.4809396043152452</v>
      </c>
    </row>
    <row r="1585" spans="1:7">
      <c r="A1585" t="s">
        <v>137</v>
      </c>
      <c r="B1585">
        <v>4</v>
      </c>
      <c r="C1585">
        <v>22.94918004703415</v>
      </c>
      <c r="D1585">
        <v>14.53277025755344</v>
      </c>
      <c r="E1585">
        <v>195.6255134585759</v>
      </c>
      <c r="F1585">
        <v>2096.12738036053</v>
      </c>
      <c r="G1585">
        <v>0.4807258125124276</v>
      </c>
    </row>
    <row r="1586" spans="1:7">
      <c r="A1586" t="s">
        <v>137</v>
      </c>
      <c r="B1586">
        <v>4</v>
      </c>
      <c r="C1586">
        <v>22.98268462691474</v>
      </c>
      <c r="D1586">
        <v>14.54887317184756</v>
      </c>
      <c r="E1586">
        <v>196.1126976415752</v>
      </c>
      <c r="F1586">
        <v>2098.449976738049</v>
      </c>
      <c r="G1586">
        <v>0.4805108397251486</v>
      </c>
    </row>
    <row r="1587" spans="1:7">
      <c r="A1587" t="s">
        <v>137</v>
      </c>
      <c r="B1587">
        <v>4</v>
      </c>
      <c r="C1587">
        <v>23.01620424077781</v>
      </c>
      <c r="D1587">
        <v>14.56497608614168</v>
      </c>
      <c r="E1587">
        <v>196.6006401948885</v>
      </c>
      <c r="F1587">
        <v>2100.772573115567</v>
      </c>
      <c r="G1587">
        <v>0.4802946859534085</v>
      </c>
    </row>
    <row r="1588" spans="1:7">
      <c r="A1588" t="s">
        <v>137</v>
      </c>
      <c r="B1588">
        <v>4</v>
      </c>
      <c r="C1588">
        <v>23.04973898459766</v>
      </c>
      <c r="D1588">
        <v>14.5810790004358</v>
      </c>
      <c r="E1588">
        <v>197.089343001335</v>
      </c>
      <c r="F1588">
        <v>2103.095169493086</v>
      </c>
      <c r="G1588">
        <v>0.4800773511972071</v>
      </c>
    </row>
    <row r="1589" spans="1:7">
      <c r="A1589" t="s">
        <v>137</v>
      </c>
      <c r="B1589">
        <v>4</v>
      </c>
      <c r="C1589">
        <v>23.0832889545903</v>
      </c>
      <c r="D1589">
        <v>14.59718191472992</v>
      </c>
      <c r="E1589">
        <v>197.5788079518959</v>
      </c>
      <c r="F1589">
        <v>2105.417765870605</v>
      </c>
      <c r="G1589">
        <v>0.4798588354565445</v>
      </c>
    </row>
    <row r="1590" spans="1:7">
      <c r="A1590" t="s">
        <v>137</v>
      </c>
      <c r="B1590">
        <v>4</v>
      </c>
      <c r="C1590">
        <v>23.1168542472153</v>
      </c>
      <c r="D1590">
        <v>14.61328482902404</v>
      </c>
      <c r="E1590">
        <v>198.0690369457585</v>
      </c>
      <c r="F1590">
        <v>2107.740362248124</v>
      </c>
      <c r="G1590">
        <v>0.4796391387314206</v>
      </c>
    </row>
    <row r="1591" spans="1:7">
      <c r="A1591" t="s">
        <v>137</v>
      </c>
      <c r="B1591">
        <v>4</v>
      </c>
      <c r="C1591">
        <v>23.15043495917766</v>
      </c>
      <c r="D1591">
        <v>14.62938774331816</v>
      </c>
      <c r="E1591">
        <v>198.5600318903582</v>
      </c>
      <c r="F1591">
        <v>2110.062958625643</v>
      </c>
      <c r="G1591">
        <v>0.4794182610218358</v>
      </c>
    </row>
    <row r="1592" spans="1:7">
      <c r="A1592" t="s">
        <v>137</v>
      </c>
      <c r="B1592">
        <v>4</v>
      </c>
      <c r="C1592">
        <v>23.18403118742969</v>
      </c>
      <c r="D1592">
        <v>14.64549065761228</v>
      </c>
      <c r="E1592">
        <v>199.051794701422</v>
      </c>
      <c r="F1592">
        <v>2112.385555003161</v>
      </c>
      <c r="G1592">
        <v>0.4791962023277894</v>
      </c>
    </row>
    <row r="1593" spans="1:7">
      <c r="A1593" t="s">
        <v>137</v>
      </c>
      <c r="B1593">
        <v>4</v>
      </c>
      <c r="C1593">
        <v>23.21764302917292</v>
      </c>
      <c r="D1593">
        <v>14.6615935719064</v>
      </c>
      <c r="E1593">
        <v>199.5443273030127</v>
      </c>
      <c r="F1593">
        <v>2114.708151380681</v>
      </c>
      <c r="G1593">
        <v>0.4789729626492814</v>
      </c>
    </row>
    <row r="1594" spans="1:7">
      <c r="A1594" t="s">
        <v>137</v>
      </c>
      <c r="B1594">
        <v>4</v>
      </c>
      <c r="C1594">
        <v>23.25127058185996</v>
      </c>
      <c r="D1594">
        <v>14.67769648620052</v>
      </c>
      <c r="E1594">
        <v>200.0376316275717</v>
      </c>
      <c r="F1594">
        <v>2117.030747758199</v>
      </c>
      <c r="G1594">
        <v>0.4787485419863129</v>
      </c>
    </row>
    <row r="1595" spans="1:7">
      <c r="A1595" t="s">
        <v>137</v>
      </c>
      <c r="B1595">
        <v>4</v>
      </c>
      <c r="C1595">
        <v>23.28491394319645</v>
      </c>
      <c r="D1595">
        <v>14.69379940049465</v>
      </c>
      <c r="E1595">
        <v>200.5317096159647</v>
      </c>
      <c r="F1595">
        <v>2119.353344135718</v>
      </c>
      <c r="G1595">
        <v>0.4785229403388828</v>
      </c>
    </row>
    <row r="1596" spans="1:7">
      <c r="A1596" t="s">
        <v>137</v>
      </c>
      <c r="B1596">
        <v>4</v>
      </c>
      <c r="C1596">
        <v>23.31857321114298</v>
      </c>
      <c r="D1596">
        <v>14.70990231478877</v>
      </c>
      <c r="E1596">
        <v>201.026563217525</v>
      </c>
      <c r="F1596">
        <v>2121.675940513237</v>
      </c>
      <c r="G1596">
        <v>0.4782961577069912</v>
      </c>
    </row>
    <row r="1597" spans="1:7">
      <c r="A1597" t="s">
        <v>137</v>
      </c>
      <c r="B1597">
        <v>4</v>
      </c>
      <c r="C1597">
        <v>23.35224848391696</v>
      </c>
      <c r="D1597">
        <v>14.72600522908289</v>
      </c>
      <c r="E1597">
        <v>201.5221943900989</v>
      </c>
      <c r="F1597">
        <v>2123.998536890755</v>
      </c>
      <c r="G1597">
        <v>0.4780681940906388</v>
      </c>
    </row>
    <row r="1598" spans="1:7">
      <c r="A1598" t="s">
        <v>137</v>
      </c>
      <c r="B1598">
        <v>4</v>
      </c>
      <c r="C1598">
        <v>23.38593985999468</v>
      </c>
      <c r="D1598">
        <v>14.74210814337701</v>
      </c>
      <c r="E1598">
        <v>202.0186051000912</v>
      </c>
      <c r="F1598">
        <v>2126.321133268274</v>
      </c>
      <c r="G1598">
        <v>0.477839049489825</v>
      </c>
    </row>
    <row r="1599" spans="1:7">
      <c r="A1599" t="s">
        <v>137</v>
      </c>
      <c r="B1599">
        <v>4</v>
      </c>
      <c r="C1599">
        <v>23.41964743811315</v>
      </c>
      <c r="D1599">
        <v>14.75821105767113</v>
      </c>
      <c r="E1599">
        <v>202.5157973225097</v>
      </c>
      <c r="F1599">
        <v>2128.643729645793</v>
      </c>
      <c r="G1599">
        <v>0.47760872390455</v>
      </c>
    </row>
    <row r="1600" spans="1:7">
      <c r="A1600" t="s">
        <v>137</v>
      </c>
      <c r="B1600">
        <v>4</v>
      </c>
      <c r="C1600">
        <v>23.45337131727213</v>
      </c>
      <c r="D1600">
        <v>14.77431397196525</v>
      </c>
      <c r="E1600">
        <v>203.0137730410123</v>
      </c>
      <c r="F1600">
        <v>2130.966326023311</v>
      </c>
      <c r="G1600">
        <v>0.4773772173348135</v>
      </c>
    </row>
    <row r="1601" spans="1:7">
      <c r="A1601" t="s">
        <v>137</v>
      </c>
      <c r="B1601">
        <v>4</v>
      </c>
      <c r="C1601">
        <v>23.48711159673609</v>
      </c>
      <c r="D1601">
        <v>14.79041688625937</v>
      </c>
      <c r="E1601">
        <v>203.5125342479521</v>
      </c>
      <c r="F1601">
        <v>2133.28892240083</v>
      </c>
      <c r="G1601">
        <v>0.4771445297806158</v>
      </c>
    </row>
    <row r="1602" spans="1:7">
      <c r="A1602" t="s">
        <v>137</v>
      </c>
      <c r="B1602">
        <v>4</v>
      </c>
      <c r="C1602">
        <v>23.52086837603618</v>
      </c>
      <c r="D1602">
        <v>14.80651980055349</v>
      </c>
      <c r="E1602">
        <v>204.0120829444245</v>
      </c>
      <c r="F1602">
        <v>2135.611518778348</v>
      </c>
      <c r="G1602">
        <v>0.476910661241957</v>
      </c>
    </row>
    <row r="1603" spans="1:7">
      <c r="A1603" t="s">
        <v>137</v>
      </c>
      <c r="B1603">
        <v>4</v>
      </c>
      <c r="C1603">
        <v>23.5546417549723</v>
      </c>
      <c r="D1603">
        <v>14.82262271484761</v>
      </c>
      <c r="E1603">
        <v>204.5124211403136</v>
      </c>
      <c r="F1603">
        <v>2137.934115155867</v>
      </c>
      <c r="G1603">
        <v>0.4766756117188368</v>
      </c>
    </row>
    <row r="1604" spans="1:7">
      <c r="A1604" t="s">
        <v>137</v>
      </c>
      <c r="B1604">
        <v>4</v>
      </c>
      <c r="C1604">
        <v>23.588431833615</v>
      </c>
      <c r="D1604">
        <v>14.83872562914173</v>
      </c>
      <c r="E1604">
        <v>205.0135508543399</v>
      </c>
      <c r="F1604">
        <v>2140.256711533386</v>
      </c>
      <c r="G1604">
        <v>0.4764393812112556</v>
      </c>
    </row>
    <row r="1605" spans="1:7">
      <c r="A1605" t="s">
        <v>137</v>
      </c>
      <c r="B1605">
        <v>4</v>
      </c>
      <c r="C1605">
        <v>23.62223871230761</v>
      </c>
      <c r="D1605">
        <v>14.85482854343586</v>
      </c>
      <c r="E1605">
        <v>205.515474114107</v>
      </c>
      <c r="F1605">
        <v>2142.579307910905</v>
      </c>
      <c r="G1605">
        <v>0.476201969719213</v>
      </c>
    </row>
    <row r="1606" spans="1:7">
      <c r="A1606" t="s">
        <v>137</v>
      </c>
      <c r="B1606">
        <v>4</v>
      </c>
      <c r="C1606">
        <v>23.6560624916682</v>
      </c>
      <c r="D1606">
        <v>14.87093145772998</v>
      </c>
      <c r="E1606">
        <v>206.0181929561499</v>
      </c>
      <c r="F1606">
        <v>2144.901904288424</v>
      </c>
      <c r="G1606">
        <v>0.4759633772427094</v>
      </c>
    </row>
    <row r="1607" spans="1:7">
      <c r="A1607" t="s">
        <v>137</v>
      </c>
      <c r="B1607">
        <v>4</v>
      </c>
      <c r="C1607">
        <v>23.68990327259166</v>
      </c>
      <c r="D1607">
        <v>14.8870343720241</v>
      </c>
      <c r="E1607">
        <v>206.5217094259832</v>
      </c>
      <c r="F1607">
        <v>2147.224500665943</v>
      </c>
      <c r="G1607">
        <v>0.4757236037817442</v>
      </c>
    </row>
    <row r="1608" spans="1:7">
      <c r="A1608" t="s">
        <v>137</v>
      </c>
      <c r="B1608">
        <v>4</v>
      </c>
      <c r="C1608">
        <v>23.72376115625176</v>
      </c>
      <c r="D1608">
        <v>14.90313728631822</v>
      </c>
      <c r="E1608">
        <v>207.0260255781495</v>
      </c>
      <c r="F1608">
        <v>2149.547097043462</v>
      </c>
      <c r="G1608">
        <v>0.4754826493363178</v>
      </c>
    </row>
    <row r="1609" spans="1:7">
      <c r="A1609" t="s">
        <v>137</v>
      </c>
      <c r="B1609">
        <v>4</v>
      </c>
      <c r="C1609">
        <v>23.75763624410322</v>
      </c>
      <c r="D1609">
        <v>14.91924020061234</v>
      </c>
      <c r="E1609">
        <v>207.5311434762679</v>
      </c>
      <c r="F1609">
        <v>2151.86969342098</v>
      </c>
      <c r="G1609">
        <v>0.4752405139064302</v>
      </c>
    </row>
    <row r="1610" spans="1:7">
      <c r="A1610" t="s">
        <v>137</v>
      </c>
      <c r="B1610">
        <v>4</v>
      </c>
      <c r="C1610">
        <v>23.79152863788377</v>
      </c>
      <c r="D1610">
        <v>14.93534311490646</v>
      </c>
      <c r="E1610">
        <v>208.0370651930839</v>
      </c>
      <c r="F1610">
        <v>2154.192289798499</v>
      </c>
      <c r="G1610">
        <v>0.4749971974920817</v>
      </c>
    </row>
    <row r="1611" spans="1:7">
      <c r="A1611" t="s">
        <v>137</v>
      </c>
      <c r="B1611">
        <v>4</v>
      </c>
      <c r="C1611">
        <v>23.82543843961628</v>
      </c>
      <c r="D1611">
        <v>14.95144602920058</v>
      </c>
      <c r="E1611">
        <v>208.5437928105182</v>
      </c>
      <c r="F1611">
        <v>2156.514886176018</v>
      </c>
      <c r="G1611">
        <v>0.4747527000932715</v>
      </c>
    </row>
    <row r="1612" spans="1:7">
      <c r="A1612" t="s">
        <v>137</v>
      </c>
      <c r="B1612">
        <v>4</v>
      </c>
      <c r="C1612">
        <v>23.85936575161083</v>
      </c>
      <c r="D1612">
        <v>14.9675489434947</v>
      </c>
      <c r="E1612">
        <v>209.051328419717</v>
      </c>
      <c r="F1612">
        <v>2158.837482553536</v>
      </c>
      <c r="G1612">
        <v>0.47450702171</v>
      </c>
    </row>
    <row r="1613" spans="1:7">
      <c r="A1613" t="s">
        <v>137</v>
      </c>
      <c r="B1613">
        <v>4</v>
      </c>
      <c r="C1613">
        <v>23.89331067646688</v>
      </c>
      <c r="D1613">
        <v>14.98365185778882</v>
      </c>
      <c r="E1613">
        <v>209.5596741211023</v>
      </c>
      <c r="F1613">
        <v>2161.160078931055</v>
      </c>
      <c r="G1613">
        <v>0.4742601623422676</v>
      </c>
    </row>
    <row r="1614" spans="1:7">
      <c r="A1614" t="s">
        <v>137</v>
      </c>
      <c r="B1614">
        <v>4</v>
      </c>
      <c r="C1614">
        <v>23.92727331707534</v>
      </c>
      <c r="D1614">
        <v>14.99975477208294</v>
      </c>
      <c r="E1614">
        <v>210.0688320244223</v>
      </c>
      <c r="F1614">
        <v>2163.482675308574</v>
      </c>
      <c r="G1614">
        <v>0.4740121219900736</v>
      </c>
    </row>
    <row r="1615" spans="1:7">
      <c r="A1615" t="s">
        <v>137</v>
      </c>
      <c r="B1615">
        <v>4</v>
      </c>
      <c r="C1615">
        <v>23.96125377662077</v>
      </c>
      <c r="D1615">
        <v>15.01585768637706</v>
      </c>
      <c r="E1615">
        <v>210.5788042488026</v>
      </c>
      <c r="F1615">
        <v>2165.805271686093</v>
      </c>
      <c r="G1615">
        <v>0.4737629006534186</v>
      </c>
    </row>
    <row r="1616" spans="1:7">
      <c r="A1616" t="s">
        <v>137</v>
      </c>
      <c r="B1616">
        <v>4</v>
      </c>
      <c r="C1616">
        <v>23.99525215858353</v>
      </c>
      <c r="D1616">
        <v>15.03196060067119</v>
      </c>
      <c r="E1616">
        <v>211.0895929227972</v>
      </c>
      <c r="F1616">
        <v>2168.127868063612</v>
      </c>
      <c r="G1616">
        <v>0.4735124983323025</v>
      </c>
    </row>
    <row r="1617" spans="1:7">
      <c r="A1617" t="s">
        <v>137</v>
      </c>
      <c r="B1617">
        <v>4</v>
      </c>
      <c r="C1617">
        <v>24.0292685667419</v>
      </c>
      <c r="D1617">
        <v>15.04806351496531</v>
      </c>
      <c r="E1617">
        <v>211.6012001844407</v>
      </c>
      <c r="F1617">
        <v>2170.45046444113</v>
      </c>
      <c r="G1617">
        <v>0.473260915026725</v>
      </c>
    </row>
    <row r="1618" spans="1:7">
      <c r="A1618" t="s">
        <v>137</v>
      </c>
      <c r="B1618">
        <v>4</v>
      </c>
      <c r="C1618">
        <v>24.06330310517436</v>
      </c>
      <c r="D1618">
        <v>15.06416642925943</v>
      </c>
      <c r="E1618">
        <v>212.1136281812999</v>
      </c>
      <c r="F1618">
        <v>2172.773060818649</v>
      </c>
      <c r="G1618">
        <v>0.473008150736686</v>
      </c>
    </row>
    <row r="1619" spans="1:7">
      <c r="A1619" t="s">
        <v>137</v>
      </c>
      <c r="B1619">
        <v>4</v>
      </c>
      <c r="C1619">
        <v>24.09735587826169</v>
      </c>
      <c r="D1619">
        <v>15.08026934355355</v>
      </c>
      <c r="E1619">
        <v>212.6268790705267</v>
      </c>
      <c r="F1619">
        <v>2175.095657196168</v>
      </c>
      <c r="G1619">
        <v>0.4727542054621858</v>
      </c>
    </row>
    <row r="1620" spans="1:7">
      <c r="A1620" t="s">
        <v>137</v>
      </c>
      <c r="B1620">
        <v>4</v>
      </c>
      <c r="C1620">
        <v>24.13142699068925</v>
      </c>
      <c r="D1620">
        <v>15.09637225784767</v>
      </c>
      <c r="E1620">
        <v>213.1409550189106</v>
      </c>
      <c r="F1620">
        <v>2177.418253573686</v>
      </c>
      <c r="G1620">
        <v>0.4724990792032245</v>
      </c>
    </row>
    <row r="1621" spans="1:7">
      <c r="A1621" t="s">
        <v>137</v>
      </c>
      <c r="B1621">
        <v>4</v>
      </c>
      <c r="C1621">
        <v>24.16551654744916</v>
      </c>
      <c r="D1621">
        <v>15.11247517214179</v>
      </c>
      <c r="E1621">
        <v>213.6558582029323</v>
      </c>
      <c r="F1621">
        <v>2179.740849951205</v>
      </c>
      <c r="G1621">
        <v>0.472242771959802</v>
      </c>
    </row>
    <row r="1622" spans="1:7">
      <c r="A1622" t="s">
        <v>137</v>
      </c>
      <c r="B1622">
        <v>4</v>
      </c>
      <c r="C1622">
        <v>24.19962465384258</v>
      </c>
      <c r="D1622">
        <v>15.12857808643591</v>
      </c>
      <c r="E1622">
        <v>214.1715908088166</v>
      </c>
      <c r="F1622">
        <v>2182.063446328724</v>
      </c>
      <c r="G1622">
        <v>0.4719852837319184</v>
      </c>
    </row>
    <row r="1623" spans="1:7">
      <c r="A1623" t="s">
        <v>137</v>
      </c>
      <c r="B1623">
        <v>4</v>
      </c>
      <c r="C1623">
        <v>24.23375141548193</v>
      </c>
      <c r="D1623">
        <v>15.14468100073003</v>
      </c>
      <c r="E1623">
        <v>214.6881550325876</v>
      </c>
      <c r="F1623">
        <v>2184.386042706243</v>
      </c>
      <c r="G1623">
        <v>0.4717266145195735</v>
      </c>
    </row>
    <row r="1624" spans="1:7">
      <c r="A1624" t="s">
        <v>137</v>
      </c>
      <c r="B1624">
        <v>4</v>
      </c>
      <c r="C1624">
        <v>24.26789693829318</v>
      </c>
      <c r="D1624">
        <v>15.16078391502415</v>
      </c>
      <c r="E1624">
        <v>215.2055530801217</v>
      </c>
      <c r="F1624">
        <v>2186.708639083762</v>
      </c>
      <c r="G1624">
        <v>0.4714667643227669</v>
      </c>
    </row>
    <row r="1625" spans="1:7">
      <c r="A1625" t="s">
        <v>137</v>
      </c>
      <c r="B1625">
        <v>4</v>
      </c>
      <c r="C1625">
        <v>24.30206132851811</v>
      </c>
      <c r="D1625">
        <v>15.17688682931827</v>
      </c>
      <c r="E1625">
        <v>215.7237871672035</v>
      </c>
      <c r="F1625">
        <v>2189.03123546128</v>
      </c>
      <c r="G1625">
        <v>0.4712057331414993</v>
      </c>
    </row>
    <row r="1626" spans="1:7">
      <c r="A1626" t="s">
        <v>137</v>
      </c>
      <c r="B1626">
        <v>4</v>
      </c>
      <c r="C1626">
        <v>24.33624469271662</v>
      </c>
      <c r="D1626">
        <v>15.1929897436124</v>
      </c>
      <c r="E1626">
        <v>216.2428595195805</v>
      </c>
      <c r="F1626">
        <v>2191.3538318388</v>
      </c>
      <c r="G1626">
        <v>0.4709435209757707</v>
      </c>
    </row>
    <row r="1627" spans="1:7">
      <c r="A1627" t="s">
        <v>137</v>
      </c>
      <c r="B1627">
        <v>4</v>
      </c>
      <c r="C1627">
        <v>24.37044713776902</v>
      </c>
      <c r="D1627">
        <v>15.20909265790652</v>
      </c>
      <c r="E1627">
        <v>216.7627723730186</v>
      </c>
      <c r="F1627">
        <v>2193.676428216318</v>
      </c>
      <c r="G1627">
        <v>0.4706801278255806</v>
      </c>
    </row>
    <row r="1628" spans="1:7">
      <c r="A1628" t="s">
        <v>137</v>
      </c>
      <c r="B1628">
        <v>4</v>
      </c>
      <c r="C1628">
        <v>24.4046687708784</v>
      </c>
      <c r="D1628">
        <v>15.22519557220064</v>
      </c>
      <c r="E1628">
        <v>217.2835279733584</v>
      </c>
      <c r="F1628">
        <v>2195.999024593837</v>
      </c>
      <c r="G1628">
        <v>0.4704155536909292</v>
      </c>
    </row>
    <row r="1629" spans="1:7">
      <c r="A1629" t="s">
        <v>137</v>
      </c>
      <c r="B1629">
        <v>4</v>
      </c>
      <c r="C1629">
        <v>24.4389096995729</v>
      </c>
      <c r="D1629">
        <v>15.24129848649476</v>
      </c>
      <c r="E1629">
        <v>217.8051285765716</v>
      </c>
      <c r="F1629">
        <v>2198.321620971356</v>
      </c>
      <c r="G1629">
        <v>0.4701497985718167</v>
      </c>
    </row>
    <row r="1630" spans="1:7">
      <c r="A1630" t="s">
        <v>137</v>
      </c>
      <c r="B1630">
        <v>4</v>
      </c>
      <c r="C1630">
        <v>24.47317003170812</v>
      </c>
      <c r="D1630">
        <v>15.25740140078888</v>
      </c>
      <c r="E1630">
        <v>218.3275764488174</v>
      </c>
      <c r="F1630">
        <v>2200.644217348874</v>
      </c>
      <c r="G1630">
        <v>0.4698828624682431</v>
      </c>
    </row>
    <row r="1631" spans="1:7">
      <c r="A1631" t="s">
        <v>137</v>
      </c>
      <c r="B1631">
        <v>4</v>
      </c>
      <c r="C1631">
        <v>24.50744987546947</v>
      </c>
      <c r="D1631">
        <v>15.273504315083</v>
      </c>
      <c r="E1631">
        <v>218.8508738665003</v>
      </c>
      <c r="F1631">
        <v>2202.966813726393</v>
      </c>
      <c r="G1631">
        <v>0.469614745380208</v>
      </c>
    </row>
    <row r="1632" spans="1:7">
      <c r="A1632" t="s">
        <v>137</v>
      </c>
      <c r="B1632">
        <v>4</v>
      </c>
      <c r="C1632">
        <v>24.54174933937453</v>
      </c>
      <c r="D1632">
        <v>15.28960722937712</v>
      </c>
      <c r="E1632">
        <v>219.3750231163273</v>
      </c>
      <c r="F1632">
        <v>2205.289410103912</v>
      </c>
      <c r="G1632">
        <v>0.4693454473077117</v>
      </c>
    </row>
    <row r="1633" spans="1:7">
      <c r="A1633" t="s">
        <v>137</v>
      </c>
      <c r="B1633">
        <v>4</v>
      </c>
      <c r="C1633">
        <v>24.5760685322755</v>
      </c>
      <c r="D1633">
        <v>15.30571014367124</v>
      </c>
      <c r="E1633">
        <v>219.9000264953662</v>
      </c>
      <c r="F1633">
        <v>2207.61200648143</v>
      </c>
      <c r="G1633">
        <v>0.469074968250754</v>
      </c>
    </row>
    <row r="1634" spans="1:7">
      <c r="A1634" t="s">
        <v>137</v>
      </c>
      <c r="B1634">
        <v>4</v>
      </c>
      <c r="C1634">
        <v>24.61040756336154</v>
      </c>
      <c r="D1634">
        <v>15.32181305796536</v>
      </c>
      <c r="E1634">
        <v>220.4258863111043</v>
      </c>
      <c r="F1634">
        <v>2209.934602858949</v>
      </c>
      <c r="G1634">
        <v>0.4688033082093354</v>
      </c>
    </row>
    <row r="1635" spans="1:7">
      <c r="A1635" t="s">
        <v>137</v>
      </c>
      <c r="B1635">
        <v>4</v>
      </c>
      <c r="C1635">
        <v>24.64476654216128</v>
      </c>
      <c r="D1635">
        <v>15.33791597225948</v>
      </c>
      <c r="E1635">
        <v>220.9526048815068</v>
      </c>
      <c r="F1635">
        <v>2212.257199236468</v>
      </c>
      <c r="G1635">
        <v>0.4685304671834554</v>
      </c>
    </row>
    <row r="1636" spans="1:7">
      <c r="A1636" t="s">
        <v>137</v>
      </c>
      <c r="B1636">
        <v>4</v>
      </c>
      <c r="C1636">
        <v>24.67914557854521</v>
      </c>
      <c r="D1636">
        <v>15.35401888655361</v>
      </c>
      <c r="E1636">
        <v>221.4801845350768</v>
      </c>
      <c r="F1636">
        <v>2214.579795613987</v>
      </c>
      <c r="G1636">
        <v>0.468256445173114</v>
      </c>
    </row>
    <row r="1637" spans="1:7">
      <c r="A1637" t="s">
        <v>137</v>
      </c>
      <c r="B1637">
        <v>4</v>
      </c>
      <c r="C1637">
        <v>24.71354478272814</v>
      </c>
      <c r="D1637">
        <v>15.37012180084773</v>
      </c>
      <c r="E1637">
        <v>222.0086276109146</v>
      </c>
      <c r="F1637">
        <v>2216.902391991505</v>
      </c>
      <c r="G1637">
        <v>0.4679812421783117</v>
      </c>
    </row>
    <row r="1638" spans="1:7">
      <c r="A1638" t="s">
        <v>137</v>
      </c>
      <c r="B1638">
        <v>4</v>
      </c>
      <c r="C1638">
        <v>24.74796426527171</v>
      </c>
      <c r="D1638">
        <v>15.38622471514185</v>
      </c>
      <c r="E1638">
        <v>222.5379364587782</v>
      </c>
      <c r="F1638">
        <v>2219.224988369024</v>
      </c>
      <c r="G1638">
        <v>0.4677048581990479</v>
      </c>
    </row>
    <row r="1639" spans="1:7">
      <c r="A1639" t="s">
        <v>137</v>
      </c>
      <c r="B1639">
        <v>4</v>
      </c>
      <c r="C1639">
        <v>24.78240413708686</v>
      </c>
      <c r="D1639">
        <v>15.40232762943597</v>
      </c>
      <c r="E1639">
        <v>223.0681134391441</v>
      </c>
      <c r="F1639">
        <v>2221.547584746543</v>
      </c>
      <c r="G1639">
        <v>0.4674272932353229</v>
      </c>
    </row>
    <row r="1640" spans="1:7">
      <c r="A1640" t="s">
        <v>137</v>
      </c>
      <c r="B1640">
        <v>4</v>
      </c>
      <c r="C1640">
        <v>24.81686450943633</v>
      </c>
      <c r="D1640">
        <v>15.41843054373009</v>
      </c>
      <c r="E1640">
        <v>223.5991609232682</v>
      </c>
      <c r="F1640">
        <v>2223.870181124062</v>
      </c>
      <c r="G1640">
        <v>0.4671485472871367</v>
      </c>
    </row>
    <row r="1641" spans="1:7">
      <c r="A1641" t="s">
        <v>137</v>
      </c>
      <c r="B1641">
        <v>4</v>
      </c>
      <c r="C1641">
        <v>24.85134549393722</v>
      </c>
      <c r="D1641">
        <v>15.43453345802421</v>
      </c>
      <c r="E1641">
        <v>224.1310812932477</v>
      </c>
      <c r="F1641">
        <v>2226.192777501581</v>
      </c>
      <c r="G1641">
        <v>0.4668686203544889</v>
      </c>
    </row>
    <row r="1642" spans="1:7">
      <c r="A1642" t="s">
        <v>137</v>
      </c>
      <c r="B1642">
        <v>4</v>
      </c>
      <c r="C1642">
        <v>24.88584720256348</v>
      </c>
      <c r="D1642">
        <v>15.45063637231833</v>
      </c>
      <c r="E1642">
        <v>224.6638769420827</v>
      </c>
      <c r="F1642">
        <v>2228.5153738791</v>
      </c>
      <c r="G1642">
        <v>0.4665875124373801</v>
      </c>
    </row>
    <row r="1643" spans="1:7">
      <c r="A1643" t="s">
        <v>137</v>
      </c>
      <c r="B1643">
        <v>4</v>
      </c>
      <c r="C1643">
        <v>24.92036974764851</v>
      </c>
      <c r="D1643">
        <v>15.46673928661245</v>
      </c>
      <c r="E1643">
        <v>225.1975502737392</v>
      </c>
      <c r="F1643">
        <v>2230.837970256618</v>
      </c>
      <c r="G1643">
        <v>0.4663052235358101</v>
      </c>
    </row>
    <row r="1644" spans="1:7">
      <c r="A1644" t="s">
        <v>137</v>
      </c>
      <c r="B1644">
        <v>4</v>
      </c>
      <c r="C1644">
        <v>24.95491324188772</v>
      </c>
      <c r="D1644">
        <v>15.48284220090657</v>
      </c>
      <c r="E1644">
        <v>225.732103703212</v>
      </c>
      <c r="F1644">
        <v>2233.160566634137</v>
      </c>
      <c r="G1644">
        <v>0.4660217536497792</v>
      </c>
    </row>
    <row r="1645" spans="1:7">
      <c r="A1645" t="s">
        <v>137</v>
      </c>
      <c r="B1645">
        <v>4</v>
      </c>
      <c r="C1645">
        <v>24.98947779834111</v>
      </c>
      <c r="D1645">
        <v>15.49894511520069</v>
      </c>
      <c r="E1645">
        <v>226.267539656588</v>
      </c>
      <c r="F1645">
        <v>2235.483163011656</v>
      </c>
      <c r="G1645">
        <v>0.4657371027792867</v>
      </c>
    </row>
    <row r="1646" spans="1:7">
      <c r="A1646" t="s">
        <v>137</v>
      </c>
      <c r="B1646">
        <v>4</v>
      </c>
      <c r="C1646">
        <v>25.0240635304359</v>
      </c>
      <c r="D1646">
        <v>15.51504802949482</v>
      </c>
      <c r="E1646">
        <v>226.8038605711101</v>
      </c>
      <c r="F1646">
        <v>2237.805759389174</v>
      </c>
      <c r="G1646">
        <v>0.4654512709243328</v>
      </c>
    </row>
    <row r="1647" spans="1:7">
      <c r="A1647" t="s">
        <v>137</v>
      </c>
      <c r="B1647">
        <v>4</v>
      </c>
      <c r="C1647">
        <v>25.05867055196914</v>
      </c>
      <c r="D1647">
        <v>15.53115094378894</v>
      </c>
      <c r="E1647">
        <v>227.3410688952419</v>
      </c>
      <c r="F1647">
        <v>2240.128355766693</v>
      </c>
      <c r="G1647">
        <v>0.4651642580849176</v>
      </c>
    </row>
    <row r="1648" spans="1:7">
      <c r="A1648" t="s">
        <v>137</v>
      </c>
      <c r="B1648">
        <v>4</v>
      </c>
      <c r="C1648">
        <v>25.09329897711036</v>
      </c>
      <c r="D1648">
        <v>15.54725385808306</v>
      </c>
      <c r="E1648">
        <v>227.8791670887322</v>
      </c>
      <c r="F1648">
        <v>2242.450952144211</v>
      </c>
      <c r="G1648">
        <v>0.4648760642610416</v>
      </c>
    </row>
    <row r="1649" spans="1:7">
      <c r="A1649" t="s">
        <v>137</v>
      </c>
      <c r="B1649">
        <v>4</v>
      </c>
      <c r="C1649">
        <v>25.12794892040424</v>
      </c>
      <c r="D1649">
        <v>15.56335677237718</v>
      </c>
      <c r="E1649">
        <v>228.4181576226811</v>
      </c>
      <c r="F1649">
        <v>2244.773548521731</v>
      </c>
      <c r="G1649">
        <v>0.4645866894527042</v>
      </c>
    </row>
    <row r="1650" spans="1:7">
      <c r="A1650" t="s">
        <v>137</v>
      </c>
      <c r="B1650">
        <v>4</v>
      </c>
      <c r="C1650">
        <v>25.16262049677325</v>
      </c>
      <c r="D1650">
        <v>15.5794596866713</v>
      </c>
      <c r="E1650">
        <v>228.9580429796046</v>
      </c>
      <c r="F1650">
        <v>2247.096144899249</v>
      </c>
      <c r="G1650">
        <v>0.4642961336599051</v>
      </c>
    </row>
    <row r="1651" spans="1:7">
      <c r="A1651" t="s">
        <v>137</v>
      </c>
      <c r="B1651">
        <v>4</v>
      </c>
      <c r="C1651">
        <v>25.1973138215204</v>
      </c>
      <c r="D1651">
        <v>15.59556260096542</v>
      </c>
      <c r="E1651">
        <v>229.4988256535025</v>
      </c>
      <c r="F1651">
        <v>2249.418741276768</v>
      </c>
      <c r="G1651">
        <v>0.4640043968826453</v>
      </c>
    </row>
    <row r="1652" spans="1:7">
      <c r="A1652" t="s">
        <v>137</v>
      </c>
      <c r="B1652">
        <v>4</v>
      </c>
      <c r="C1652">
        <v>25.23202901033193</v>
      </c>
      <c r="D1652">
        <v>15.61166551525954</v>
      </c>
      <c r="E1652">
        <v>230.0405081499241</v>
      </c>
      <c r="F1652">
        <v>2251.741337654287</v>
      </c>
      <c r="G1652">
        <v>0.4637114791209239</v>
      </c>
    </row>
    <row r="1653" spans="1:7">
      <c r="A1653" t="s">
        <v>137</v>
      </c>
      <c r="B1653">
        <v>4</v>
      </c>
      <c r="C1653">
        <v>25.26676617928002</v>
      </c>
      <c r="D1653">
        <v>15.62776842955366</v>
      </c>
      <c r="E1653">
        <v>230.5830929860361</v>
      </c>
      <c r="F1653">
        <v>2254.063934031805</v>
      </c>
      <c r="G1653">
        <v>0.4634173803747415</v>
      </c>
    </row>
    <row r="1654" spans="1:7">
      <c r="A1654" t="s">
        <v>137</v>
      </c>
      <c r="B1654">
        <v>4</v>
      </c>
      <c r="C1654">
        <v>25.3015254448256</v>
      </c>
      <c r="D1654">
        <v>15.64387134384778</v>
      </c>
      <c r="E1654">
        <v>231.1265826906905</v>
      </c>
      <c r="F1654">
        <v>2256.386530409324</v>
      </c>
      <c r="G1654">
        <v>0.4631221006440978</v>
      </c>
    </row>
    <row r="1655" spans="1:7">
      <c r="A1655" t="s">
        <v>137</v>
      </c>
      <c r="B1655">
        <v>4</v>
      </c>
      <c r="C1655">
        <v>25.33630692382104</v>
      </c>
      <c r="D1655">
        <v>15.6599742581419</v>
      </c>
      <c r="E1655">
        <v>231.6709798044925</v>
      </c>
      <c r="F1655">
        <v>2258.709126786843</v>
      </c>
      <c r="G1655">
        <v>0.4628256399289929</v>
      </c>
    </row>
    <row r="1656" spans="1:7">
      <c r="A1656" t="s">
        <v>137</v>
      </c>
      <c r="B1656">
        <v>4</v>
      </c>
      <c r="C1656">
        <v>25.37111073351303</v>
      </c>
      <c r="D1656">
        <v>15.67607717243603</v>
      </c>
      <c r="E1656">
        <v>232.2162868798703</v>
      </c>
      <c r="F1656">
        <v>2261.031723164362</v>
      </c>
      <c r="G1656">
        <v>0.4625279982294266</v>
      </c>
    </row>
    <row r="1657" spans="1:7">
      <c r="A1657" t="s">
        <v>137</v>
      </c>
      <c r="B1657">
        <v>4</v>
      </c>
      <c r="C1657">
        <v>25.40593699154531</v>
      </c>
      <c r="D1657">
        <v>15.69218008673015</v>
      </c>
      <c r="E1657">
        <v>232.7625064811438</v>
      </c>
      <c r="F1657">
        <v>2263.35431954188</v>
      </c>
      <c r="G1657">
        <v>0.4622291755453992</v>
      </c>
    </row>
    <row r="1658" spans="1:7">
      <c r="A1658" t="s">
        <v>137</v>
      </c>
      <c r="B1658">
        <v>4</v>
      </c>
      <c r="C1658">
        <v>25.44078581596153</v>
      </c>
      <c r="D1658">
        <v>15.70828300102427</v>
      </c>
      <c r="E1658">
        <v>233.3096411845945</v>
      </c>
      <c r="F1658">
        <v>2265.676915919399</v>
      </c>
      <c r="G1658">
        <v>0.4619291718769105</v>
      </c>
    </row>
    <row r="1659" spans="1:7">
      <c r="A1659" t="s">
        <v>137</v>
      </c>
      <c r="B1659">
        <v>4</v>
      </c>
      <c r="C1659">
        <v>25.47565732520813</v>
      </c>
      <c r="D1659">
        <v>15.72438591531839</v>
      </c>
      <c r="E1659">
        <v>233.857693578537</v>
      </c>
      <c r="F1659">
        <v>2267.999512296919</v>
      </c>
      <c r="G1659">
        <v>0.4616279872239604</v>
      </c>
    </row>
    <row r="1660" spans="1:7">
      <c r="A1660" t="s">
        <v>137</v>
      </c>
      <c r="B1660">
        <v>4</v>
      </c>
      <c r="C1660">
        <v>25.51055163813711</v>
      </c>
      <c r="D1660">
        <v>15.74048882961251</v>
      </c>
      <c r="E1660">
        <v>234.4066662633884</v>
      </c>
      <c r="F1660">
        <v>2270.322108674437</v>
      </c>
      <c r="G1660">
        <v>0.4613256215865491</v>
      </c>
    </row>
    <row r="1661" spans="1:7">
      <c r="A1661" t="s">
        <v>137</v>
      </c>
      <c r="B1661">
        <v>4</v>
      </c>
      <c r="C1661">
        <v>25.54546887400902</v>
      </c>
      <c r="D1661">
        <v>15.75659174390663</v>
      </c>
      <c r="E1661">
        <v>234.9565618517416</v>
      </c>
      <c r="F1661">
        <v>2272.644705051956</v>
      </c>
      <c r="G1661">
        <v>0.4610220749646766</v>
      </c>
    </row>
    <row r="1662" spans="1:7">
      <c r="A1662" t="s">
        <v>137</v>
      </c>
      <c r="B1662">
        <v>4</v>
      </c>
      <c r="C1662">
        <v>25.58040915249583</v>
      </c>
      <c r="D1662">
        <v>15.77269465820075</v>
      </c>
      <c r="E1662">
        <v>235.5073829684362</v>
      </c>
      <c r="F1662">
        <v>2274.967301429475</v>
      </c>
      <c r="G1662">
        <v>0.4607173473583431</v>
      </c>
    </row>
    <row r="1663" spans="1:7">
      <c r="A1663" t="s">
        <v>137</v>
      </c>
      <c r="B1663">
        <v>4</v>
      </c>
      <c r="C1663">
        <v>25.61537259368382</v>
      </c>
      <c r="D1663">
        <v>15.78879757249487</v>
      </c>
      <c r="E1663">
        <v>236.0591322506315</v>
      </c>
      <c r="F1663">
        <v>2277.289897806993</v>
      </c>
      <c r="G1663">
        <v>0.460411438767548</v>
      </c>
    </row>
    <row r="1664" spans="1:7">
      <c r="A1664" t="s">
        <v>137</v>
      </c>
      <c r="B1664">
        <v>4</v>
      </c>
      <c r="C1664">
        <v>25.65035931807657</v>
      </c>
      <c r="D1664">
        <v>15.80490048678899</v>
      </c>
      <c r="E1664">
        <v>236.6118123478804</v>
      </c>
      <c r="F1664">
        <v>2279.612494184512</v>
      </c>
      <c r="G1664">
        <v>0.4601043491922919</v>
      </c>
    </row>
    <row r="1665" spans="1:7">
      <c r="A1665" t="s">
        <v>137</v>
      </c>
      <c r="B1665">
        <v>4</v>
      </c>
      <c r="C1665">
        <v>25.6853694465979</v>
      </c>
      <c r="D1665">
        <v>15.82100340108311</v>
      </c>
      <c r="E1665">
        <v>237.1654259222017</v>
      </c>
      <c r="F1665">
        <v>2281.93509056203</v>
      </c>
      <c r="G1665">
        <v>0.4597960786325743</v>
      </c>
    </row>
    <row r="1666" spans="1:7">
      <c r="A1666" t="s">
        <v>137</v>
      </c>
      <c r="B1666">
        <v>4</v>
      </c>
      <c r="C1666">
        <v>25.72040310059489</v>
      </c>
      <c r="D1666">
        <v>15.83710631537724</v>
      </c>
      <c r="E1666">
        <v>237.7199756481562</v>
      </c>
      <c r="F1666">
        <v>2284.257686939549</v>
      </c>
      <c r="G1666">
        <v>0.4594866270883955</v>
      </c>
    </row>
    <row r="1667" spans="1:7">
      <c r="A1667" t="s">
        <v>137</v>
      </c>
      <c r="B1667">
        <v>4</v>
      </c>
      <c r="C1667">
        <v>25.75546040184085</v>
      </c>
      <c r="D1667">
        <v>15.85320922967136</v>
      </c>
      <c r="E1667">
        <v>238.2754642129202</v>
      </c>
      <c r="F1667">
        <v>2286.580283317068</v>
      </c>
      <c r="G1667">
        <v>0.4591759945597557</v>
      </c>
    </row>
    <row r="1668" spans="1:7">
      <c r="A1668" t="s">
        <v>137</v>
      </c>
      <c r="B1668">
        <v>4</v>
      </c>
      <c r="C1668">
        <v>25.79054147253836</v>
      </c>
      <c r="D1668">
        <v>15.86931214396548</v>
      </c>
      <c r="E1668">
        <v>238.8318943163618</v>
      </c>
      <c r="F1668">
        <v>2288.902879694587</v>
      </c>
      <c r="G1668">
        <v>0.4588641810466546</v>
      </c>
    </row>
    <row r="1669" spans="1:7">
      <c r="A1669" t="s">
        <v>137</v>
      </c>
      <c r="B1669">
        <v>4</v>
      </c>
      <c r="C1669">
        <v>25.82564643532234</v>
      </c>
      <c r="D1669">
        <v>15.8854150582596</v>
      </c>
      <c r="E1669">
        <v>239.389268671117</v>
      </c>
      <c r="F1669">
        <v>2291.225476072106</v>
      </c>
      <c r="G1669">
        <v>0.4585511865490918</v>
      </c>
    </row>
    <row r="1670" spans="1:7">
      <c r="A1670" t="s">
        <v>137</v>
      </c>
      <c r="B1670">
        <v>4</v>
      </c>
      <c r="C1670">
        <v>25.86077541326311</v>
      </c>
      <c r="D1670">
        <v>15.90151797255372</v>
      </c>
      <c r="E1670">
        <v>239.9475900026657</v>
      </c>
      <c r="F1670">
        <v>2293.548072449624</v>
      </c>
      <c r="G1670">
        <v>0.4582370110670685</v>
      </c>
    </row>
    <row r="1671" spans="1:7">
      <c r="A1671" t="s">
        <v>137</v>
      </c>
      <c r="B1671">
        <v>4</v>
      </c>
      <c r="C1671">
        <v>25.89592852986946</v>
      </c>
      <c r="D1671">
        <v>15.91762088684784</v>
      </c>
      <c r="E1671">
        <v>240.5068610494096</v>
      </c>
      <c r="F1671">
        <v>2295.870668827144</v>
      </c>
      <c r="G1671">
        <v>0.4579216546005834</v>
      </c>
    </row>
    <row r="1672" spans="1:7">
      <c r="A1672" t="s">
        <v>137</v>
      </c>
      <c r="B1672">
        <v>4</v>
      </c>
      <c r="C1672">
        <v>25.93110590909182</v>
      </c>
      <c r="D1672">
        <v>15.93372380114196</v>
      </c>
      <c r="E1672">
        <v>241.0670845627501</v>
      </c>
      <c r="F1672">
        <v>2298.193265204663</v>
      </c>
      <c r="G1672">
        <v>0.457605117149637</v>
      </c>
    </row>
    <row r="1673" spans="1:7">
      <c r="A1673" t="s">
        <v>137</v>
      </c>
      <c r="B1673">
        <v>4</v>
      </c>
      <c r="C1673">
        <v>25.96630767532535</v>
      </c>
      <c r="D1673">
        <v>15.94982671543608</v>
      </c>
      <c r="E1673">
        <v>241.628263307166</v>
      </c>
      <c r="F1673">
        <v>2300.515861582181</v>
      </c>
      <c r="G1673">
        <v>0.4572873987142295</v>
      </c>
    </row>
    <row r="1674" spans="1:7">
      <c r="A1674" t="s">
        <v>137</v>
      </c>
      <c r="B1674">
        <v>4</v>
      </c>
      <c r="C1674">
        <v>26.0015339534131</v>
      </c>
      <c r="D1674">
        <v>15.9659296297302</v>
      </c>
      <c r="E1674">
        <v>242.1904000602938</v>
      </c>
      <c r="F1674">
        <v>2302.8384579597</v>
      </c>
      <c r="G1674">
        <v>0.4569684992943608</v>
      </c>
    </row>
    <row r="1675" spans="1:7">
      <c r="A1675" t="s">
        <v>137</v>
      </c>
      <c r="B1675">
        <v>4</v>
      </c>
      <c r="C1675">
        <v>26.03678486864924</v>
      </c>
      <c r="D1675">
        <v>15.98203254402432</v>
      </c>
      <c r="E1675">
        <v>242.7534976130061</v>
      </c>
      <c r="F1675">
        <v>2305.161054337218</v>
      </c>
      <c r="G1675">
        <v>0.4566484188900308</v>
      </c>
    </row>
    <row r="1676" spans="1:7">
      <c r="A1676" t="s">
        <v>137</v>
      </c>
      <c r="B1676">
        <v>4</v>
      </c>
      <c r="C1676">
        <v>26.07206054678221</v>
      </c>
      <c r="D1676">
        <v>15.99813545831845</v>
      </c>
      <c r="E1676">
        <v>243.3175587694929</v>
      </c>
      <c r="F1676">
        <v>2307.483650714737</v>
      </c>
      <c r="G1676">
        <v>0.4563271575012398</v>
      </c>
    </row>
    <row r="1677" spans="1:7">
      <c r="A1677" t="s">
        <v>137</v>
      </c>
      <c r="B1677">
        <v>4</v>
      </c>
      <c r="C1677">
        <v>26.10736111401799</v>
      </c>
      <c r="D1677">
        <v>16.01423837261257</v>
      </c>
      <c r="E1677">
        <v>243.8825863473419</v>
      </c>
      <c r="F1677">
        <v>2309.806247092256</v>
      </c>
      <c r="G1677">
        <v>0.4560047151279873</v>
      </c>
    </row>
    <row r="1678" spans="1:7">
      <c r="A1678" t="s">
        <v>137</v>
      </c>
      <c r="B1678">
        <v>4</v>
      </c>
      <c r="C1678">
        <v>26.1426866970233</v>
      </c>
      <c r="D1678">
        <v>16.03034128690669</v>
      </c>
      <c r="E1678">
        <v>244.4485831776203</v>
      </c>
      <c r="F1678">
        <v>2312.128843469774</v>
      </c>
      <c r="G1678">
        <v>0.4556810917702736</v>
      </c>
    </row>
    <row r="1679" spans="1:7">
      <c r="A1679" t="s">
        <v>137</v>
      </c>
      <c r="B1679">
        <v>4</v>
      </c>
      <c r="C1679">
        <v>26.17803742292895</v>
      </c>
      <c r="D1679">
        <v>16.04644420120081</v>
      </c>
      <c r="E1679">
        <v>245.0155521049574</v>
      </c>
      <c r="F1679">
        <v>2314.451439847293</v>
      </c>
      <c r="G1679">
        <v>0.4553562874280987</v>
      </c>
    </row>
    <row r="1680" spans="1:7">
      <c r="A1680" t="s">
        <v>137</v>
      </c>
      <c r="B1680">
        <v>4</v>
      </c>
      <c r="C1680">
        <v>26.21341341933308</v>
      </c>
      <c r="D1680">
        <v>16.06254711549493</v>
      </c>
      <c r="E1680">
        <v>245.5834959876268</v>
      </c>
      <c r="F1680">
        <v>2316.774036224812</v>
      </c>
      <c r="G1680">
        <v>0.4550303021014623</v>
      </c>
    </row>
    <row r="1681" spans="1:7">
      <c r="A1681" t="s">
        <v>137</v>
      </c>
      <c r="B1681">
        <v>4</v>
      </c>
      <c r="C1681">
        <v>26.2488148143045</v>
      </c>
      <c r="D1681">
        <v>16.07865002978905</v>
      </c>
      <c r="E1681">
        <v>246.1524176976299</v>
      </c>
      <c r="F1681">
        <v>2319.09663260233</v>
      </c>
      <c r="G1681">
        <v>0.454703135790365</v>
      </c>
    </row>
    <row r="1682" spans="1:7">
      <c r="A1682" t="s">
        <v>137</v>
      </c>
      <c r="B1682">
        <v>4</v>
      </c>
      <c r="C1682">
        <v>26.28424173638604</v>
      </c>
      <c r="D1682">
        <v>16.09475294408317</v>
      </c>
      <c r="E1682">
        <v>246.722320120781</v>
      </c>
      <c r="F1682">
        <v>2321.41922897985</v>
      </c>
      <c r="G1682">
        <v>0.4543747884948063</v>
      </c>
    </row>
    <row r="1683" spans="1:7">
      <c r="A1683" t="s">
        <v>137</v>
      </c>
      <c r="B1683">
        <v>4</v>
      </c>
      <c r="C1683">
        <v>26.3196943145979</v>
      </c>
      <c r="D1683">
        <v>16.11085585837729</v>
      </c>
      <c r="E1683">
        <v>247.2932061567907</v>
      </c>
      <c r="F1683">
        <v>2323.741825357368</v>
      </c>
      <c r="G1683">
        <v>0.4540452602147864</v>
      </c>
    </row>
    <row r="1684" spans="1:7">
      <c r="A1684" t="s">
        <v>137</v>
      </c>
      <c r="B1684">
        <v>4</v>
      </c>
      <c r="C1684">
        <v>26.35517267844109</v>
      </c>
      <c r="D1684">
        <v>16.12695877267141</v>
      </c>
      <c r="E1684">
        <v>247.8650787193527</v>
      </c>
      <c r="F1684">
        <v>2326.064421734887</v>
      </c>
      <c r="G1684">
        <v>0.4537145509503052</v>
      </c>
    </row>
    <row r="1685" spans="1:7">
      <c r="A1685" t="s">
        <v>137</v>
      </c>
      <c r="B1685">
        <v>4</v>
      </c>
      <c r="C1685">
        <v>26.39067695790082</v>
      </c>
      <c r="D1685">
        <v>16.14306168696553</v>
      </c>
      <c r="E1685">
        <v>248.4379407362291</v>
      </c>
      <c r="F1685">
        <v>2328.387018112406</v>
      </c>
      <c r="G1685">
        <v>0.4533826607013626</v>
      </c>
    </row>
    <row r="1686" spans="1:7">
      <c r="A1686" t="s">
        <v>137</v>
      </c>
      <c r="B1686">
        <v>4</v>
      </c>
      <c r="C1686">
        <v>26.42620728344992</v>
      </c>
      <c r="D1686">
        <v>16.15916460125965</v>
      </c>
      <c r="E1686">
        <v>249.0117951493374</v>
      </c>
      <c r="F1686">
        <v>2330.709614489925</v>
      </c>
      <c r="G1686">
        <v>0.453049589467959</v>
      </c>
    </row>
    <row r="1687" spans="1:7">
      <c r="A1687" t="s">
        <v>137</v>
      </c>
      <c r="B1687">
        <v>4</v>
      </c>
      <c r="C1687">
        <v>26.4617637860524</v>
      </c>
      <c r="D1687">
        <v>16.17526751555378</v>
      </c>
      <c r="E1687">
        <v>249.5866449148388</v>
      </c>
      <c r="F1687">
        <v>2333.032210867444</v>
      </c>
      <c r="G1687">
        <v>0.452715337250094</v>
      </c>
    </row>
    <row r="1688" spans="1:7">
      <c r="A1688" t="s">
        <v>137</v>
      </c>
      <c r="B1688">
        <v>4</v>
      </c>
      <c r="C1688">
        <v>26.49734659716681</v>
      </c>
      <c r="D1688">
        <v>16.1913704298479</v>
      </c>
      <c r="E1688">
        <v>250.1624930032247</v>
      </c>
      <c r="F1688">
        <v>2335.354807244962</v>
      </c>
      <c r="G1688">
        <v>0.452379904047768</v>
      </c>
    </row>
    <row r="1689" spans="1:7">
      <c r="A1689" t="s">
        <v>137</v>
      </c>
      <c r="B1689">
        <v>4</v>
      </c>
      <c r="C1689">
        <v>26.53295584874991</v>
      </c>
      <c r="D1689">
        <v>16.20747334414202</v>
      </c>
      <c r="E1689">
        <v>250.7393423994077</v>
      </c>
      <c r="F1689">
        <v>2337.677403622481</v>
      </c>
      <c r="G1689">
        <v>0.4520432898609807</v>
      </c>
    </row>
    <row r="1690" spans="1:7">
      <c r="A1690" t="s">
        <v>137</v>
      </c>
      <c r="B1690">
        <v>4</v>
      </c>
      <c r="C1690">
        <v>26.56859167326011</v>
      </c>
      <c r="D1690">
        <v>16.22357625843614</v>
      </c>
      <c r="E1690">
        <v>251.3171961028098</v>
      </c>
      <c r="F1690">
        <v>2340</v>
      </c>
      <c r="G1690">
        <v>0.4517054946897319</v>
      </c>
    </row>
    <row r="1691" spans="1:7">
      <c r="A1691" t="s">
        <v>138</v>
      </c>
      <c r="B1691">
        <v>4</v>
      </c>
      <c r="C1691">
        <v>26.60192500659345</v>
      </c>
      <c r="D1691">
        <v>16.21572816026598</v>
      </c>
      <c r="E1691">
        <v>251.8578511679155</v>
      </c>
      <c r="F1691">
        <v>0</v>
      </c>
      <c r="G1691">
        <v>-0.2353968395963039</v>
      </c>
    </row>
    <row r="1692" spans="1:7">
      <c r="A1692" t="s">
        <v>138</v>
      </c>
      <c r="B1692">
        <v>4</v>
      </c>
      <c r="C1692">
        <v>26.63525833992678</v>
      </c>
      <c r="D1692">
        <v>16.20788313489964</v>
      </c>
      <c r="E1692">
        <v>252.3982446809698</v>
      </c>
      <c r="F1692">
        <v>0</v>
      </c>
      <c r="G1692">
        <v>-0.2353046958282371</v>
      </c>
    </row>
    <row r="1693" spans="1:7">
      <c r="A1693" t="s">
        <v>138</v>
      </c>
      <c r="B1693">
        <v>4</v>
      </c>
      <c r="C1693">
        <v>26.66859167326011</v>
      </c>
      <c r="D1693">
        <v>16.20004117964829</v>
      </c>
      <c r="E1693">
        <v>252.9383767443545</v>
      </c>
      <c r="F1693">
        <v>0</v>
      </c>
      <c r="G1693">
        <v>-0.2352126326831666</v>
      </c>
    </row>
    <row r="1694" spans="1:7">
      <c r="A1694" t="s">
        <v>138</v>
      </c>
      <c r="B1694">
        <v>4</v>
      </c>
      <c r="C1694">
        <v>26.70192500659345</v>
      </c>
      <c r="D1694">
        <v>16.19220229182588</v>
      </c>
      <c r="E1694">
        <v>253.4782474603622</v>
      </c>
      <c r="F1694">
        <v>0</v>
      </c>
      <c r="G1694">
        <v>-0.2351206500772529</v>
      </c>
    </row>
    <row r="1695" spans="1:7">
      <c r="A1695" t="s">
        <v>138</v>
      </c>
      <c r="B1695">
        <v>4</v>
      </c>
      <c r="C1695">
        <v>26.73525833992678</v>
      </c>
      <c r="D1695">
        <v>16.18436646874919</v>
      </c>
      <c r="E1695">
        <v>254.0178569311957</v>
      </c>
      <c r="F1695">
        <v>0</v>
      </c>
      <c r="G1695">
        <v>-0.2350287479267709</v>
      </c>
    </row>
    <row r="1696" spans="1:7">
      <c r="A1696" t="s">
        <v>138</v>
      </c>
      <c r="B1696">
        <v>4</v>
      </c>
      <c r="C1696">
        <v>26.76859167326011</v>
      </c>
      <c r="D1696">
        <v>16.17653370773774</v>
      </c>
      <c r="E1696">
        <v>254.5572052589685</v>
      </c>
      <c r="F1696">
        <v>0</v>
      </c>
      <c r="G1696">
        <v>-0.2349369261481093</v>
      </c>
    </row>
    <row r="1697" spans="1:7">
      <c r="A1697" t="s">
        <v>138</v>
      </c>
      <c r="B1697">
        <v>4</v>
      </c>
      <c r="C1697">
        <v>26.80192500659345</v>
      </c>
      <c r="D1697">
        <v>16.16870400611389</v>
      </c>
      <c r="E1697">
        <v>255.0962925457047</v>
      </c>
      <c r="F1697">
        <v>0</v>
      </c>
      <c r="G1697">
        <v>-0.2348451846577709</v>
      </c>
    </row>
    <row r="1698" spans="1:7">
      <c r="A1698" t="s">
        <v>138</v>
      </c>
      <c r="B1698">
        <v>4</v>
      </c>
      <c r="C1698">
        <v>26.83525833992678</v>
      </c>
      <c r="D1698">
        <v>16.16087736120273</v>
      </c>
      <c r="E1698">
        <v>255.6351188933395</v>
      </c>
      <c r="F1698">
        <v>0</v>
      </c>
      <c r="G1698">
        <v>-0.234753523372372</v>
      </c>
    </row>
    <row r="1699" spans="1:7">
      <c r="A1699" t="s">
        <v>138</v>
      </c>
      <c r="B1699">
        <v>4</v>
      </c>
      <c r="C1699">
        <v>26.86859167326011</v>
      </c>
      <c r="D1699">
        <v>16.15305377033216</v>
      </c>
      <c r="E1699">
        <v>256.1736844037187</v>
      </c>
      <c r="F1699">
        <v>0</v>
      </c>
      <c r="G1699">
        <v>-0.2346619422086424</v>
      </c>
    </row>
    <row r="1700" spans="1:7">
      <c r="A1700" t="s">
        <v>138</v>
      </c>
      <c r="B1700">
        <v>4</v>
      </c>
      <c r="C1700">
        <v>26.90192500659344</v>
      </c>
      <c r="D1700">
        <v>16.14523323083284</v>
      </c>
      <c r="E1700">
        <v>256.7119891785991</v>
      </c>
      <c r="F1700">
        <v>0</v>
      </c>
      <c r="G1700">
        <v>-0.2345704410834253</v>
      </c>
    </row>
    <row r="1701" spans="1:7">
      <c r="A1701" t="s">
        <v>138</v>
      </c>
      <c r="B1701">
        <v>4</v>
      </c>
      <c r="C1701">
        <v>26.93525833992678</v>
      </c>
      <c r="D1701">
        <v>16.1374157400382</v>
      </c>
      <c r="E1701">
        <v>257.2500333196487</v>
      </c>
      <c r="F1701">
        <v>0</v>
      </c>
      <c r="G1701">
        <v>-0.2344790199136771</v>
      </c>
    </row>
    <row r="1702" spans="1:7">
      <c r="A1702" t="s">
        <v>138</v>
      </c>
      <c r="B1702">
        <v>4</v>
      </c>
      <c r="C1702">
        <v>26.96859167326011</v>
      </c>
      <c r="D1702">
        <v>16.12960129528445</v>
      </c>
      <c r="E1702">
        <v>257.7878169284465</v>
      </c>
      <c r="F1702">
        <v>0</v>
      </c>
      <c r="G1702">
        <v>-0.234387678616467</v>
      </c>
    </row>
    <row r="1703" spans="1:7">
      <c r="A1703" t="s">
        <v>138</v>
      </c>
      <c r="B1703">
        <v>4</v>
      </c>
      <c r="C1703">
        <v>27.00192500659345</v>
      </c>
      <c r="D1703">
        <v>16.12178989391055</v>
      </c>
      <c r="E1703">
        <v>258.325340106483</v>
      </c>
      <c r="F1703">
        <v>0</v>
      </c>
      <c r="G1703">
        <v>-0.2342964171089769</v>
      </c>
    </row>
    <row r="1704" spans="1:7">
      <c r="A1704" t="s">
        <v>138</v>
      </c>
      <c r="B1704">
        <v>4</v>
      </c>
      <c r="C1704">
        <v>27.03525833992678</v>
      </c>
      <c r="D1704">
        <v>16.11398153325822</v>
      </c>
      <c r="E1704">
        <v>258.8626029551597</v>
      </c>
      <c r="F1704">
        <v>0</v>
      </c>
      <c r="G1704">
        <v>-0.2342052353085017</v>
      </c>
    </row>
    <row r="1705" spans="1:7">
      <c r="A1705" t="s">
        <v>138</v>
      </c>
      <c r="B1705">
        <v>4</v>
      </c>
      <c r="C1705">
        <v>27.06859167326011</v>
      </c>
      <c r="D1705">
        <v>16.10617621067193</v>
      </c>
      <c r="E1705">
        <v>259.3996055757898</v>
      </c>
      <c r="F1705">
        <v>0</v>
      </c>
      <c r="G1705">
        <v>-0.2341141331324482</v>
      </c>
    </row>
    <row r="1706" spans="1:7">
      <c r="A1706" t="s">
        <v>138</v>
      </c>
      <c r="B1706">
        <v>4</v>
      </c>
      <c r="C1706">
        <v>27.10192500659345</v>
      </c>
      <c r="D1706">
        <v>16.09837392349892</v>
      </c>
      <c r="E1706">
        <v>259.936348069598</v>
      </c>
      <c r="F1706">
        <v>0</v>
      </c>
      <c r="G1706">
        <v>-0.2340231104983356</v>
      </c>
    </row>
    <row r="1707" spans="1:7">
      <c r="A1707" t="s">
        <v>138</v>
      </c>
      <c r="B1707">
        <v>4</v>
      </c>
      <c r="C1707">
        <v>27.13525833992678</v>
      </c>
      <c r="D1707">
        <v>16.09057466908916</v>
      </c>
      <c r="E1707">
        <v>260.4728305377205</v>
      </c>
      <c r="F1707">
        <v>0</v>
      </c>
      <c r="G1707">
        <v>-0.2339321673237954</v>
      </c>
    </row>
    <row r="1708" spans="1:7">
      <c r="A1708" t="s">
        <v>138</v>
      </c>
      <c r="B1708">
        <v>4</v>
      </c>
      <c r="C1708">
        <v>27.16859167326011</v>
      </c>
      <c r="D1708">
        <v>16.08277844479536</v>
      </c>
      <c r="E1708">
        <v>261.0090530812052</v>
      </c>
      <c r="F1708">
        <v>0</v>
      </c>
      <c r="G1708">
        <v>-0.2338413035265707</v>
      </c>
    </row>
    <row r="1709" spans="1:7">
      <c r="A1709" t="s">
        <v>138</v>
      </c>
      <c r="B1709">
        <v>4</v>
      </c>
      <c r="C1709">
        <v>27.20192500659345</v>
      </c>
      <c r="D1709">
        <v>16.074985247973</v>
      </c>
      <c r="E1709">
        <v>261.545015801012</v>
      </c>
      <c r="F1709">
        <v>0</v>
      </c>
      <c r="G1709">
        <v>-0.2337505190245164</v>
      </c>
    </row>
    <row r="1710" spans="1:7">
      <c r="A1710" t="s">
        <v>138</v>
      </c>
      <c r="B1710">
        <v>4</v>
      </c>
      <c r="C1710">
        <v>27.23525833992678</v>
      </c>
      <c r="D1710">
        <v>16.06719507598025</v>
      </c>
      <c r="E1710">
        <v>262.0807187980126</v>
      </c>
      <c r="F1710">
        <v>0</v>
      </c>
      <c r="G1710">
        <v>-0.2336598137355987</v>
      </c>
    </row>
    <row r="1711" spans="1:7">
      <c r="A1711" t="s">
        <v>138</v>
      </c>
      <c r="B1711">
        <v>4</v>
      </c>
      <c r="C1711">
        <v>27.26859167326011</v>
      </c>
      <c r="D1711">
        <v>16.05940792617806</v>
      </c>
      <c r="E1711">
        <v>262.6161621729906</v>
      </c>
      <c r="F1711">
        <v>0</v>
      </c>
      <c r="G1711">
        <v>-0.2335691875778956</v>
      </c>
    </row>
    <row r="1712" spans="1:7">
      <c r="A1712" t="s">
        <v>138</v>
      </c>
      <c r="B1712">
        <v>4</v>
      </c>
      <c r="C1712">
        <v>27.30192500659345</v>
      </c>
      <c r="D1712">
        <v>16.05162379593007</v>
      </c>
      <c r="E1712">
        <v>263.1513460266418</v>
      </c>
      <c r="F1712">
        <v>0</v>
      </c>
      <c r="G1712">
        <v>-0.2334786404695957</v>
      </c>
    </row>
    <row r="1713" spans="1:7">
      <c r="A1713" t="s">
        <v>138</v>
      </c>
      <c r="B1713">
        <v>4</v>
      </c>
      <c r="C1713">
        <v>27.33525833992678</v>
      </c>
      <c r="D1713">
        <v>16.04384268260267</v>
      </c>
      <c r="E1713">
        <v>263.686270459574</v>
      </c>
      <c r="F1713">
        <v>0</v>
      </c>
      <c r="G1713">
        <v>-0.233388172328999</v>
      </c>
    </row>
    <row r="1714" spans="1:7">
      <c r="A1714" t="s">
        <v>138</v>
      </c>
      <c r="B1714">
        <v>4</v>
      </c>
      <c r="C1714">
        <v>27.36859167326011</v>
      </c>
      <c r="D1714">
        <v>16.03606458356496</v>
      </c>
      <c r="E1714">
        <v>264.2209355723074</v>
      </c>
      <c r="F1714">
        <v>0</v>
      </c>
      <c r="G1714">
        <v>-0.233297783074516</v>
      </c>
    </row>
    <row r="1715" spans="1:7">
      <c r="A1715" t="s">
        <v>138</v>
      </c>
      <c r="B1715">
        <v>4</v>
      </c>
      <c r="C1715">
        <v>27.40192500659344</v>
      </c>
      <c r="D1715">
        <v>16.02828949618876</v>
      </c>
      <c r="E1715">
        <v>264.7553414652746</v>
      </c>
      <c r="F1715">
        <v>0</v>
      </c>
      <c r="G1715">
        <v>-0.2332074726246681</v>
      </c>
    </row>
    <row r="1716" spans="1:7">
      <c r="A1716" t="s">
        <v>138</v>
      </c>
      <c r="B1716">
        <v>4</v>
      </c>
      <c r="C1716">
        <v>27.43525833992678</v>
      </c>
      <c r="D1716">
        <v>16.02051741784861</v>
      </c>
      <c r="E1716">
        <v>265.2894882388204</v>
      </c>
      <c r="F1716">
        <v>0</v>
      </c>
      <c r="G1716">
        <v>-0.233117240898087</v>
      </c>
    </row>
    <row r="1717" spans="1:7">
      <c r="A1717" t="s">
        <v>138</v>
      </c>
      <c r="B1717">
        <v>4</v>
      </c>
      <c r="C1717">
        <v>27.46859167326011</v>
      </c>
      <c r="D1717">
        <v>16.01274834592176</v>
      </c>
      <c r="E1717">
        <v>265.8233759932024</v>
      </c>
      <c r="F1717">
        <v>0</v>
      </c>
      <c r="G1717">
        <v>-0.2330270878135146</v>
      </c>
    </row>
    <row r="1718" spans="1:7">
      <c r="A1718" t="s">
        <v>138</v>
      </c>
      <c r="B1718">
        <v>4</v>
      </c>
      <c r="C1718">
        <v>27.50192500659345</v>
      </c>
      <c r="D1718">
        <v>16.00498227778815</v>
      </c>
      <c r="E1718">
        <v>266.3570048285906</v>
      </c>
      <c r="F1718">
        <v>0</v>
      </c>
      <c r="G1718">
        <v>-0.2329370132898031</v>
      </c>
    </row>
    <row r="1719" spans="1:7">
      <c r="A1719" t="s">
        <v>138</v>
      </c>
      <c r="B1719">
        <v>4</v>
      </c>
      <c r="C1719">
        <v>27.53525833992678</v>
      </c>
      <c r="D1719">
        <v>15.99721921083044</v>
      </c>
      <c r="E1719">
        <v>266.890374845068</v>
      </c>
      <c r="F1719">
        <v>0</v>
      </c>
      <c r="G1719">
        <v>-0.2328470172459144</v>
      </c>
    </row>
    <row r="1720" spans="1:7">
      <c r="A1720" t="s">
        <v>138</v>
      </c>
      <c r="B1720">
        <v>4</v>
      </c>
      <c r="C1720">
        <v>27.56859167326011</v>
      </c>
      <c r="D1720">
        <v>15.98945914243399</v>
      </c>
      <c r="E1720">
        <v>267.42348614263</v>
      </c>
      <c r="F1720">
        <v>0</v>
      </c>
      <c r="G1720">
        <v>-0.2327570996009202</v>
      </c>
    </row>
    <row r="1721" spans="1:7">
      <c r="A1721" t="s">
        <v>137</v>
      </c>
      <c r="B1721">
        <v>5</v>
      </c>
      <c r="C1721">
        <v>27.67927319852658</v>
      </c>
      <c r="D1721">
        <v>16.01229201323386</v>
      </c>
      <c r="E1721">
        <v>269.1944878218566</v>
      </c>
      <c r="F1721">
        <v>1419.868925468232</v>
      </c>
      <c r="G1721">
        <v>0.2062339044790408</v>
      </c>
    </row>
    <row r="1722" spans="1:7">
      <c r="A1722" t="s">
        <v>137</v>
      </c>
      <c r="B1722">
        <v>5</v>
      </c>
      <c r="C1722">
        <v>27.79001888005418</v>
      </c>
      <c r="D1722">
        <v>16.03512488403373</v>
      </c>
      <c r="E1722">
        <v>270.9690447023629</v>
      </c>
      <c r="F1722">
        <v>1421.89360024316</v>
      </c>
      <c r="G1722">
        <v>0.2061139616735411</v>
      </c>
    </row>
    <row r="1723" spans="1:7">
      <c r="A1723" t="s">
        <v>137</v>
      </c>
      <c r="B1723">
        <v>5</v>
      </c>
      <c r="C1723">
        <v>27.90082926000506</v>
      </c>
      <c r="D1723">
        <v>16.05795775483361</v>
      </c>
      <c r="E1723">
        <v>272.7471684137294</v>
      </c>
      <c r="F1723">
        <v>1423.918275018088</v>
      </c>
      <c r="G1723">
        <v>0.2059931490916404</v>
      </c>
    </row>
    <row r="1724" spans="1:7">
      <c r="A1724" t="s">
        <v>137</v>
      </c>
      <c r="B1724">
        <v>5</v>
      </c>
      <c r="C1724">
        <v>28.01170488231185</v>
      </c>
      <c r="D1724">
        <v>16.08079062563349</v>
      </c>
      <c r="E1724">
        <v>274.5288706511249</v>
      </c>
      <c r="F1724">
        <v>1425.942949793016</v>
      </c>
      <c r="G1724">
        <v>0.205871466733339</v>
      </c>
    </row>
    <row r="1725" spans="1:7">
      <c r="A1725" t="s">
        <v>137</v>
      </c>
      <c r="B1725">
        <v>5</v>
      </c>
      <c r="C1725">
        <v>28.12264629269576</v>
      </c>
      <c r="D1725">
        <v>16.10362349643336</v>
      </c>
      <c r="E1725">
        <v>276.3141631757586</v>
      </c>
      <c r="F1725">
        <v>1427.967624567943</v>
      </c>
      <c r="G1725">
        <v>0.2057489145986363</v>
      </c>
    </row>
    <row r="1726" spans="1:7">
      <c r="A1726" t="s">
        <v>137</v>
      </c>
      <c r="B1726">
        <v>5</v>
      </c>
      <c r="C1726">
        <v>28.23365403868453</v>
      </c>
      <c r="D1726">
        <v>16.12645636723324</v>
      </c>
      <c r="E1726">
        <v>278.1030578153338</v>
      </c>
      <c r="F1726">
        <v>1429.992299342871</v>
      </c>
      <c r="G1726">
        <v>0.2056254926875324</v>
      </c>
    </row>
    <row r="1727" spans="1:7">
      <c r="A1727" t="s">
        <v>137</v>
      </c>
      <c r="B1727">
        <v>5</v>
      </c>
      <c r="C1727">
        <v>28.34472866963073</v>
      </c>
      <c r="D1727">
        <v>16.14928923803311</v>
      </c>
      <c r="E1727">
        <v>279.8955664645073</v>
      </c>
      <c r="F1727">
        <v>1432.016974117799</v>
      </c>
      <c r="G1727">
        <v>0.2055012010000279</v>
      </c>
    </row>
    <row r="1728" spans="1:7">
      <c r="A1728" t="s">
        <v>137</v>
      </c>
      <c r="B1728">
        <v>5</v>
      </c>
      <c r="C1728">
        <v>28.45587073672999</v>
      </c>
      <c r="D1728">
        <v>16.17212210883299</v>
      </c>
      <c r="E1728">
        <v>281.6917010853515</v>
      </c>
      <c r="F1728">
        <v>1434.041648892727</v>
      </c>
      <c r="G1728">
        <v>0.2053760395361222</v>
      </c>
    </row>
    <row r="1729" spans="1:7">
      <c r="A1729" t="s">
        <v>137</v>
      </c>
      <c r="B1729">
        <v>5</v>
      </c>
      <c r="C1729">
        <v>28.56708079303961</v>
      </c>
      <c r="D1729">
        <v>16.19495497963286</v>
      </c>
      <c r="E1729">
        <v>283.4914737078229</v>
      </c>
      <c r="F1729">
        <v>1436.066323667655</v>
      </c>
      <c r="G1729">
        <v>0.2052500082958156</v>
      </c>
    </row>
    <row r="1730" spans="1:7">
      <c r="A1730" t="s">
        <v>137</v>
      </c>
      <c r="B1730">
        <v>5</v>
      </c>
      <c r="C1730">
        <v>28.67835939349707</v>
      </c>
      <c r="D1730">
        <v>16.21778785043274</v>
      </c>
      <c r="E1730">
        <v>285.294896430233</v>
      </c>
      <c r="F1730">
        <v>1438.090998442583</v>
      </c>
      <c r="G1730">
        <v>0.205123107279108</v>
      </c>
    </row>
    <row r="1731" spans="1:7">
      <c r="A1731" t="s">
        <v>137</v>
      </c>
      <c r="B1731">
        <v>5</v>
      </c>
      <c r="C1731">
        <v>28.78970709493883</v>
      </c>
      <c r="D1731">
        <v>16.24062072123261</v>
      </c>
      <c r="E1731">
        <v>287.1019814197247</v>
      </c>
      <c r="F1731">
        <v>1440.115673217511</v>
      </c>
      <c r="G1731">
        <v>0.2049953364859995</v>
      </c>
    </row>
    <row r="1732" spans="1:7">
      <c r="A1732" t="s">
        <v>137</v>
      </c>
      <c r="B1732">
        <v>5</v>
      </c>
      <c r="C1732">
        <v>28.90112445611914</v>
      </c>
      <c r="D1732">
        <v>16.26345359203249</v>
      </c>
      <c r="E1732">
        <v>288.9127409127514</v>
      </c>
      <c r="F1732">
        <v>1442.140347992439</v>
      </c>
      <c r="G1732">
        <v>0.2048666959164898</v>
      </c>
    </row>
    <row r="1733" spans="1:7">
      <c r="A1733" t="s">
        <v>137</v>
      </c>
      <c r="B1733">
        <v>5</v>
      </c>
      <c r="C1733">
        <v>29.01261203772916</v>
      </c>
      <c r="D1733">
        <v>16.28628646283236</v>
      </c>
      <c r="E1733">
        <v>290.7271872155638</v>
      </c>
      <c r="F1733">
        <v>1444.165022767367</v>
      </c>
      <c r="G1733">
        <v>0.2047371855705791</v>
      </c>
    </row>
    <row r="1734" spans="1:7">
      <c r="A1734" t="s">
        <v>137</v>
      </c>
      <c r="B1734">
        <v>5</v>
      </c>
      <c r="C1734">
        <v>29.12417040241606</v>
      </c>
      <c r="D1734">
        <v>16.30911933363224</v>
      </c>
      <c r="E1734">
        <v>292.5453327046974</v>
      </c>
      <c r="F1734">
        <v>1446.189697542294</v>
      </c>
      <c r="G1734">
        <v>0.2046068054482676</v>
      </c>
    </row>
    <row r="1735" spans="1:7">
      <c r="A1735" t="s">
        <v>137</v>
      </c>
      <c r="B1735">
        <v>5</v>
      </c>
      <c r="C1735">
        <v>29.23580011480238</v>
      </c>
      <c r="D1735">
        <v>16.33195220443211</v>
      </c>
      <c r="E1735">
        <v>294.3671898274677</v>
      </c>
      <c r="F1735">
        <v>1448.214372317222</v>
      </c>
      <c r="G1735">
        <v>0.2044755555495549</v>
      </c>
    </row>
    <row r="1736" spans="1:7">
      <c r="A1736" t="s">
        <v>137</v>
      </c>
      <c r="B1736">
        <v>5</v>
      </c>
      <c r="C1736">
        <v>29.34750174150539</v>
      </c>
      <c r="D1736">
        <v>16.35478507523199</v>
      </c>
      <c r="E1736">
        <v>296.1927711024666</v>
      </c>
      <c r="F1736">
        <v>1450.23904709215</v>
      </c>
      <c r="G1736">
        <v>0.2043434358744413</v>
      </c>
    </row>
    <row r="1737" spans="1:7">
      <c r="A1737" t="s">
        <v>137</v>
      </c>
      <c r="B1737">
        <v>5</v>
      </c>
      <c r="C1737">
        <v>29.45927585115682</v>
      </c>
      <c r="D1737">
        <v>16.37761794603186</v>
      </c>
      <c r="E1737">
        <v>298.0220891200675</v>
      </c>
      <c r="F1737">
        <v>1452.263721867078</v>
      </c>
      <c r="G1737">
        <v>0.2042104464229265</v>
      </c>
    </row>
    <row r="1738" spans="1:7">
      <c r="A1738" t="s">
        <v>137</v>
      </c>
      <c r="B1738">
        <v>5</v>
      </c>
      <c r="C1738">
        <v>29.57112301442251</v>
      </c>
      <c r="D1738">
        <v>16.40045081683174</v>
      </c>
      <c r="E1738">
        <v>299.8551565429321</v>
      </c>
      <c r="F1738">
        <v>1454.288396642006</v>
      </c>
      <c r="G1738">
        <v>0.204076587195011</v>
      </c>
    </row>
    <row r="1739" spans="1:7">
      <c r="A1739" t="s">
        <v>137</v>
      </c>
      <c r="B1739">
        <v>5</v>
      </c>
      <c r="C1739">
        <v>29.68304380402238</v>
      </c>
      <c r="D1739">
        <v>16.42328368763161</v>
      </c>
      <c r="E1739">
        <v>301.6919861065229</v>
      </c>
      <c r="F1739">
        <v>1456.313071416934</v>
      </c>
      <c r="G1739">
        <v>0.2039418581906944</v>
      </c>
    </row>
    <row r="1740" spans="1:7">
      <c r="A1740" t="s">
        <v>137</v>
      </c>
      <c r="B1740">
        <v>5</v>
      </c>
      <c r="C1740">
        <v>29.79503879475041</v>
      </c>
      <c r="D1740">
        <v>16.44611655843149</v>
      </c>
      <c r="E1740">
        <v>303.5325906196196</v>
      </c>
      <c r="F1740">
        <v>1458.337746191861</v>
      </c>
      <c r="G1740">
        <v>0.2038062594099766</v>
      </c>
    </row>
    <row r="1741" spans="1:7">
      <c r="A1741" t="s">
        <v>137</v>
      </c>
      <c r="B1741">
        <v>5</v>
      </c>
      <c r="C1741">
        <v>29.90710856349494</v>
      </c>
      <c r="D1741">
        <v>16.46894942923136</v>
      </c>
      <c r="E1741">
        <v>305.3769829648424</v>
      </c>
      <c r="F1741">
        <v>1460.362420966789</v>
      </c>
      <c r="G1741">
        <v>0.2036697908528579</v>
      </c>
    </row>
    <row r="1742" spans="1:7">
      <c r="A1742" t="s">
        <v>137</v>
      </c>
      <c r="B1742">
        <v>5</v>
      </c>
      <c r="C1742">
        <v>30.01925368925897</v>
      </c>
      <c r="D1742">
        <v>16.49178230003124</v>
      </c>
      <c r="E1742">
        <v>307.2251760991785</v>
      </c>
      <c r="F1742">
        <v>1462.387095741717</v>
      </c>
      <c r="G1742">
        <v>0.2035324525193383</v>
      </c>
    </row>
    <row r="1743" spans="1:7">
      <c r="A1743" t="s">
        <v>137</v>
      </c>
      <c r="B1743">
        <v>5</v>
      </c>
      <c r="C1743">
        <v>30.13147475318071</v>
      </c>
      <c r="D1743">
        <v>16.51461517083111</v>
      </c>
      <c r="E1743">
        <v>309.0771830545138</v>
      </c>
      <c r="F1743">
        <v>1464.411770516645</v>
      </c>
      <c r="G1743">
        <v>0.2033942444094177</v>
      </c>
    </row>
    <row r="1744" spans="1:7">
      <c r="A1744" t="s">
        <v>137</v>
      </c>
      <c r="B1744">
        <v>5</v>
      </c>
      <c r="C1744">
        <v>30.24377233855424</v>
      </c>
      <c r="D1744">
        <v>16.53744804163099</v>
      </c>
      <c r="E1744">
        <v>310.9330169381691</v>
      </c>
      <c r="F1744">
        <v>1466.436445291573</v>
      </c>
      <c r="G1744">
        <v>0.2032551665230961</v>
      </c>
    </row>
    <row r="1745" spans="1:7">
      <c r="A1745" t="s">
        <v>137</v>
      </c>
      <c r="B1745">
        <v>5</v>
      </c>
      <c r="C1745">
        <v>30.35614703085039</v>
      </c>
      <c r="D1745">
        <v>16.56028091243086</v>
      </c>
      <c r="E1745">
        <v>312.7926909334435</v>
      </c>
      <c r="F1745">
        <v>1468.461120066501</v>
      </c>
      <c r="G1745">
        <v>0.2031152188603734</v>
      </c>
    </row>
    <row r="1746" spans="1:7">
      <c r="A1746" t="s">
        <v>137</v>
      </c>
      <c r="B1746">
        <v>5</v>
      </c>
      <c r="C1746">
        <v>30.46859941773776</v>
      </c>
      <c r="D1746">
        <v>16.58311378323074</v>
      </c>
      <c r="E1746">
        <v>314.6562183001601</v>
      </c>
      <c r="F1746">
        <v>1470.485794841429</v>
      </c>
      <c r="G1746">
        <v>0.2029744014212498</v>
      </c>
    </row>
    <row r="1747" spans="1:7">
      <c r="A1747" t="s">
        <v>137</v>
      </c>
      <c r="B1747">
        <v>5</v>
      </c>
      <c r="C1747">
        <v>30.58113008910386</v>
      </c>
      <c r="D1747">
        <v>16.60594665403061</v>
      </c>
      <c r="E1747">
        <v>316.5236123752193</v>
      </c>
      <c r="F1747">
        <v>1472.510469616357</v>
      </c>
      <c r="G1747">
        <v>0.202832714205725</v>
      </c>
    </row>
    <row r="1748" spans="1:7">
      <c r="A1748" t="s">
        <v>137</v>
      </c>
      <c r="B1748">
        <v>5</v>
      </c>
      <c r="C1748">
        <v>30.69373963707645</v>
      </c>
      <c r="D1748">
        <v>16.62877952483049</v>
      </c>
      <c r="E1748">
        <v>318.3948865731545</v>
      </c>
      <c r="F1748">
        <v>1474.535144391285</v>
      </c>
      <c r="G1748">
        <v>0.2026901572137993</v>
      </c>
    </row>
    <row r="1749" spans="1:7">
      <c r="A1749" t="s">
        <v>137</v>
      </c>
      <c r="B1749">
        <v>5</v>
      </c>
      <c r="C1749">
        <v>30.80642865604511</v>
      </c>
      <c r="D1749">
        <v>16.65161239563036</v>
      </c>
      <c r="E1749">
        <v>320.2700543866965</v>
      </c>
      <c r="F1749">
        <v>1476.559819166212</v>
      </c>
      <c r="G1749">
        <v>0.2025467304454728</v>
      </c>
    </row>
    <row r="1750" spans="1:7">
      <c r="A1750" t="s">
        <v>137</v>
      </c>
      <c r="B1750">
        <v>5</v>
      </c>
      <c r="C1750">
        <v>30.91919774268289</v>
      </c>
      <c r="D1750">
        <v>16.67444526643024</v>
      </c>
      <c r="E1750">
        <v>322.1491293873408</v>
      </c>
      <c r="F1750">
        <v>1478.58449394114</v>
      </c>
      <c r="G1750">
        <v>0.202402433900745</v>
      </c>
    </row>
    <row r="1751" spans="1:7">
      <c r="A1751" t="s">
        <v>137</v>
      </c>
      <c r="B1751">
        <v>5</v>
      </c>
      <c r="C1751">
        <v>31.03204749596823</v>
      </c>
      <c r="D1751">
        <v>16.69727813723011</v>
      </c>
      <c r="E1751">
        <v>324.0321252259212</v>
      </c>
      <c r="F1751">
        <v>1480.609168716068</v>
      </c>
      <c r="G1751">
        <v>0.2022572675796163</v>
      </c>
    </row>
    <row r="1752" spans="1:7">
      <c r="A1752" t="s">
        <v>137</v>
      </c>
      <c r="B1752">
        <v>5</v>
      </c>
      <c r="C1752">
        <v>31.14497851720686</v>
      </c>
      <c r="D1752">
        <v>16.72011100802999</v>
      </c>
      <c r="E1752">
        <v>325.9190556331874</v>
      </c>
      <c r="F1752">
        <v>1482.633843490996</v>
      </c>
      <c r="G1752">
        <v>0.2021112314820867</v>
      </c>
    </row>
    <row r="1753" spans="1:7">
      <c r="A1753" t="s">
        <v>137</v>
      </c>
      <c r="B1753">
        <v>5</v>
      </c>
      <c r="C1753">
        <v>31.25799141005421</v>
      </c>
      <c r="D1753">
        <v>16.74294387882986</v>
      </c>
      <c r="E1753">
        <v>327.8099344203915</v>
      </c>
      <c r="F1753">
        <v>1484.658518265924</v>
      </c>
      <c r="G1753">
        <v>0.2019643256081561</v>
      </c>
    </row>
    <row r="1754" spans="1:7">
      <c r="A1754" t="s">
        <v>137</v>
      </c>
      <c r="B1754">
        <v>5</v>
      </c>
      <c r="C1754">
        <v>31.37108678053768</v>
      </c>
      <c r="D1754">
        <v>16.76577674962974</v>
      </c>
      <c r="E1754">
        <v>329.7047754798762</v>
      </c>
      <c r="F1754">
        <v>1486.683193040852</v>
      </c>
      <c r="G1754">
        <v>0.2018165499578244</v>
      </c>
    </row>
    <row r="1755" spans="1:7">
      <c r="A1755" t="s">
        <v>137</v>
      </c>
      <c r="B1755">
        <v>5</v>
      </c>
      <c r="C1755">
        <v>31.4842652370793</v>
      </c>
      <c r="D1755">
        <v>16.78860962042961</v>
      </c>
      <c r="E1755">
        <v>331.6035927856717</v>
      </c>
      <c r="F1755">
        <v>1488.70786781578</v>
      </c>
      <c r="G1755">
        <v>0.2016679045310917</v>
      </c>
    </row>
    <row r="1756" spans="1:7">
      <c r="A1756" t="s">
        <v>137</v>
      </c>
      <c r="B1756">
        <v>5</v>
      </c>
      <c r="C1756">
        <v>31.59752739051839</v>
      </c>
      <c r="D1756">
        <v>16.81144249122949</v>
      </c>
      <c r="E1756">
        <v>333.5064003940948</v>
      </c>
      <c r="F1756">
        <v>1490.732542590707</v>
      </c>
      <c r="G1756">
        <v>0.2015183893279581</v>
      </c>
    </row>
    <row r="1757" spans="1:7">
      <c r="A1757" t="s">
        <v>137</v>
      </c>
      <c r="B1757">
        <v>5</v>
      </c>
      <c r="C1757">
        <v>31.7108738541347</v>
      </c>
      <c r="D1757">
        <v>16.83427536202936</v>
      </c>
      <c r="E1757">
        <v>335.413212444359</v>
      </c>
      <c r="F1757">
        <v>1492.757217365635</v>
      </c>
      <c r="G1757">
        <v>0.2013680043484234</v>
      </c>
    </row>
    <row r="1758" spans="1:7">
      <c r="A1758" t="s">
        <v>137</v>
      </c>
      <c r="B1758">
        <v>5</v>
      </c>
      <c r="C1758">
        <v>31.82430524367139</v>
      </c>
      <c r="D1758">
        <v>16.85710823282924</v>
      </c>
      <c r="E1758">
        <v>337.3240431591847</v>
      </c>
      <c r="F1758">
        <v>1494.781892140563</v>
      </c>
      <c r="G1758">
        <v>0.2012167495924877</v>
      </c>
    </row>
    <row r="1759" spans="1:7">
      <c r="A1759" t="s">
        <v>137</v>
      </c>
      <c r="B1759">
        <v>5</v>
      </c>
      <c r="C1759">
        <v>31.93782217735848</v>
      </c>
      <c r="D1759">
        <v>16.87994110362911</v>
      </c>
      <c r="E1759">
        <v>339.2389068454199</v>
      </c>
      <c r="F1759">
        <v>1496.806566915491</v>
      </c>
      <c r="G1759">
        <v>0.2010646250601509</v>
      </c>
    </row>
    <row r="1760" spans="1:7">
      <c r="A1760" t="s">
        <v>137</v>
      </c>
      <c r="B1760">
        <v>5</v>
      </c>
      <c r="C1760">
        <v>32.05142527593631</v>
      </c>
      <c r="D1760">
        <v>16.90277397442899</v>
      </c>
      <c r="E1760">
        <v>341.1578178946629</v>
      </c>
      <c r="F1760">
        <v>1498.831241690419</v>
      </c>
      <c r="G1760">
        <v>0.2009116307514134</v>
      </c>
    </row>
    <row r="1761" spans="1:7">
      <c r="A1761" t="s">
        <v>137</v>
      </c>
      <c r="B1761">
        <v>5</v>
      </c>
      <c r="C1761">
        <v>32.16511516267935</v>
      </c>
      <c r="D1761">
        <v>16.92560684522886</v>
      </c>
      <c r="E1761">
        <v>343.0807907838948</v>
      </c>
      <c r="F1761">
        <v>1500.855916465347</v>
      </c>
      <c r="G1761">
        <v>0.2007577666662747</v>
      </c>
    </row>
    <row r="1762" spans="1:7">
      <c r="A1762" t="s">
        <v>137</v>
      </c>
      <c r="B1762">
        <v>5</v>
      </c>
      <c r="C1762">
        <v>32.2788924634201</v>
      </c>
      <c r="D1762">
        <v>16.94843971602874</v>
      </c>
      <c r="E1762">
        <v>345.007840076116</v>
      </c>
      <c r="F1762">
        <v>1502.880591240274</v>
      </c>
      <c r="G1762">
        <v>0.2006030328047348</v>
      </c>
    </row>
    <row r="1763" spans="1:7">
      <c r="A1763" t="s">
        <v>137</v>
      </c>
      <c r="B1763">
        <v>5</v>
      </c>
      <c r="C1763">
        <v>32.39275780657324</v>
      </c>
      <c r="D1763">
        <v>16.97127258682861</v>
      </c>
      <c r="E1763">
        <v>346.9389804209887</v>
      </c>
      <c r="F1763">
        <v>1504.905266015203</v>
      </c>
      <c r="G1763">
        <v>0.2004474291667941</v>
      </c>
    </row>
    <row r="1764" spans="1:7">
      <c r="A1764" t="s">
        <v>137</v>
      </c>
      <c r="B1764">
        <v>5</v>
      </c>
      <c r="C1764">
        <v>32.5067118231599</v>
      </c>
      <c r="D1764">
        <v>16.99410545762849</v>
      </c>
      <c r="E1764">
        <v>348.874226555486</v>
      </c>
      <c r="F1764">
        <v>1506.92994079013</v>
      </c>
      <c r="G1764">
        <v>0.2002909557524526</v>
      </c>
    </row>
    <row r="1765" spans="1:7">
      <c r="A1765" t="s">
        <v>137</v>
      </c>
      <c r="B1765">
        <v>5</v>
      </c>
      <c r="C1765">
        <v>32.62075514683237</v>
      </c>
      <c r="D1765">
        <v>17.01693832842836</v>
      </c>
      <c r="E1765">
        <v>350.8135933045482</v>
      </c>
      <c r="F1765">
        <v>1508.954615565058</v>
      </c>
      <c r="G1765">
        <v>0.2001336125617098</v>
      </c>
    </row>
    <row r="1766" spans="1:7">
      <c r="A1766" t="s">
        <v>137</v>
      </c>
      <c r="B1766">
        <v>5</v>
      </c>
      <c r="C1766">
        <v>32.73488841389869</v>
      </c>
      <c r="D1766">
        <v>17.03977119922824</v>
      </c>
      <c r="E1766">
        <v>352.7570955817447</v>
      </c>
      <c r="F1766">
        <v>1510.979290339986</v>
      </c>
      <c r="G1766">
        <v>0.1999753995945662</v>
      </c>
    </row>
    <row r="1767" spans="1:7">
      <c r="A1767" t="s">
        <v>137</v>
      </c>
      <c r="B1767">
        <v>5</v>
      </c>
      <c r="C1767">
        <v>32.84911226334776</v>
      </c>
      <c r="D1767">
        <v>17.06260407002812</v>
      </c>
      <c r="E1767">
        <v>354.704748389942</v>
      </c>
      <c r="F1767">
        <v>1513.003965114914</v>
      </c>
      <c r="G1767">
        <v>0.1998163168510213</v>
      </c>
    </row>
    <row r="1768" spans="1:7">
      <c r="A1768" t="s">
        <v>137</v>
      </c>
      <c r="B1768">
        <v>5</v>
      </c>
      <c r="C1768">
        <v>32.96342733687442</v>
      </c>
      <c r="D1768">
        <v>17.08543694082799</v>
      </c>
      <c r="E1768">
        <v>356.656566821978</v>
      </c>
      <c r="F1768">
        <v>1515.028639889842</v>
      </c>
      <c r="G1768">
        <v>0.1996563643310759</v>
      </c>
    </row>
    <row r="1769" spans="1:7">
      <c r="A1769" t="s">
        <v>137</v>
      </c>
      <c r="B1769">
        <v>5</v>
      </c>
      <c r="C1769">
        <v>33.07783427890494</v>
      </c>
      <c r="D1769">
        <v>17.10826981162786</v>
      </c>
      <c r="E1769">
        <v>358.612566061345</v>
      </c>
      <c r="F1769">
        <v>1517.05331466477</v>
      </c>
      <c r="G1769">
        <v>0.199495542034729</v>
      </c>
    </row>
    <row r="1770" spans="1:7">
      <c r="A1770" t="s">
        <v>137</v>
      </c>
      <c r="B1770">
        <v>5</v>
      </c>
      <c r="C1770">
        <v>33.19233373662261</v>
      </c>
      <c r="D1770">
        <v>17.13110268242774</v>
      </c>
      <c r="E1770">
        <v>360.5727613828772</v>
      </c>
      <c r="F1770">
        <v>1519.077989439697</v>
      </c>
      <c r="G1770">
        <v>0.1993338499619813</v>
      </c>
    </row>
    <row r="1771" spans="1:7">
      <c r="A1771" t="s">
        <v>137</v>
      </c>
      <c r="B1771">
        <v>5</v>
      </c>
      <c r="C1771">
        <v>33.30692635999362</v>
      </c>
      <c r="D1771">
        <v>17.15393555322762</v>
      </c>
      <c r="E1771">
        <v>362.5371681534455</v>
      </c>
      <c r="F1771">
        <v>1521.102664214626</v>
      </c>
      <c r="G1771">
        <v>0.1991712881128327</v>
      </c>
    </row>
    <row r="1772" spans="1:7">
      <c r="A1772" t="s">
        <v>137</v>
      </c>
      <c r="B1772">
        <v>5</v>
      </c>
      <c r="C1772">
        <v>33.42161280179305</v>
      </c>
      <c r="D1772">
        <v>17.17676842402749</v>
      </c>
      <c r="E1772">
        <v>364.505801832659</v>
      </c>
      <c r="F1772">
        <v>1523.127338989553</v>
      </c>
      <c r="G1772">
        <v>0.199007856487283</v>
      </c>
    </row>
    <row r="1773" spans="1:7">
      <c r="A1773" t="s">
        <v>137</v>
      </c>
      <c r="B1773">
        <v>5</v>
      </c>
      <c r="C1773">
        <v>33.53639371763129</v>
      </c>
      <c r="D1773">
        <v>17.19960129482736</v>
      </c>
      <c r="E1773">
        <v>366.4786779735749</v>
      </c>
      <c r="F1773">
        <v>1525.152013764481</v>
      </c>
      <c r="G1773">
        <v>0.1988435550853321</v>
      </c>
    </row>
    <row r="1774" spans="1:7">
      <c r="A1774" t="s">
        <v>137</v>
      </c>
      <c r="B1774">
        <v>5</v>
      </c>
      <c r="C1774">
        <v>33.65126976598055</v>
      </c>
      <c r="D1774">
        <v>17.22243416562724</v>
      </c>
      <c r="E1774">
        <v>368.455812223413</v>
      </c>
      <c r="F1774">
        <v>1527.176688539409</v>
      </c>
      <c r="G1774">
        <v>0.1986783839069806</v>
      </c>
    </row>
    <row r="1775" spans="1:7">
      <c r="A1775" t="s">
        <v>137</v>
      </c>
      <c r="B1775">
        <v>5</v>
      </c>
      <c r="C1775">
        <v>33.7662416082016</v>
      </c>
      <c r="D1775">
        <v>17.24526703642712</v>
      </c>
      <c r="E1775">
        <v>370.4372203242795</v>
      </c>
      <c r="F1775">
        <v>1529.201363314337</v>
      </c>
      <c r="G1775">
        <v>0.1985123429522278</v>
      </c>
    </row>
    <row r="1776" spans="1:7">
      <c r="A1776" t="s">
        <v>137</v>
      </c>
      <c r="B1776">
        <v>5</v>
      </c>
      <c r="C1776">
        <v>33.88130990857076</v>
      </c>
      <c r="D1776">
        <v>17.26809990722699</v>
      </c>
      <c r="E1776">
        <v>372.4229181138954</v>
      </c>
      <c r="F1776">
        <v>1531.226038089265</v>
      </c>
      <c r="G1776">
        <v>0.1983454322210741</v>
      </c>
    </row>
    <row r="1777" spans="1:7">
      <c r="A1777" t="s">
        <v>137</v>
      </c>
      <c r="B1777">
        <v>5</v>
      </c>
      <c r="C1777">
        <v>33.99647533430724</v>
      </c>
      <c r="D1777">
        <v>17.29093277802686</v>
      </c>
      <c r="E1777">
        <v>374.4129215263357</v>
      </c>
      <c r="F1777">
        <v>1533.250712864193</v>
      </c>
      <c r="G1777">
        <v>0.1981776517135194</v>
      </c>
    </row>
    <row r="1778" spans="1:7">
      <c r="A1778" t="s">
        <v>137</v>
      </c>
      <c r="B1778">
        <v>5</v>
      </c>
      <c r="C1778">
        <v>34.11173855560057</v>
      </c>
      <c r="D1778">
        <v>17.31376564882674</v>
      </c>
      <c r="E1778">
        <v>376.4072465927727</v>
      </c>
      <c r="F1778">
        <v>1535.27538763912</v>
      </c>
      <c r="G1778">
        <v>0.1980090014295637</v>
      </c>
    </row>
    <row r="1779" spans="1:7">
      <c r="A1779" t="s">
        <v>137</v>
      </c>
      <c r="B1779">
        <v>5</v>
      </c>
      <c r="C1779">
        <v>34.22710024563834</v>
      </c>
      <c r="D1779">
        <v>17.33659851962661</v>
      </c>
      <c r="E1779">
        <v>378.4059094422279</v>
      </c>
      <c r="F1779">
        <v>1537.300062414048</v>
      </c>
      <c r="G1779">
        <v>0.1978394813692071</v>
      </c>
    </row>
    <row r="1780" spans="1:7">
      <c r="A1780" t="s">
        <v>137</v>
      </c>
      <c r="B1780">
        <v>5</v>
      </c>
      <c r="C1780">
        <v>34.34256108063426</v>
      </c>
      <c r="D1780">
        <v>17.35943139042649</v>
      </c>
      <c r="E1780">
        <v>380.4089263023324</v>
      </c>
      <c r="F1780">
        <v>1539.324737188976</v>
      </c>
      <c r="G1780">
        <v>0.1976690915324491</v>
      </c>
    </row>
    <row r="1781" spans="1:7">
      <c r="A1781" t="s">
        <v>137</v>
      </c>
      <c r="B1781">
        <v>5</v>
      </c>
      <c r="C1781">
        <v>34.4581217398563</v>
      </c>
      <c r="D1781">
        <v>17.38226426122636</v>
      </c>
      <c r="E1781">
        <v>382.416313500092</v>
      </c>
      <c r="F1781">
        <v>1541.349411963904</v>
      </c>
      <c r="G1781">
        <v>0.1974978319192907</v>
      </c>
    </row>
    <row r="1782" spans="1:7">
      <c r="A1782" t="s">
        <v>137</v>
      </c>
      <c r="B1782">
        <v>5</v>
      </c>
      <c r="C1782">
        <v>34.57378290565527</v>
      </c>
      <c r="D1782">
        <v>17.40509713202624</v>
      </c>
      <c r="E1782">
        <v>384.4280874626643</v>
      </c>
      <c r="F1782">
        <v>1543.374086738832</v>
      </c>
      <c r="G1782">
        <v>0.1973257025297309</v>
      </c>
    </row>
    <row r="1783" spans="1:7">
      <c r="A1783" t="s">
        <v>137</v>
      </c>
      <c r="B1783">
        <v>5</v>
      </c>
      <c r="C1783">
        <v>34.68954526349361</v>
      </c>
      <c r="D1783">
        <v>17.42793000282612</v>
      </c>
      <c r="E1783">
        <v>386.4442647181399</v>
      </c>
      <c r="F1783">
        <v>1545.39876151376</v>
      </c>
      <c r="G1783">
        <v>0.1971527033637702</v>
      </c>
    </row>
    <row r="1784" spans="1:7">
      <c r="A1784" t="s">
        <v>137</v>
      </c>
      <c r="B1784">
        <v>5</v>
      </c>
      <c r="C1784">
        <v>34.80540950197426</v>
      </c>
      <c r="D1784">
        <v>17.45076287362599</v>
      </c>
      <c r="E1784">
        <v>388.464861896332</v>
      </c>
      <c r="F1784">
        <v>1547.423436288688</v>
      </c>
      <c r="G1784">
        <v>0.1969788344214084</v>
      </c>
    </row>
    <row r="1785" spans="1:7">
      <c r="A1785" t="s">
        <v>137</v>
      </c>
      <c r="B1785">
        <v>5</v>
      </c>
      <c r="C1785">
        <v>34.92137631287014</v>
      </c>
      <c r="D1785">
        <v>17.47359574442586</v>
      </c>
      <c r="E1785">
        <v>390.4898957295765</v>
      </c>
      <c r="F1785">
        <v>1549.448111063615</v>
      </c>
      <c r="G1785">
        <v>0.1968040957026456</v>
      </c>
    </row>
    <row r="1786" spans="1:7">
      <c r="A1786" t="s">
        <v>137</v>
      </c>
      <c r="B1786">
        <v>5</v>
      </c>
      <c r="C1786">
        <v>35.03744639115361</v>
      </c>
      <c r="D1786">
        <v>17.49642861522574</v>
      </c>
      <c r="E1786">
        <v>392.5193830535371</v>
      </c>
      <c r="F1786">
        <v>1551.472785838543</v>
      </c>
      <c r="G1786">
        <v>0.196628487207482</v>
      </c>
    </row>
    <row r="1787" spans="1:7">
      <c r="A1787" t="s">
        <v>137</v>
      </c>
      <c r="B1787">
        <v>5</v>
      </c>
      <c r="C1787">
        <v>35.15362043502629</v>
      </c>
      <c r="D1787">
        <v>17.51926148602561</v>
      </c>
      <c r="E1787">
        <v>394.5533408080202</v>
      </c>
      <c r="F1787">
        <v>1553.497460613472</v>
      </c>
      <c r="G1787">
        <v>0.1964520089359172</v>
      </c>
    </row>
    <row r="1788" spans="1:7">
      <c r="A1788" t="s">
        <v>137</v>
      </c>
      <c r="B1788">
        <v>5</v>
      </c>
      <c r="C1788">
        <v>35.26989914594922</v>
      </c>
      <c r="D1788">
        <v>17.54209435682549</v>
      </c>
      <c r="E1788">
        <v>396.5917860377978</v>
      </c>
      <c r="F1788">
        <v>1555.522135388399</v>
      </c>
      <c r="G1788">
        <v>0.1962746608879515</v>
      </c>
    </row>
    <row r="1789" spans="1:7">
      <c r="A1789" t="s">
        <v>137</v>
      </c>
      <c r="B1789">
        <v>5</v>
      </c>
      <c r="C1789">
        <v>35.38628322867319</v>
      </c>
      <c r="D1789">
        <v>17.56492722762536</v>
      </c>
      <c r="E1789">
        <v>398.6347358934374</v>
      </c>
      <c r="F1789">
        <v>1557.546810163327</v>
      </c>
      <c r="G1789">
        <v>0.1960964430635847</v>
      </c>
    </row>
    <row r="1790" spans="1:7">
      <c r="A1790" t="s">
        <v>137</v>
      </c>
      <c r="B1790">
        <v>5</v>
      </c>
      <c r="C1790">
        <v>35.50277339126945</v>
      </c>
      <c r="D1790">
        <v>17.58776009842524</v>
      </c>
      <c r="E1790">
        <v>400.6822076321437</v>
      </c>
      <c r="F1790">
        <v>1559.571484938255</v>
      </c>
      <c r="G1790">
        <v>0.195917355462817</v>
      </c>
    </row>
    <row r="1791" spans="1:7">
      <c r="A1791" t="s">
        <v>137</v>
      </c>
      <c r="B1791">
        <v>5</v>
      </c>
      <c r="C1791">
        <v>35.6193703451607</v>
      </c>
      <c r="D1791">
        <v>17.61059296922512</v>
      </c>
      <c r="E1791">
        <v>402.7342186186053</v>
      </c>
      <c r="F1791">
        <v>1561.596159713183</v>
      </c>
      <c r="G1791">
        <v>0.1957373980856485</v>
      </c>
    </row>
    <row r="1792" spans="1:7">
      <c r="A1792" t="s">
        <v>137</v>
      </c>
      <c r="B1792">
        <v>5</v>
      </c>
      <c r="C1792">
        <v>35.73607480515221</v>
      </c>
      <c r="D1792">
        <v>17.63342584002499</v>
      </c>
      <c r="E1792">
        <v>404.7907863258507</v>
      </c>
      <c r="F1792">
        <v>1563.620834488111</v>
      </c>
      <c r="G1792">
        <v>0.1955565709320786</v>
      </c>
    </row>
    <row r="1793" spans="1:7">
      <c r="A1793" t="s">
        <v>137</v>
      </c>
      <c r="B1793">
        <v>5</v>
      </c>
      <c r="C1793">
        <v>35.85288748946353</v>
      </c>
      <c r="D1793">
        <v>17.65625871082486</v>
      </c>
      <c r="E1793">
        <v>406.8519283361156</v>
      </c>
      <c r="F1793">
        <v>1565.645509263039</v>
      </c>
      <c r="G1793">
        <v>0.1953748740021079</v>
      </c>
    </row>
    <row r="1794" spans="1:7">
      <c r="A1794" t="s">
        <v>137</v>
      </c>
      <c r="B1794">
        <v>5</v>
      </c>
      <c r="C1794">
        <v>35.96980911976021</v>
      </c>
      <c r="D1794">
        <v>17.67909158162474</v>
      </c>
      <c r="E1794">
        <v>408.9176623417163</v>
      </c>
      <c r="F1794">
        <v>1567.670184037966</v>
      </c>
      <c r="G1794">
        <v>0.1951923072957361</v>
      </c>
    </row>
    <row r="1795" spans="1:7">
      <c r="A1795" t="s">
        <v>137</v>
      </c>
      <c r="B1795">
        <v>5</v>
      </c>
      <c r="C1795">
        <v>36.08684042118597</v>
      </c>
      <c r="D1795">
        <v>17.70192445242461</v>
      </c>
      <c r="E1795">
        <v>410.9880061459329</v>
      </c>
      <c r="F1795">
        <v>1569.694858812894</v>
      </c>
      <c r="G1795">
        <v>0.1950088708129633</v>
      </c>
    </row>
    <row r="1796" spans="1:7">
      <c r="A1796" t="s">
        <v>137</v>
      </c>
      <c r="B1796">
        <v>5</v>
      </c>
      <c r="C1796">
        <v>36.20398212239519</v>
      </c>
      <c r="D1796">
        <v>17.72475732322449</v>
      </c>
      <c r="E1796">
        <v>413.0629776639022</v>
      </c>
      <c r="F1796">
        <v>1571.719533587822</v>
      </c>
      <c r="G1796">
        <v>0.1948245645537896</v>
      </c>
    </row>
    <row r="1797" spans="1:7">
      <c r="A1797" t="s">
        <v>137</v>
      </c>
      <c r="B1797">
        <v>5</v>
      </c>
      <c r="C1797">
        <v>36.32123495558557</v>
      </c>
      <c r="D1797">
        <v>17.74759019402437</v>
      </c>
      <c r="E1797">
        <v>415.1425949235181</v>
      </c>
      <c r="F1797">
        <v>1573.74420836275</v>
      </c>
      <c r="G1797">
        <v>0.1946393885182149</v>
      </c>
    </row>
    <row r="1798" spans="1:7">
      <c r="A1798" t="s">
        <v>137</v>
      </c>
      <c r="B1798">
        <v>5</v>
      </c>
      <c r="C1798">
        <v>36.4385996565313</v>
      </c>
      <c r="D1798">
        <v>17.77042306482424</v>
      </c>
      <c r="E1798">
        <v>417.2268760663445</v>
      </c>
      <c r="F1798">
        <v>1575.768883137678</v>
      </c>
      <c r="G1798">
        <v>0.1944533427062389</v>
      </c>
    </row>
    <row r="1799" spans="1:7">
      <c r="A1799" t="s">
        <v>137</v>
      </c>
      <c r="B1799">
        <v>5</v>
      </c>
      <c r="C1799">
        <v>36.55607696461641</v>
      </c>
      <c r="D1799">
        <v>17.79325593562411</v>
      </c>
      <c r="E1799">
        <v>419.3158393485338</v>
      </c>
      <c r="F1799">
        <v>1577.793557912606</v>
      </c>
      <c r="G1799">
        <v>0.1942664271178624</v>
      </c>
    </row>
    <row r="1800" spans="1:7">
      <c r="A1800" t="s">
        <v>137</v>
      </c>
      <c r="B1800">
        <v>5</v>
      </c>
      <c r="C1800">
        <v>36.67366762286846</v>
      </c>
      <c r="D1800">
        <v>17.81608880642399</v>
      </c>
      <c r="E1800">
        <v>421.409503141758</v>
      </c>
      <c r="F1800">
        <v>1579.818232687534</v>
      </c>
      <c r="G1800">
        <v>0.1940786417530847</v>
      </c>
    </row>
    <row r="1801" spans="1:7">
      <c r="A1801" t="s">
        <v>137</v>
      </c>
      <c r="B1801">
        <v>5</v>
      </c>
      <c r="C1801">
        <v>36.79137237799257</v>
      </c>
      <c r="D1801">
        <v>17.83892167722387</v>
      </c>
      <c r="E1801">
        <v>423.5078859341467</v>
      </c>
      <c r="F1801">
        <v>1581.842907462461</v>
      </c>
      <c r="G1801">
        <v>0.1938899866119057</v>
      </c>
    </row>
    <row r="1802" spans="1:7">
      <c r="A1802" t="s">
        <v>137</v>
      </c>
      <c r="B1802">
        <v>5</v>
      </c>
      <c r="C1802">
        <v>36.90919198040579</v>
      </c>
      <c r="D1802">
        <v>17.86175454802374</v>
      </c>
      <c r="E1802">
        <v>425.6110063312381</v>
      </c>
      <c r="F1802">
        <v>1583.867582237389</v>
      </c>
      <c r="G1802">
        <v>0.1937004616943263</v>
      </c>
    </row>
    <row r="1803" spans="1:7">
      <c r="A1803" t="s">
        <v>137</v>
      </c>
      <c r="B1803">
        <v>5</v>
      </c>
      <c r="C1803">
        <v>37.02712718427184</v>
      </c>
      <c r="D1803">
        <v>17.88458741882361</v>
      </c>
      <c r="E1803">
        <v>427.718883056937</v>
      </c>
      <c r="F1803">
        <v>1585.892257012317</v>
      </c>
      <c r="G1803">
        <v>0.1935100670003453</v>
      </c>
    </row>
    <row r="1804" spans="1:7">
      <c r="A1804" t="s">
        <v>137</v>
      </c>
      <c r="B1804">
        <v>5</v>
      </c>
      <c r="C1804">
        <v>37.14517874753609</v>
      </c>
      <c r="D1804">
        <v>17.90742028962349</v>
      </c>
      <c r="E1804">
        <v>429.8315349544847</v>
      </c>
      <c r="F1804">
        <v>1587.916931787245</v>
      </c>
      <c r="G1804">
        <v>0.1933188025299637</v>
      </c>
    </row>
    <row r="1805" spans="1:7">
      <c r="A1805" t="s">
        <v>137</v>
      </c>
      <c r="B1805">
        <v>5</v>
      </c>
      <c r="C1805">
        <v>37.26334743196092</v>
      </c>
      <c r="D1805">
        <v>17.93025316042337</v>
      </c>
      <c r="E1805">
        <v>431.9489809874368</v>
      </c>
      <c r="F1805">
        <v>1589.941606562173</v>
      </c>
      <c r="G1805">
        <v>0.193126668283181</v>
      </c>
    </row>
    <row r="1806" spans="1:7">
      <c r="A1806" t="s">
        <v>137</v>
      </c>
      <c r="B1806">
        <v>5</v>
      </c>
      <c r="C1806">
        <v>37.38163400316152</v>
      </c>
      <c r="D1806">
        <v>17.95308603122324</v>
      </c>
      <c r="E1806">
        <v>434.0712402406547</v>
      </c>
      <c r="F1806">
        <v>1591.966281337101</v>
      </c>
      <c r="G1806">
        <v>0.1929336642599972</v>
      </c>
    </row>
    <row r="1807" spans="1:7">
      <c r="A1807" t="s">
        <v>137</v>
      </c>
      <c r="B1807">
        <v>5</v>
      </c>
      <c r="C1807">
        <v>37.5000392306419</v>
      </c>
      <c r="D1807">
        <v>17.97591890202311</v>
      </c>
      <c r="E1807">
        <v>436.1983319213047</v>
      </c>
      <c r="F1807">
        <v>1593.990956112028</v>
      </c>
      <c r="G1807">
        <v>0.1927397904604122</v>
      </c>
    </row>
    <row r="1808" spans="1:7">
      <c r="A1808" t="s">
        <v>137</v>
      </c>
      <c r="B1808">
        <v>5</v>
      </c>
      <c r="C1808">
        <v>37.61856388783135</v>
      </c>
      <c r="D1808">
        <v>17.99875177282299</v>
      </c>
      <c r="E1808">
        <v>438.3302753598683</v>
      </c>
      <c r="F1808">
        <v>1596.015630886957</v>
      </c>
      <c r="G1808">
        <v>0.1925450468844265</v>
      </c>
    </row>
    <row r="1809" spans="1:7">
      <c r="A1809" t="s">
        <v>137</v>
      </c>
      <c r="B1809">
        <v>5</v>
      </c>
      <c r="C1809">
        <v>37.73720875212119</v>
      </c>
      <c r="D1809">
        <v>18.02158464362287</v>
      </c>
      <c r="E1809">
        <v>440.4670900111628</v>
      </c>
      <c r="F1809">
        <v>1598.040305661884</v>
      </c>
      <c r="G1809">
        <v>0.1923494335320399</v>
      </c>
    </row>
    <row r="1810" spans="1:7">
      <c r="A1810" t="s">
        <v>137</v>
      </c>
      <c r="B1810">
        <v>5</v>
      </c>
      <c r="C1810">
        <v>37.85597460490199</v>
      </c>
      <c r="D1810">
        <v>18.04441751442274</v>
      </c>
      <c r="E1810">
        <v>442.6087954553747</v>
      </c>
      <c r="F1810">
        <v>1600.064980436812</v>
      </c>
      <c r="G1810">
        <v>0.192152950403252</v>
      </c>
    </row>
    <row r="1811" spans="1:7">
      <c r="A1811" t="s">
        <v>137</v>
      </c>
      <c r="B1811">
        <v>5</v>
      </c>
      <c r="C1811">
        <v>37.97486223160108</v>
      </c>
      <c r="D1811">
        <v>18.06725038522261</v>
      </c>
      <c r="E1811">
        <v>444.7554113991014</v>
      </c>
      <c r="F1811">
        <v>1602.08965521174</v>
      </c>
      <c r="G1811">
        <v>0.1919555974980634</v>
      </c>
    </row>
    <row r="1812" spans="1:7">
      <c r="A1812" t="s">
        <v>137</v>
      </c>
      <c r="B1812">
        <v>5</v>
      </c>
      <c r="C1812">
        <v>38.09387242172041</v>
      </c>
      <c r="D1812">
        <v>18.09008325602249</v>
      </c>
      <c r="E1812">
        <v>446.9069576764055</v>
      </c>
      <c r="F1812">
        <v>1604.114329986668</v>
      </c>
      <c r="G1812">
        <v>0.1917573748164735</v>
      </c>
    </row>
    <row r="1813" spans="1:7">
      <c r="A1813" t="s">
        <v>137</v>
      </c>
      <c r="B1813">
        <v>5</v>
      </c>
      <c r="C1813">
        <v>38.21300596887483</v>
      </c>
      <c r="D1813">
        <v>18.11291612682237</v>
      </c>
      <c r="E1813">
        <v>449.063454249879</v>
      </c>
      <c r="F1813">
        <v>1606.139004761596</v>
      </c>
      <c r="G1813">
        <v>0.1915582823584829</v>
      </c>
    </row>
    <row r="1814" spans="1:7">
      <c r="A1814" t="s">
        <v>137</v>
      </c>
      <c r="B1814">
        <v>5</v>
      </c>
      <c r="C1814">
        <v>38.33226367083083</v>
      </c>
      <c r="D1814">
        <v>18.13574899762224</v>
      </c>
      <c r="E1814">
        <v>451.2249212117214</v>
      </c>
      <c r="F1814">
        <v>1608.163679536524</v>
      </c>
      <c r="G1814">
        <v>0.1913583201240911</v>
      </c>
    </row>
    <row r="1815" spans="1:7">
      <c r="A1815" t="s">
        <v>137</v>
      </c>
      <c r="B1815">
        <v>5</v>
      </c>
      <c r="C1815">
        <v>38.45164632954551</v>
      </c>
      <c r="D1815">
        <v>18.15858186842211</v>
      </c>
      <c r="E1815">
        <v>453.3913787848261</v>
      </c>
      <c r="F1815">
        <v>1610.188354311451</v>
      </c>
      <c r="G1815">
        <v>0.1911574881132983</v>
      </c>
    </row>
    <row r="1816" spans="1:7">
      <c r="A1816" t="s">
        <v>137</v>
      </c>
      <c r="B1816">
        <v>5</v>
      </c>
      <c r="C1816">
        <v>38.57115475120612</v>
      </c>
      <c r="D1816">
        <v>18.18141473922199</v>
      </c>
      <c r="E1816">
        <v>455.5628473238811</v>
      </c>
      <c r="F1816">
        <v>1612.21302908638</v>
      </c>
      <c r="G1816">
        <v>0.1909557863261044</v>
      </c>
    </row>
    <row r="1817" spans="1:7">
      <c r="A1817" t="s">
        <v>137</v>
      </c>
      <c r="B1817">
        <v>5</v>
      </c>
      <c r="C1817">
        <v>38.69078974626977</v>
      </c>
      <c r="D1817">
        <v>18.20424761002187</v>
      </c>
      <c r="E1817">
        <v>457.7393473164786</v>
      </c>
      <c r="F1817">
        <v>1614.237703861307</v>
      </c>
      <c r="G1817">
        <v>0.1907532147625097</v>
      </c>
    </row>
    <row r="1818" spans="1:7">
      <c r="A1818" t="s">
        <v>137</v>
      </c>
      <c r="B1818">
        <v>5</v>
      </c>
      <c r="C1818">
        <v>38.81055212950383</v>
      </c>
      <c r="D1818">
        <v>18.22708048082174</v>
      </c>
      <c r="E1818">
        <v>459.9208993842403</v>
      </c>
      <c r="F1818">
        <v>1616.262378636235</v>
      </c>
      <c r="G1818">
        <v>0.1905497734225138</v>
      </c>
    </row>
    <row r="1819" spans="1:7">
      <c r="A1819" t="s">
        <v>137</v>
      </c>
      <c r="B1819">
        <v>5</v>
      </c>
      <c r="C1819">
        <v>38.93044272002653</v>
      </c>
      <c r="D1819">
        <v>18.24991335162161</v>
      </c>
      <c r="E1819">
        <v>462.1075242839516</v>
      </c>
      <c r="F1819">
        <v>1618.287053411163</v>
      </c>
      <c r="G1819">
        <v>0.190345462306117</v>
      </c>
    </row>
    <row r="1820" spans="1:7">
      <c r="A1820" t="s">
        <v>137</v>
      </c>
      <c r="B1820">
        <v>5</v>
      </c>
      <c r="C1820">
        <v>39.05046234134803</v>
      </c>
      <c r="D1820">
        <v>18.27274622242149</v>
      </c>
      <c r="E1820">
        <v>464.2992429087097</v>
      </c>
      <c r="F1820">
        <v>1620.311728186091</v>
      </c>
      <c r="G1820">
        <v>0.1901402814133193</v>
      </c>
    </row>
    <row r="1821" spans="1:7">
      <c r="A1821" t="s">
        <v>137</v>
      </c>
      <c r="B1821">
        <v>5</v>
      </c>
      <c r="C1821">
        <v>39.17061182141192</v>
      </c>
      <c r="D1821">
        <v>18.29557909322137</v>
      </c>
      <c r="E1821">
        <v>466.4960762890819</v>
      </c>
      <c r="F1821">
        <v>1622.336402961019</v>
      </c>
      <c r="G1821">
        <v>0.1899342307441206</v>
      </c>
    </row>
    <row r="1822" spans="1:7">
      <c r="A1822" t="s">
        <v>137</v>
      </c>
      <c r="B1822">
        <v>5</v>
      </c>
      <c r="C1822">
        <v>39.2908919926372</v>
      </c>
      <c r="D1822">
        <v>18.31841196402124</v>
      </c>
      <c r="E1822">
        <v>468.6980455942807</v>
      </c>
      <c r="F1822">
        <v>1624.361077735947</v>
      </c>
      <c r="G1822">
        <v>0.1897273102985207</v>
      </c>
    </row>
    <row r="1823" spans="1:7">
      <c r="A1823" t="s">
        <v>137</v>
      </c>
      <c r="B1823">
        <v>5</v>
      </c>
      <c r="C1823">
        <v>39.41130369196059</v>
      </c>
      <c r="D1823">
        <v>18.34124483482112</v>
      </c>
      <c r="E1823">
        <v>470.9051721333474</v>
      </c>
      <c r="F1823">
        <v>1626.385752510874</v>
      </c>
      <c r="G1823">
        <v>0.1895195200765201</v>
      </c>
    </row>
    <row r="1824" spans="1:7">
      <c r="A1824" t="s">
        <v>137</v>
      </c>
      <c r="B1824">
        <v>5</v>
      </c>
      <c r="C1824">
        <v>39.53184776087938</v>
      </c>
      <c r="D1824">
        <v>18.36407770562099</v>
      </c>
      <c r="E1824">
        <v>473.1174773563508</v>
      </c>
      <c r="F1824">
        <v>1628.410427285803</v>
      </c>
      <c r="G1824">
        <v>0.1893108600781182</v>
      </c>
    </row>
    <row r="1825" spans="1:7">
      <c r="A1825" t="s">
        <v>137</v>
      </c>
      <c r="B1825">
        <v>5</v>
      </c>
      <c r="C1825">
        <v>39.65252504549457</v>
      </c>
      <c r="D1825">
        <v>18.38691057642087</v>
      </c>
      <c r="E1825">
        <v>475.3349828555972</v>
      </c>
      <c r="F1825">
        <v>1630.43510206073</v>
      </c>
      <c r="G1825">
        <v>0.1891013303033154</v>
      </c>
    </row>
    <row r="1826" spans="1:7">
      <c r="A1826" t="s">
        <v>137</v>
      </c>
      <c r="B1826">
        <v>5</v>
      </c>
      <c r="C1826">
        <v>39.7733363965547</v>
      </c>
      <c r="D1826">
        <v>18.40974344722074</v>
      </c>
      <c r="E1826">
        <v>477.5577103668567</v>
      </c>
      <c r="F1826">
        <v>1632.459776835658</v>
      </c>
      <c r="G1826">
        <v>0.1888909307521117</v>
      </c>
    </row>
    <row r="1827" spans="1:7">
      <c r="A1827" t="s">
        <v>137</v>
      </c>
      <c r="B1827">
        <v>5</v>
      </c>
      <c r="C1827">
        <v>39.89428266949993</v>
      </c>
      <c r="D1827">
        <v>18.43257631802062</v>
      </c>
      <c r="E1827">
        <v>479.7856817705995</v>
      </c>
      <c r="F1827">
        <v>1634.484451610586</v>
      </c>
      <c r="G1827">
        <v>0.1886796614245068</v>
      </c>
    </row>
    <row r="1828" spans="1:7">
      <c r="A1828" t="s">
        <v>137</v>
      </c>
      <c r="B1828">
        <v>5</v>
      </c>
      <c r="C1828">
        <v>40.01536472450665</v>
      </c>
      <c r="D1828">
        <v>18.45540918882049</v>
      </c>
      <c r="E1828">
        <v>482.0189190932481</v>
      </c>
      <c r="F1828">
        <v>1636.509126385514</v>
      </c>
      <c r="G1828">
        <v>0.1884675223205009</v>
      </c>
    </row>
    <row r="1829" spans="1:7">
      <c r="A1829" t="s">
        <v>137</v>
      </c>
      <c r="B1829">
        <v>5</v>
      </c>
      <c r="C1829">
        <v>40.13658342653255</v>
      </c>
      <c r="D1829">
        <v>18.47824205962037</v>
      </c>
      <c r="E1829">
        <v>484.257444508441</v>
      </c>
      <c r="F1829">
        <v>1638.533801160442</v>
      </c>
      <c r="G1829">
        <v>0.1882545134400942</v>
      </c>
    </row>
    <row r="1830" spans="1:7">
      <c r="A1830" t="s">
        <v>137</v>
      </c>
      <c r="B1830">
        <v>5</v>
      </c>
      <c r="C1830">
        <v>40.25793964536221</v>
      </c>
      <c r="D1830">
        <v>18.50107493042024</v>
      </c>
      <c r="E1830">
        <v>486.5012803383138</v>
      </c>
      <c r="F1830">
        <v>1640.558475935369</v>
      </c>
      <c r="G1830">
        <v>0.1880406347832865</v>
      </c>
    </row>
    <row r="1831" spans="1:7">
      <c r="A1831" t="s">
        <v>137</v>
      </c>
      <c r="B1831">
        <v>5</v>
      </c>
      <c r="C1831">
        <v>40.37943425565316</v>
      </c>
      <c r="D1831">
        <v>18.52390780122012</v>
      </c>
      <c r="E1831">
        <v>488.7504490547906</v>
      </c>
      <c r="F1831">
        <v>1642.583150710298</v>
      </c>
      <c r="G1831">
        <v>0.1878258863500776</v>
      </c>
    </row>
    <row r="1832" spans="1:7">
      <c r="A1832" t="s">
        <v>137</v>
      </c>
      <c r="B1832">
        <v>5</v>
      </c>
      <c r="C1832">
        <v>40.50106813698234</v>
      </c>
      <c r="D1832">
        <v>18.54674067201999</v>
      </c>
      <c r="E1832">
        <v>491.0049732808925</v>
      </c>
      <c r="F1832">
        <v>1644.607825485225</v>
      </c>
      <c r="G1832">
        <v>0.1876102681404678</v>
      </c>
    </row>
    <row r="1833" spans="1:7">
      <c r="A1833" t="s">
        <v>137</v>
      </c>
      <c r="B1833">
        <v>5</v>
      </c>
      <c r="C1833">
        <v>40.62284217389312</v>
      </c>
      <c r="D1833">
        <v>18.56957354281987</v>
      </c>
      <c r="E1833">
        <v>493.2648757920577</v>
      </c>
      <c r="F1833">
        <v>1646.632500260153</v>
      </c>
      <c r="G1833">
        <v>0.1873937801544571</v>
      </c>
    </row>
    <row r="1834" spans="1:7">
      <c r="A1834" t="s">
        <v>137</v>
      </c>
      <c r="B1834">
        <v>5</v>
      </c>
      <c r="C1834">
        <v>40.74475725594288</v>
      </c>
      <c r="D1834">
        <v>18.59240641361974</v>
      </c>
      <c r="E1834">
        <v>495.5301795174805</v>
      </c>
      <c r="F1834">
        <v>1648.657175035081</v>
      </c>
      <c r="G1834">
        <v>0.1871764223920452</v>
      </c>
    </row>
    <row r="1835" spans="1:7">
      <c r="A1835" t="s">
        <v>137</v>
      </c>
      <c r="B1835">
        <v>5</v>
      </c>
      <c r="C1835">
        <v>40.86681427775099</v>
      </c>
      <c r="D1835">
        <v>18.61523928441962</v>
      </c>
      <c r="E1835">
        <v>497.8009075414612</v>
      </c>
      <c r="F1835">
        <v>1650.681849810009</v>
      </c>
      <c r="G1835">
        <v>0.1869581948532324</v>
      </c>
    </row>
    <row r="1836" spans="1:7">
      <c r="A1836" t="s">
        <v>137</v>
      </c>
      <c r="B1836">
        <v>5</v>
      </c>
      <c r="C1836">
        <v>40.98901413904738</v>
      </c>
      <c r="D1836">
        <v>18.63807215521949</v>
      </c>
      <c r="E1836">
        <v>500.0770831047728</v>
      </c>
      <c r="F1836">
        <v>1652.706524584936</v>
      </c>
      <c r="G1836">
        <v>0.1867390975380187</v>
      </c>
    </row>
    <row r="1837" spans="1:7">
      <c r="A1837" t="s">
        <v>137</v>
      </c>
      <c r="B1837">
        <v>5</v>
      </c>
      <c r="C1837">
        <v>41.11135774472157</v>
      </c>
      <c r="D1837">
        <v>18.66090502601937</v>
      </c>
      <c r="E1837">
        <v>502.3587296060433</v>
      </c>
      <c r="F1837">
        <v>1654.731199359865</v>
      </c>
      <c r="G1837">
        <v>0.1865191304464036</v>
      </c>
    </row>
    <row r="1838" spans="1:7">
      <c r="A1838" t="s">
        <v>137</v>
      </c>
      <c r="B1838">
        <v>5</v>
      </c>
      <c r="C1838">
        <v>41.23384600487226</v>
      </c>
      <c r="D1838">
        <v>18.68373789681924</v>
      </c>
      <c r="E1838">
        <v>504.6458706031511</v>
      </c>
      <c r="F1838">
        <v>1656.755874134792</v>
      </c>
      <c r="G1838">
        <v>0.186298293578388</v>
      </c>
    </row>
    <row r="1839" spans="1:7">
      <c r="A1839" t="s">
        <v>137</v>
      </c>
      <c r="B1839">
        <v>5</v>
      </c>
      <c r="C1839">
        <v>41.35647983485751</v>
      </c>
      <c r="D1839">
        <v>18.70657076761912</v>
      </c>
      <c r="E1839">
        <v>506.9385298146408</v>
      </c>
      <c r="F1839">
        <v>1658.78054890972</v>
      </c>
      <c r="G1839">
        <v>0.1860765869339713</v>
      </c>
    </row>
    <row r="1840" spans="1:7">
      <c r="A1840" t="s">
        <v>137</v>
      </c>
      <c r="B1840">
        <v>5</v>
      </c>
      <c r="C1840">
        <v>41.47926015534537</v>
      </c>
      <c r="D1840">
        <v>18.72940363841899</v>
      </c>
      <c r="E1840">
        <v>509.2367311211502</v>
      </c>
      <c r="F1840">
        <v>1660.805223684648</v>
      </c>
      <c r="G1840">
        <v>0.1858540105131533</v>
      </c>
    </row>
    <row r="1841" spans="1:7">
      <c r="A1841" t="s">
        <v>137</v>
      </c>
      <c r="B1841">
        <v>5</v>
      </c>
      <c r="C1841">
        <v>41.60218789236506</v>
      </c>
      <c r="D1841">
        <v>18.75223650921887</v>
      </c>
      <c r="E1841">
        <v>511.5404985668542</v>
      </c>
      <c r="F1841">
        <v>1662.829898459576</v>
      </c>
      <c r="G1841">
        <v>0.1856305643159346</v>
      </c>
    </row>
    <row r="1842" spans="1:7">
      <c r="A1842" t="s">
        <v>137</v>
      </c>
      <c r="B1842">
        <v>5</v>
      </c>
      <c r="C1842">
        <v>41.72526397735883</v>
      </c>
      <c r="D1842">
        <v>18.77506938001874</v>
      </c>
      <c r="E1842">
        <v>513.8498563609285</v>
      </c>
      <c r="F1842">
        <v>1664.854573234504</v>
      </c>
      <c r="G1842">
        <v>0.1854062483423148</v>
      </c>
    </row>
    <row r="1843" spans="1:7">
      <c r="A1843" t="s">
        <v>137</v>
      </c>
      <c r="B1843">
        <v>5</v>
      </c>
      <c r="C1843">
        <v>41.84848934723427</v>
      </c>
      <c r="D1843">
        <v>18.79790225081862</v>
      </c>
      <c r="E1843">
        <v>516.1648288790255</v>
      </c>
      <c r="F1843">
        <v>1666.879248009432</v>
      </c>
      <c r="G1843">
        <v>0.1851810625922938</v>
      </c>
    </row>
    <row r="1844" spans="1:7">
      <c r="A1844" t="s">
        <v>137</v>
      </c>
      <c r="B1844">
        <v>5</v>
      </c>
      <c r="C1844">
        <v>41.97186494441721</v>
      </c>
      <c r="D1844">
        <v>18.82073512161849</v>
      </c>
      <c r="E1844">
        <v>518.4854406647698</v>
      </c>
      <c r="F1844">
        <v>1668.90392278436</v>
      </c>
      <c r="G1844">
        <v>0.1849550070658723</v>
      </c>
    </row>
    <row r="1845" spans="1:7">
      <c r="A1845" t="s">
        <v>137</v>
      </c>
      <c r="B1845">
        <v>5</v>
      </c>
      <c r="C1845">
        <v>42.09539171690525</v>
      </c>
      <c r="D1845">
        <v>18.84356799241837</v>
      </c>
      <c r="E1845">
        <v>520.8117164312691</v>
      </c>
      <c r="F1845">
        <v>1670.928597559288</v>
      </c>
      <c r="G1845">
        <v>0.1847280817630492</v>
      </c>
    </row>
    <row r="1846" spans="1:7">
      <c r="A1846" t="s">
        <v>137</v>
      </c>
      <c r="B1846">
        <v>5</v>
      </c>
      <c r="C1846">
        <v>42.21907061832178</v>
      </c>
      <c r="D1846">
        <v>18.86640086321824</v>
      </c>
      <c r="E1846">
        <v>523.1436810626424</v>
      </c>
      <c r="F1846">
        <v>1672.953272334215</v>
      </c>
      <c r="G1846">
        <v>0.1845002866838255</v>
      </c>
    </row>
    <row r="1847" spans="1:7">
      <c r="A1847" t="s">
        <v>137</v>
      </c>
      <c r="B1847">
        <v>5</v>
      </c>
      <c r="C1847">
        <v>42.34290260797077</v>
      </c>
      <c r="D1847">
        <v>18.88923373401812</v>
      </c>
      <c r="E1847">
        <v>525.4813596155675</v>
      </c>
      <c r="F1847">
        <v>1674.977947109144</v>
      </c>
      <c r="G1847">
        <v>0.1842716218282007</v>
      </c>
    </row>
    <row r="1848" spans="1:7">
      <c r="A1848" t="s">
        <v>137</v>
      </c>
      <c r="B1848">
        <v>5</v>
      </c>
      <c r="C1848">
        <v>42.46688865089202</v>
      </c>
      <c r="D1848">
        <v>18.91206660481799</v>
      </c>
      <c r="E1848">
        <v>527.8247773208445</v>
      </c>
      <c r="F1848">
        <v>1677.002621884071</v>
      </c>
      <c r="G1848">
        <v>0.1840420871961748</v>
      </c>
    </row>
    <row r="1849" spans="1:7">
      <c r="A1849" t="s">
        <v>137</v>
      </c>
      <c r="B1849">
        <v>5</v>
      </c>
      <c r="C1849">
        <v>42.59102971791697</v>
      </c>
      <c r="D1849">
        <v>18.93489947561787</v>
      </c>
      <c r="E1849">
        <v>530.1739595849763</v>
      </c>
      <c r="F1849">
        <v>1679.027296658999</v>
      </c>
      <c r="G1849">
        <v>0.183811682787748</v>
      </c>
    </row>
    <row r="1850" spans="1:7">
      <c r="A1850" t="s">
        <v>137</v>
      </c>
      <c r="B1850">
        <v>5</v>
      </c>
      <c r="C1850">
        <v>42.7153267857254</v>
      </c>
      <c r="D1850">
        <v>18.95773234641774</v>
      </c>
      <c r="E1850">
        <v>532.5289319917703</v>
      </c>
      <c r="F1850">
        <v>1681.051971433927</v>
      </c>
      <c r="G1850">
        <v>0.1835804086029201</v>
      </c>
    </row>
    <row r="1851" spans="1:7">
      <c r="A1851" t="s">
        <v>137</v>
      </c>
      <c r="B1851">
        <v>5</v>
      </c>
      <c r="C1851">
        <v>42.83978083690246</v>
      </c>
      <c r="D1851">
        <v>18.98056521721762</v>
      </c>
      <c r="E1851">
        <v>534.889720303956</v>
      </c>
      <c r="F1851">
        <v>1683.076646208855</v>
      </c>
      <c r="G1851">
        <v>0.1833482646416914</v>
      </c>
    </row>
    <row r="1852" spans="1:7">
      <c r="A1852" t="s">
        <v>137</v>
      </c>
      <c r="B1852">
        <v>5</v>
      </c>
      <c r="C1852">
        <v>42.96439285999653</v>
      </c>
      <c r="D1852">
        <v>19.00339808801749</v>
      </c>
      <c r="E1852">
        <v>537.2563504648223</v>
      </c>
      <c r="F1852">
        <v>1685.101320983782</v>
      </c>
      <c r="G1852">
        <v>0.1831152509040615</v>
      </c>
    </row>
    <row r="1853" spans="1:7">
      <c r="A1853" t="s">
        <v>137</v>
      </c>
      <c r="B1853">
        <v>5</v>
      </c>
      <c r="C1853">
        <v>43.08916384957767</v>
      </c>
      <c r="D1853">
        <v>19.02623095881737</v>
      </c>
      <c r="E1853">
        <v>539.6288485998735</v>
      </c>
      <c r="F1853">
        <v>1687.125995758711</v>
      </c>
      <c r="G1853">
        <v>0.1828813673900307</v>
      </c>
    </row>
    <row r="1854" spans="1:7">
      <c r="A1854" t="s">
        <v>137</v>
      </c>
      <c r="B1854">
        <v>5</v>
      </c>
      <c r="C1854">
        <v>43.21409480629666</v>
      </c>
      <c r="D1854">
        <v>19.04906382961724</v>
      </c>
      <c r="E1854">
        <v>542.0072410185038</v>
      </c>
      <c r="F1854">
        <v>1689.150670533639</v>
      </c>
      <c r="G1854">
        <v>0.1826466140995989</v>
      </c>
    </row>
    <row r="1855" spans="1:7">
      <c r="A1855" t="s">
        <v>137</v>
      </c>
      <c r="B1855">
        <v>5</v>
      </c>
      <c r="C1855">
        <v>43.33918673694488</v>
      </c>
      <c r="D1855">
        <v>19.07189670041712</v>
      </c>
      <c r="E1855">
        <v>544.3915542156935</v>
      </c>
      <c r="F1855">
        <v>1691.175345308566</v>
      </c>
      <c r="G1855">
        <v>0.1824109910327659</v>
      </c>
    </row>
    <row r="1856" spans="1:7">
      <c r="A1856" t="s">
        <v>137</v>
      </c>
      <c r="B1856">
        <v>5</v>
      </c>
      <c r="C1856">
        <v>43.46444065451471</v>
      </c>
      <c r="D1856">
        <v>19.09472957121699</v>
      </c>
      <c r="E1856">
        <v>546.7818148737231</v>
      </c>
      <c r="F1856">
        <v>1693.200020083494</v>
      </c>
      <c r="G1856">
        <v>0.1821744981895321</v>
      </c>
    </row>
    <row r="1857" spans="1:7">
      <c r="A1857" t="s">
        <v>137</v>
      </c>
      <c r="B1857">
        <v>5</v>
      </c>
      <c r="C1857">
        <v>43.58985757826062</v>
      </c>
      <c r="D1857">
        <v>19.11756244201687</v>
      </c>
      <c r="E1857">
        <v>549.1780498639059</v>
      </c>
      <c r="F1857">
        <v>1695.224694858422</v>
      </c>
      <c r="G1857">
        <v>0.1819371355698972</v>
      </c>
    </row>
    <row r="1858" spans="1:7">
      <c r="A1858" t="s">
        <v>137</v>
      </c>
      <c r="B1858">
        <v>5</v>
      </c>
      <c r="C1858">
        <v>43.71543853376112</v>
      </c>
      <c r="D1858">
        <v>19.14039531281674</v>
      </c>
      <c r="E1858">
        <v>551.5802862483459</v>
      </c>
      <c r="F1858">
        <v>1697.24936963335</v>
      </c>
      <c r="G1858">
        <v>0.1816989031738615</v>
      </c>
    </row>
    <row r="1859" spans="1:7">
      <c r="A1859" t="s">
        <v>137</v>
      </c>
      <c r="B1859">
        <v>5</v>
      </c>
      <c r="C1859">
        <v>43.84118455298123</v>
      </c>
      <c r="D1859">
        <v>19.16322818361662</v>
      </c>
      <c r="E1859">
        <v>553.9885512817111</v>
      </c>
      <c r="F1859">
        <v>1699.274044408278</v>
      </c>
      <c r="G1859">
        <v>0.1814598010014246</v>
      </c>
    </row>
    <row r="1860" spans="1:7">
      <c r="A1860" t="s">
        <v>137</v>
      </c>
      <c r="B1860">
        <v>5</v>
      </c>
      <c r="C1860">
        <v>43.96709667433573</v>
      </c>
      <c r="D1860">
        <v>19.18606105441649</v>
      </c>
      <c r="E1860">
        <v>556.4028724130303</v>
      </c>
      <c r="F1860">
        <v>1701.298719183206</v>
      </c>
      <c r="G1860">
        <v>0.1812198290525869</v>
      </c>
    </row>
    <row r="1861" spans="1:7">
      <c r="A1861" t="s">
        <v>137</v>
      </c>
      <c r="B1861">
        <v>5</v>
      </c>
      <c r="C1861">
        <v>44.09317594275321</v>
      </c>
      <c r="D1861">
        <v>19.20889392521637</v>
      </c>
      <c r="E1861">
        <v>558.823277287511</v>
      </c>
      <c r="F1861">
        <v>1703.323393958133</v>
      </c>
      <c r="G1861">
        <v>0.1809789873273479</v>
      </c>
    </row>
    <row r="1862" spans="1:7">
      <c r="A1862" t="s">
        <v>137</v>
      </c>
      <c r="B1862">
        <v>5</v>
      </c>
      <c r="C1862">
        <v>44.2194234097407</v>
      </c>
      <c r="D1862">
        <v>19.23172679601624</v>
      </c>
      <c r="E1862">
        <v>561.2497937483768</v>
      </c>
      <c r="F1862">
        <v>1705.348068733061</v>
      </c>
      <c r="G1862">
        <v>0.1807372758257082</v>
      </c>
    </row>
    <row r="1863" spans="1:7">
      <c r="A1863" t="s">
        <v>137</v>
      </c>
      <c r="B1863">
        <v>5</v>
      </c>
      <c r="C1863">
        <v>44.34584013344923</v>
      </c>
      <c r="D1863">
        <v>19.25455966681612</v>
      </c>
      <c r="E1863">
        <v>563.6824498387301</v>
      </c>
      <c r="F1863">
        <v>1707.372743507989</v>
      </c>
      <c r="G1863">
        <v>0.1804946945476673</v>
      </c>
    </row>
    <row r="1864" spans="1:7">
      <c r="A1864" t="s">
        <v>137</v>
      </c>
      <c r="B1864">
        <v>5</v>
      </c>
      <c r="C1864">
        <v>44.47242717874003</v>
      </c>
      <c r="D1864">
        <v>19.277392537616</v>
      </c>
      <c r="E1864">
        <v>566.1212738034344</v>
      </c>
      <c r="F1864">
        <v>1709.397418282917</v>
      </c>
      <c r="G1864">
        <v>0.1802512434932252</v>
      </c>
    </row>
    <row r="1865" spans="1:7">
      <c r="A1865" t="s">
        <v>137</v>
      </c>
      <c r="B1865">
        <v>5</v>
      </c>
      <c r="C1865">
        <v>44.59918561725147</v>
      </c>
      <c r="D1865">
        <v>19.30022540841587</v>
      </c>
      <c r="E1865">
        <v>568.5662940910174</v>
      </c>
      <c r="F1865">
        <v>1711.422093057845</v>
      </c>
      <c r="G1865">
        <v>0.1800069226623824</v>
      </c>
    </row>
    <row r="1866" spans="1:7">
      <c r="A1866" t="s">
        <v>137</v>
      </c>
      <c r="B1866">
        <v>5</v>
      </c>
      <c r="C1866">
        <v>44.72611652746694</v>
      </c>
      <c r="D1866">
        <v>19.32305827921574</v>
      </c>
      <c r="E1866">
        <v>571.017539355602</v>
      </c>
      <c r="F1866">
        <v>1713.446767832773</v>
      </c>
      <c r="G1866">
        <v>0.1797617320551388</v>
      </c>
    </row>
    <row r="1867" spans="1:7">
      <c r="A1867" t="s">
        <v>137</v>
      </c>
      <c r="B1867">
        <v>5</v>
      </c>
      <c r="C1867">
        <v>44.85322099478334</v>
      </c>
      <c r="D1867">
        <v>19.34589115001562</v>
      </c>
      <c r="E1867">
        <v>573.4750384588551</v>
      </c>
      <c r="F1867">
        <v>1715.471442607701</v>
      </c>
      <c r="G1867">
        <v>0.1795156716714938</v>
      </c>
    </row>
    <row r="1868" spans="1:7">
      <c r="A1868" t="s">
        <v>137</v>
      </c>
      <c r="B1868">
        <v>5</v>
      </c>
      <c r="C1868">
        <v>44.9805001115805</v>
      </c>
      <c r="D1868">
        <v>19.36872402081549</v>
      </c>
      <c r="E1868">
        <v>575.9388204719628</v>
      </c>
      <c r="F1868">
        <v>1717.496117382628</v>
      </c>
      <c r="G1868">
        <v>0.179268741511448</v>
      </c>
    </row>
    <row r="1869" spans="1:7">
      <c r="A1869" t="s">
        <v>137</v>
      </c>
      <c r="B1869">
        <v>5</v>
      </c>
      <c r="C1869">
        <v>45.10795497729136</v>
      </c>
      <c r="D1869">
        <v>19.39155689161537</v>
      </c>
      <c r="E1869">
        <v>578.4089146776284</v>
      </c>
      <c r="F1869">
        <v>1719.520792157556</v>
      </c>
      <c r="G1869">
        <v>0.1790209415750013</v>
      </c>
    </row>
    <row r="1870" spans="1:7">
      <c r="A1870" t="s">
        <v>137</v>
      </c>
      <c r="B1870">
        <v>5</v>
      </c>
      <c r="C1870">
        <v>45.23558669847291</v>
      </c>
      <c r="D1870">
        <v>19.41438976241524</v>
      </c>
      <c r="E1870">
        <v>580.8853505720931</v>
      </c>
      <c r="F1870">
        <v>1721.545466932484</v>
      </c>
      <c r="G1870">
        <v>0.1787722718621533</v>
      </c>
    </row>
    <row r="1871" spans="1:7">
      <c r="A1871" t="s">
        <v>137</v>
      </c>
      <c r="B1871">
        <v>5</v>
      </c>
      <c r="C1871">
        <v>45.36339638887817</v>
      </c>
      <c r="D1871">
        <v>19.43722263321512</v>
      </c>
      <c r="E1871">
        <v>583.3681578671847</v>
      </c>
      <c r="F1871">
        <v>1723.570141707412</v>
      </c>
      <c r="G1871">
        <v>0.1785227323729045</v>
      </c>
    </row>
    <row r="1872" spans="1:7">
      <c r="A1872" t="s">
        <v>137</v>
      </c>
      <c r="B1872">
        <v>5</v>
      </c>
      <c r="C1872">
        <v>45.49138516952881</v>
      </c>
      <c r="D1872">
        <v>19.46005550401499</v>
      </c>
      <c r="E1872">
        <v>585.8573664923872</v>
      </c>
      <c r="F1872">
        <v>1725.59481648234</v>
      </c>
      <c r="G1872">
        <v>0.1782723231072546</v>
      </c>
    </row>
    <row r="1873" spans="1:7">
      <c r="A1873" t="s">
        <v>137</v>
      </c>
      <c r="B1873">
        <v>5</v>
      </c>
      <c r="C1873">
        <v>45.61955416878876</v>
      </c>
      <c r="D1873">
        <v>19.48288837481487</v>
      </c>
      <c r="E1873">
        <v>588.3530065969381</v>
      </c>
      <c r="F1873">
        <v>1727.619491257268</v>
      </c>
      <c r="G1873">
        <v>0.1780210440652037</v>
      </c>
    </row>
    <row r="1874" spans="1:7">
      <c r="A1874" t="s">
        <v>137</v>
      </c>
      <c r="B1874">
        <v>5</v>
      </c>
      <c r="C1874">
        <v>45.74790452243855</v>
      </c>
      <c r="D1874">
        <v>19.50572124561474</v>
      </c>
      <c r="E1874">
        <v>590.8551085519487</v>
      </c>
      <c r="F1874">
        <v>1729.644166032196</v>
      </c>
      <c r="G1874">
        <v>0.1777688952467517</v>
      </c>
    </row>
    <row r="1875" spans="1:7">
      <c r="A1875" t="s">
        <v>137</v>
      </c>
      <c r="B1875">
        <v>5</v>
      </c>
      <c r="C1875">
        <v>45.8764373737508</v>
      </c>
      <c r="D1875">
        <v>19.52855411641462</v>
      </c>
      <c r="E1875">
        <v>593.3637029525534</v>
      </c>
      <c r="F1875">
        <v>1731.668840807124</v>
      </c>
      <c r="G1875">
        <v>0.1775158766518989</v>
      </c>
    </row>
    <row r="1876" spans="1:7">
      <c r="A1876" t="s">
        <v>137</v>
      </c>
      <c r="B1876">
        <v>5</v>
      </c>
      <c r="C1876">
        <v>46.00515387356633</v>
      </c>
      <c r="D1876">
        <v>19.55138698721449</v>
      </c>
      <c r="E1876">
        <v>595.8788206200827</v>
      </c>
      <c r="F1876">
        <v>1733.693515582051</v>
      </c>
      <c r="G1876">
        <v>0.1772619882806452</v>
      </c>
    </row>
    <row r="1877" spans="1:7">
      <c r="A1877" t="s">
        <v>137</v>
      </c>
      <c r="B1877">
        <v>5</v>
      </c>
      <c r="C1877">
        <v>46.13405518037139</v>
      </c>
      <c r="D1877">
        <v>19.57421985801437</v>
      </c>
      <c r="E1877">
        <v>598.4004926042643</v>
      </c>
      <c r="F1877">
        <v>1735.718190356979</v>
      </c>
      <c r="G1877">
        <v>0.1770072301329901</v>
      </c>
    </row>
    <row r="1878" spans="1:7">
      <c r="A1878" t="s">
        <v>137</v>
      </c>
      <c r="B1878">
        <v>5</v>
      </c>
      <c r="C1878">
        <v>46.26314246037563</v>
      </c>
      <c r="D1878">
        <v>19.59705272881424</v>
      </c>
      <c r="E1878">
        <v>600.9287501854486</v>
      </c>
      <c r="F1878">
        <v>1737.742865131908</v>
      </c>
      <c r="G1878">
        <v>0.1767516022089342</v>
      </c>
    </row>
    <row r="1879" spans="1:7">
      <c r="A1879" t="s">
        <v>137</v>
      </c>
      <c r="B1879">
        <v>5</v>
      </c>
      <c r="C1879">
        <v>46.39241688759125</v>
      </c>
      <c r="D1879">
        <v>19.61988559961412</v>
      </c>
      <c r="E1879">
        <v>603.4636248768666</v>
      </c>
      <c r="F1879">
        <v>1739.767539906835</v>
      </c>
      <c r="G1879">
        <v>0.1764951045084774</v>
      </c>
    </row>
    <row r="1880" spans="1:7">
      <c r="A1880" t="s">
        <v>137</v>
      </c>
      <c r="B1880">
        <v>5</v>
      </c>
      <c r="C1880">
        <v>46.52187964391288</v>
      </c>
      <c r="D1880">
        <v>19.64271847041399</v>
      </c>
      <c r="E1880">
        <v>606.0051484269101</v>
      </c>
      <c r="F1880">
        <v>1741.792214681763</v>
      </c>
      <c r="G1880">
        <v>0.1762377370316195</v>
      </c>
    </row>
    <row r="1881" spans="1:7">
      <c r="A1881" t="s">
        <v>137</v>
      </c>
      <c r="B1881">
        <v>5</v>
      </c>
      <c r="C1881">
        <v>46.65153191919859</v>
      </c>
      <c r="D1881">
        <v>19.66555134121387</v>
      </c>
      <c r="E1881">
        <v>608.553352821444</v>
      </c>
      <c r="F1881">
        <v>1743.816889456691</v>
      </c>
      <c r="G1881">
        <v>0.1759794997783606</v>
      </c>
    </row>
    <row r="1882" spans="1:7">
      <c r="A1882" t="s">
        <v>137</v>
      </c>
      <c r="B1882">
        <v>5</v>
      </c>
      <c r="C1882">
        <v>46.78137491135172</v>
      </c>
      <c r="D1882">
        <v>19.68838421201374</v>
      </c>
      <c r="E1882">
        <v>611.1082702861441</v>
      </c>
      <c r="F1882">
        <v>1745.841564231619</v>
      </c>
      <c r="G1882">
        <v>0.1757203927487009</v>
      </c>
    </row>
    <row r="1883" spans="1:7">
      <c r="A1883" t="s">
        <v>137</v>
      </c>
      <c r="B1883">
        <v>5</v>
      </c>
      <c r="C1883">
        <v>46.91140982640395</v>
      </c>
      <c r="D1883">
        <v>19.71121708281362</v>
      </c>
      <c r="E1883">
        <v>613.6699332888678</v>
      </c>
      <c r="F1883">
        <v>1747.866239006547</v>
      </c>
      <c r="G1883">
        <v>0.17546041594264</v>
      </c>
    </row>
    <row r="1884" spans="1:7">
      <c r="A1884" t="s">
        <v>137</v>
      </c>
      <c r="B1884">
        <v>5</v>
      </c>
      <c r="C1884">
        <v>47.04163787859914</v>
      </c>
      <c r="D1884">
        <v>19.73404995361349</v>
      </c>
      <c r="E1884">
        <v>616.2383745420507</v>
      </c>
      <c r="F1884">
        <v>1749.890913781474</v>
      </c>
      <c r="G1884">
        <v>0.1751995693601781</v>
      </c>
    </row>
    <row r="1885" spans="1:7">
      <c r="A1885" t="s">
        <v>137</v>
      </c>
      <c r="B1885">
        <v>5</v>
      </c>
      <c r="C1885">
        <v>47.1720602904784</v>
      </c>
      <c r="D1885">
        <v>19.75688282441337</v>
      </c>
      <c r="E1885">
        <v>618.8136270051352</v>
      </c>
      <c r="F1885">
        <v>1751.915588556403</v>
      </c>
      <c r="G1885">
        <v>0.1749378530013151</v>
      </c>
    </row>
    <row r="1886" spans="1:7">
      <c r="A1886" t="s">
        <v>137</v>
      </c>
      <c r="B1886">
        <v>5</v>
      </c>
      <c r="C1886">
        <v>47.30267829296596</v>
      </c>
      <c r="D1886">
        <v>19.77971569521324</v>
      </c>
      <c r="E1886">
        <v>621.3957238870275</v>
      </c>
      <c r="F1886">
        <v>1753.94026333133</v>
      </c>
      <c r="G1886">
        <v>0.1746752668660514</v>
      </c>
    </row>
    <row r="1887" spans="1:7">
      <c r="A1887" t="s">
        <v>137</v>
      </c>
      <c r="B1887">
        <v>5</v>
      </c>
      <c r="C1887">
        <v>47.43349312545645</v>
      </c>
      <c r="D1887">
        <v>19.80254856601312</v>
      </c>
      <c r="E1887">
        <v>623.9846986485888</v>
      </c>
      <c r="F1887">
        <v>1755.964938106258</v>
      </c>
      <c r="G1887">
        <v>0.1744118109543864</v>
      </c>
    </row>
    <row r="1888" spans="1:7">
      <c r="A1888" t="s">
        <v>137</v>
      </c>
      <c r="B1888">
        <v>5</v>
      </c>
      <c r="C1888">
        <v>47.56450603590291</v>
      </c>
      <c r="D1888">
        <v>19.82538143681299</v>
      </c>
      <c r="E1888">
        <v>626.5805850051545</v>
      </c>
      <c r="F1888">
        <v>1757.989612881186</v>
      </c>
      <c r="G1888">
        <v>0.1741474852663205</v>
      </c>
    </row>
    <row r="1889" spans="1:7">
      <c r="A1889" t="s">
        <v>137</v>
      </c>
      <c r="B1889">
        <v>5</v>
      </c>
      <c r="C1889">
        <v>47.69571828090614</v>
      </c>
      <c r="D1889">
        <v>19.84821430761287</v>
      </c>
      <c r="E1889">
        <v>629.1834169290868</v>
      </c>
      <c r="F1889">
        <v>1760.014287656114</v>
      </c>
      <c r="G1889">
        <v>0.1738822898018535</v>
      </c>
    </row>
    <row r="1890" spans="1:7">
      <c r="A1890" t="s">
        <v>137</v>
      </c>
      <c r="B1890">
        <v>5</v>
      </c>
      <c r="C1890">
        <v>47.82713112580497</v>
      </c>
      <c r="D1890">
        <v>19.87104717841274</v>
      </c>
      <c r="E1890">
        <v>631.793228652358</v>
      </c>
      <c r="F1890">
        <v>1762.038962431042</v>
      </c>
      <c r="G1890">
        <v>0.1736162245609855</v>
      </c>
    </row>
    <row r="1891" spans="1:7">
      <c r="A1891" t="s">
        <v>137</v>
      </c>
      <c r="B1891">
        <v>5</v>
      </c>
      <c r="C1891">
        <v>47.95874584476785</v>
      </c>
      <c r="D1891">
        <v>19.89388004921262</v>
      </c>
      <c r="E1891">
        <v>634.4100546691701</v>
      </c>
      <c r="F1891">
        <v>1764.06363720597</v>
      </c>
      <c r="G1891">
        <v>0.1733492895437168</v>
      </c>
    </row>
    <row r="1892" spans="1:7">
      <c r="A1892" t="s">
        <v>137</v>
      </c>
      <c r="B1892">
        <v>5</v>
      </c>
      <c r="C1892">
        <v>48.09056372088546</v>
      </c>
      <c r="D1892">
        <v>19.91671292001249</v>
      </c>
      <c r="E1892">
        <v>637.0339297386032</v>
      </c>
      <c r="F1892">
        <v>1766.088311980897</v>
      </c>
      <c r="G1892">
        <v>0.1730814847500467</v>
      </c>
    </row>
    <row r="1893" spans="1:7">
      <c r="A1893" t="s">
        <v>137</v>
      </c>
      <c r="B1893">
        <v>5</v>
      </c>
      <c r="C1893">
        <v>48.22258604626451</v>
      </c>
      <c r="D1893">
        <v>19.93954579081237</v>
      </c>
      <c r="E1893">
        <v>639.6648888873009</v>
      </c>
      <c r="F1893">
        <v>1768.112986755825</v>
      </c>
      <c r="G1893">
        <v>0.1728128101799758</v>
      </c>
    </row>
    <row r="1894" spans="1:7">
      <c r="A1894" t="s">
        <v>137</v>
      </c>
      <c r="B1894">
        <v>5</v>
      </c>
      <c r="C1894">
        <v>48.35481412212265</v>
      </c>
      <c r="D1894">
        <v>19.96237866161225</v>
      </c>
      <c r="E1894">
        <v>642.3029674121868</v>
      </c>
      <c r="F1894">
        <v>1770.137661530753</v>
      </c>
      <c r="G1894">
        <v>0.172543265833504</v>
      </c>
    </row>
    <row r="1895" spans="1:7">
      <c r="A1895" t="s">
        <v>137</v>
      </c>
      <c r="B1895">
        <v>5</v>
      </c>
      <c r="C1895">
        <v>48.48724925888479</v>
      </c>
      <c r="D1895">
        <v>19.98521153241212</v>
      </c>
      <c r="E1895">
        <v>644.9482008832206</v>
      </c>
      <c r="F1895">
        <v>1772.162336305681</v>
      </c>
      <c r="G1895">
        <v>0.1722728517106312</v>
      </c>
    </row>
    <row r="1896" spans="1:7">
      <c r="A1896" t="s">
        <v>137</v>
      </c>
      <c r="B1896">
        <v>5</v>
      </c>
      <c r="C1896">
        <v>48.61989277628039</v>
      </c>
      <c r="D1896">
        <v>20.00804440321199</v>
      </c>
      <c r="E1896">
        <v>647.6006251461845</v>
      </c>
      <c r="F1896">
        <v>1774.187011080608</v>
      </c>
      <c r="G1896">
        <v>0.1720015678113573</v>
      </c>
    </row>
    <row r="1897" spans="1:7">
      <c r="A1897" t="s">
        <v>137</v>
      </c>
      <c r="B1897">
        <v>5</v>
      </c>
      <c r="C1897">
        <v>48.75274600344217</v>
      </c>
      <c r="D1897">
        <v>20.03087727401187</v>
      </c>
      <c r="E1897">
        <v>650.2602763255089</v>
      </c>
      <c r="F1897">
        <v>1776.211685855537</v>
      </c>
      <c r="G1897">
        <v>0.1717294141356823</v>
      </c>
    </row>
    <row r="1898" spans="1:7">
      <c r="A1898" t="s">
        <v>137</v>
      </c>
      <c r="B1898">
        <v>5</v>
      </c>
      <c r="C1898">
        <v>48.88581027900587</v>
      </c>
      <c r="D1898">
        <v>20.05371014481175</v>
      </c>
      <c r="E1898">
        <v>652.9271908271313</v>
      </c>
      <c r="F1898">
        <v>1778.236360630465</v>
      </c>
      <c r="G1898">
        <v>0.1714563906836063</v>
      </c>
    </row>
    <row r="1899" spans="1:7">
      <c r="A1899" t="s">
        <v>137</v>
      </c>
      <c r="B1899">
        <v>5</v>
      </c>
      <c r="C1899">
        <v>49.01908695121159</v>
      </c>
      <c r="D1899">
        <v>20.07654301561162</v>
      </c>
      <c r="E1899">
        <v>655.6014053413966</v>
      </c>
      <c r="F1899">
        <v>1780.261035405392</v>
      </c>
      <c r="G1899">
        <v>0.1711824974551295</v>
      </c>
    </row>
    <row r="1900" spans="1:7">
      <c r="A1900" t="s">
        <v>137</v>
      </c>
      <c r="B1900">
        <v>5</v>
      </c>
      <c r="C1900">
        <v>49.15257737800612</v>
      </c>
      <c r="D1900">
        <v>20.09937588641149</v>
      </c>
      <c r="E1900">
        <v>658.2829568459906</v>
      </c>
      <c r="F1900">
        <v>1782.28571018032</v>
      </c>
      <c r="G1900">
        <v>0.1709077344502516</v>
      </c>
    </row>
    <row r="1901" spans="1:7">
      <c r="A1901" t="s">
        <v>137</v>
      </c>
      <c r="B1901">
        <v>5</v>
      </c>
      <c r="C1901">
        <v>49.28628292714676</v>
      </c>
      <c r="D1901">
        <v>20.12220875721137</v>
      </c>
      <c r="E1901">
        <v>660.9718826089146</v>
      </c>
      <c r="F1901">
        <v>1784.310384955248</v>
      </c>
      <c r="G1901">
        <v>0.1706321016689727</v>
      </c>
    </row>
    <row r="1902" spans="1:7">
      <c r="A1902" t="s">
        <v>137</v>
      </c>
      <c r="B1902">
        <v>5</v>
      </c>
      <c r="C1902">
        <v>49.42020497630642</v>
      </c>
      <c r="D1902">
        <v>20.14504162801125</v>
      </c>
      <c r="E1902">
        <v>663.6682201914973</v>
      </c>
      <c r="F1902">
        <v>1786.335059730176</v>
      </c>
      <c r="G1902">
        <v>0.1703555991112929</v>
      </c>
    </row>
    <row r="1903" spans="1:7">
      <c r="A1903" t="s">
        <v>137</v>
      </c>
      <c r="B1903">
        <v>5</v>
      </c>
      <c r="C1903">
        <v>49.55434491318007</v>
      </c>
      <c r="D1903">
        <v>20.16787449881112</v>
      </c>
      <c r="E1903">
        <v>666.372007451445</v>
      </c>
      <c r="F1903">
        <v>1788.359734505104</v>
      </c>
      <c r="G1903">
        <v>0.1700782267772119</v>
      </c>
    </row>
    <row r="1904" spans="1:7">
      <c r="A1904" t="s">
        <v>137</v>
      </c>
      <c r="B1904">
        <v>5</v>
      </c>
      <c r="C1904">
        <v>49.6887041355926</v>
      </c>
      <c r="D1904">
        <v>20.19070736961099</v>
      </c>
      <c r="E1904">
        <v>669.0832825459356</v>
      </c>
      <c r="F1904">
        <v>1790.384409280032</v>
      </c>
      <c r="G1904">
        <v>0.16979998466673</v>
      </c>
    </row>
    <row r="1905" spans="1:7">
      <c r="A1905" t="s">
        <v>137</v>
      </c>
      <c r="B1905">
        <v>5</v>
      </c>
      <c r="C1905">
        <v>49.82328405160811</v>
      </c>
      <c r="D1905">
        <v>20.21354024041087</v>
      </c>
      <c r="E1905">
        <v>671.8020839347495</v>
      </c>
      <c r="F1905">
        <v>1792.40908405496</v>
      </c>
      <c r="G1905">
        <v>0.169520872779847</v>
      </c>
    </row>
    <row r="1906" spans="1:7">
      <c r="A1906" t="s">
        <v>137</v>
      </c>
      <c r="B1906">
        <v>5</v>
      </c>
      <c r="C1906">
        <v>49.95808607964043</v>
      </c>
      <c r="D1906">
        <v>20.23637311121075</v>
      </c>
      <c r="E1906">
        <v>674.5284503834414</v>
      </c>
      <c r="F1906">
        <v>1794.433758829888</v>
      </c>
      <c r="G1906">
        <v>0.1692408911165631</v>
      </c>
    </row>
    <row r="1907" spans="1:7">
      <c r="A1907" t="s">
        <v>137</v>
      </c>
      <c r="B1907">
        <v>5</v>
      </c>
      <c r="C1907">
        <v>50.09311164856538</v>
      </c>
      <c r="D1907">
        <v>20.25920598201062</v>
      </c>
      <c r="E1907">
        <v>677.2624209665585</v>
      </c>
      <c r="F1907">
        <v>1796.458433604815</v>
      </c>
      <c r="G1907">
        <v>0.1689600396768783</v>
      </c>
    </row>
    <row r="1908" spans="1:7">
      <c r="A1908" t="s">
        <v>137</v>
      </c>
      <c r="B1908">
        <v>5</v>
      </c>
      <c r="C1908">
        <v>50.22836219783429</v>
      </c>
      <c r="D1908">
        <v>20.28203885281049</v>
      </c>
      <c r="E1908">
        <v>680.0040350708962</v>
      </c>
      <c r="F1908">
        <v>1798.483108379743</v>
      </c>
      <c r="G1908">
        <v>0.1686783184607924</v>
      </c>
    </row>
    <row r="1909" spans="1:7">
      <c r="A1909" t="s">
        <v>137</v>
      </c>
      <c r="B1909">
        <v>5</v>
      </c>
      <c r="C1909">
        <v>50.36383917758903</v>
      </c>
      <c r="D1909">
        <v>20.30487172361037</v>
      </c>
      <c r="E1909">
        <v>682.7533323987996</v>
      </c>
      <c r="F1909">
        <v>1800.507783154671</v>
      </c>
      <c r="G1909">
        <v>0.1683957274683054</v>
      </c>
    </row>
    <row r="1910" spans="1:7">
      <c r="A1910" t="s">
        <v>137</v>
      </c>
      <c r="B1910">
        <v>5</v>
      </c>
      <c r="C1910">
        <v>50.49954404877866</v>
      </c>
      <c r="D1910">
        <v>20.32770459441025</v>
      </c>
      <c r="E1910">
        <v>685.5103529715086</v>
      </c>
      <c r="F1910">
        <v>1802.532457929599</v>
      </c>
      <c r="G1910">
        <v>0.1681122666994174</v>
      </c>
    </row>
    <row r="1911" spans="1:7">
      <c r="A1911" t="s">
        <v>137</v>
      </c>
      <c r="B1911">
        <v>5</v>
      </c>
      <c r="C1911">
        <v>50.63547828327744</v>
      </c>
      <c r="D1911">
        <v>20.35053746521012</v>
      </c>
      <c r="E1911">
        <v>688.2751371325461</v>
      </c>
      <c r="F1911">
        <v>1804.557132704527</v>
      </c>
      <c r="G1911">
        <v>0.1678279361541286</v>
      </c>
    </row>
    <row r="1912" spans="1:7">
      <c r="A1912" t="s">
        <v>137</v>
      </c>
      <c r="B1912">
        <v>5</v>
      </c>
      <c r="C1912">
        <v>50.77164336400463</v>
      </c>
      <c r="D1912">
        <v>20.37337033600999</v>
      </c>
      <c r="E1912">
        <v>691.0477255511549</v>
      </c>
      <c r="F1912">
        <v>1806.581807479454</v>
      </c>
      <c r="G1912">
        <v>0.1675427358324386</v>
      </c>
    </row>
    <row r="1913" spans="1:7">
      <c r="A1913" t="s">
        <v>137</v>
      </c>
      <c r="B1913">
        <v>5</v>
      </c>
      <c r="C1913">
        <v>50.90804078504575</v>
      </c>
      <c r="D1913">
        <v>20.39620320680987</v>
      </c>
      <c r="E1913">
        <v>693.8281592257777</v>
      </c>
      <c r="F1913">
        <v>1808.606482254383</v>
      </c>
      <c r="G1913">
        <v>0.1672566657343477</v>
      </c>
    </row>
    <row r="1914" spans="1:7">
      <c r="A1914" t="s">
        <v>137</v>
      </c>
      <c r="B1914">
        <v>5</v>
      </c>
      <c r="C1914">
        <v>51.04467205177532</v>
      </c>
      <c r="D1914">
        <v>20.41903607760975</v>
      </c>
      <c r="E1914">
        <v>696.6164794875829</v>
      </c>
      <c r="F1914">
        <v>1810.631157029311</v>
      </c>
      <c r="G1914">
        <v>0.1669697258598557</v>
      </c>
    </row>
    <row r="1915" spans="1:7">
      <c r="A1915" t="s">
        <v>137</v>
      </c>
      <c r="B1915">
        <v>5</v>
      </c>
      <c r="C1915">
        <v>51.18153868098158</v>
      </c>
      <c r="D1915">
        <v>20.44186894840962</v>
      </c>
      <c r="E1915">
        <v>699.4127280040428</v>
      </c>
      <c r="F1915">
        <v>1812.655831804238</v>
      </c>
      <c r="G1915">
        <v>0.1666819162089629</v>
      </c>
    </row>
    <row r="1916" spans="1:7">
      <c r="A1916" t="s">
        <v>137</v>
      </c>
      <c r="B1916">
        <v>5</v>
      </c>
      <c r="C1916">
        <v>51.31864220099258</v>
      </c>
      <c r="D1916">
        <v>20.46470181920949</v>
      </c>
      <c r="E1916">
        <v>702.2169467825555</v>
      </c>
      <c r="F1916">
        <v>1814.680506579166</v>
      </c>
      <c r="G1916">
        <v>0.166393236781669</v>
      </c>
    </row>
    <row r="1917" spans="1:7">
      <c r="A1917" t="s">
        <v>137</v>
      </c>
      <c r="B1917">
        <v>5</v>
      </c>
      <c r="C1917">
        <v>51.45598415180407</v>
      </c>
      <c r="D1917">
        <v>20.48753469000937</v>
      </c>
      <c r="E1917">
        <v>705.0291781741173</v>
      </c>
      <c r="F1917">
        <v>1816.705181354094</v>
      </c>
      <c r="G1917">
        <v>0.1661036875779739</v>
      </c>
    </row>
    <row r="1918" spans="1:7">
      <c r="A1918" t="s">
        <v>137</v>
      </c>
      <c r="B1918">
        <v>5</v>
      </c>
      <c r="C1918">
        <v>51.59356608520915</v>
      </c>
      <c r="D1918">
        <v>20.51036756080925</v>
      </c>
      <c r="E1918">
        <v>707.8494648770462</v>
      </c>
      <c r="F1918">
        <v>1818.729856129022</v>
      </c>
      <c r="G1918">
        <v>0.165813268597878</v>
      </c>
    </row>
    <row r="1919" spans="1:7">
      <c r="A1919" t="s">
        <v>137</v>
      </c>
      <c r="B1919">
        <v>5</v>
      </c>
      <c r="C1919">
        <v>51.73138956492954</v>
      </c>
      <c r="D1919">
        <v>20.53320043160912</v>
      </c>
      <c r="E1919">
        <v>710.6778499407533</v>
      </c>
      <c r="F1919">
        <v>1820.754530903949</v>
      </c>
      <c r="G1919">
        <v>0.165521979841381</v>
      </c>
    </row>
    <row r="1920" spans="1:7">
      <c r="A1920" t="s">
        <v>137</v>
      </c>
      <c r="B1920">
        <v>5</v>
      </c>
      <c r="C1920">
        <v>51.86945616674887</v>
      </c>
      <c r="D1920">
        <v>20.55603330240899</v>
      </c>
      <c r="E1920">
        <v>713.5143767695699</v>
      </c>
      <c r="F1920">
        <v>1822.779205678878</v>
      </c>
      <c r="G1920">
        <v>0.1652298213084831</v>
      </c>
    </row>
    <row r="1921" spans="1:7">
      <c r="A1921" t="s">
        <v>137</v>
      </c>
      <c r="B1921">
        <v>5</v>
      </c>
      <c r="C1921">
        <v>52.00776747864751</v>
      </c>
      <c r="D1921">
        <v>20.57886617320887</v>
      </c>
      <c r="E1921">
        <v>716.3590891266238</v>
      </c>
      <c r="F1921">
        <v>1824.803880453806</v>
      </c>
      <c r="G1921">
        <v>0.1649367929991842</v>
      </c>
    </row>
    <row r="1922" spans="1:7">
      <c r="A1922" t="s">
        <v>137</v>
      </c>
      <c r="B1922">
        <v>5</v>
      </c>
      <c r="C1922">
        <v>52.14632510093934</v>
      </c>
      <c r="D1922">
        <v>20.60169904400875</v>
      </c>
      <c r="E1922">
        <v>719.2120311377679</v>
      </c>
      <c r="F1922">
        <v>1826.828555228734</v>
      </c>
      <c r="G1922">
        <v>0.1646428949134842</v>
      </c>
    </row>
    <row r="1923" spans="1:7">
      <c r="A1923" t="s">
        <v>137</v>
      </c>
      <c r="B1923">
        <v>5</v>
      </c>
      <c r="C1923">
        <v>52.28513064641051</v>
      </c>
      <c r="D1923">
        <v>20.62453191480862</v>
      </c>
      <c r="E1923">
        <v>722.073247295568</v>
      </c>
      <c r="F1923">
        <v>1828.853230003661</v>
      </c>
      <c r="G1923">
        <v>0.1643481270513831</v>
      </c>
    </row>
    <row r="1924" spans="1:7">
      <c r="A1924" t="s">
        <v>137</v>
      </c>
      <c r="B1924">
        <v>5</v>
      </c>
      <c r="C1924">
        <v>52.42418574045993</v>
      </c>
      <c r="D1924">
        <v>20.6473647856085</v>
      </c>
      <c r="E1924">
        <v>724.94278246334</v>
      </c>
      <c r="F1924">
        <v>1830.877904778589</v>
      </c>
      <c r="G1924">
        <v>0.1640524894128812</v>
      </c>
    </row>
    <row r="1925" spans="1:7">
      <c r="A1925" t="s">
        <v>137</v>
      </c>
      <c r="B1925">
        <v>5</v>
      </c>
      <c r="C1925">
        <v>52.56349202124174</v>
      </c>
      <c r="D1925">
        <v>20.67019765640837</v>
      </c>
      <c r="E1925">
        <v>727.8206818792462</v>
      </c>
      <c r="F1925">
        <v>1832.902579553517</v>
      </c>
      <c r="G1925">
        <v>0.1637559819979784</v>
      </c>
    </row>
    <row r="1926" spans="1:7">
      <c r="A1926" t="s">
        <v>137</v>
      </c>
      <c r="B1926">
        <v>5</v>
      </c>
      <c r="C1926">
        <v>52.70305113980984</v>
      </c>
      <c r="D1926">
        <v>20.69303052720825</v>
      </c>
      <c r="E1926">
        <v>730.7069911604483</v>
      </c>
      <c r="F1926">
        <v>1834.927254328445</v>
      </c>
      <c r="G1926">
        <v>0.1634586048066743</v>
      </c>
    </row>
    <row r="1927" spans="1:7">
      <c r="A1927" t="s">
        <v>137</v>
      </c>
      <c r="B1927">
        <v>5</v>
      </c>
      <c r="C1927">
        <v>52.84286476026416</v>
      </c>
      <c r="D1927">
        <v>20.71586339800812</v>
      </c>
      <c r="E1927">
        <v>733.6017563073156</v>
      </c>
      <c r="F1927">
        <v>1836.951929103373</v>
      </c>
      <c r="G1927">
        <v>0.1631603578389695</v>
      </c>
    </row>
    <row r="1928" spans="1:7">
      <c r="A1928" t="s">
        <v>137</v>
      </c>
      <c r="B1928">
        <v>5</v>
      </c>
      <c r="C1928">
        <v>52.98293455989937</v>
      </c>
      <c r="D1928">
        <v>20.738696268808</v>
      </c>
      <c r="E1928">
        <v>736.5050237076966</v>
      </c>
      <c r="F1928">
        <v>1838.976603878301</v>
      </c>
      <c r="G1928">
        <v>0.1628612410948634</v>
      </c>
    </row>
    <row r="1929" spans="1:7">
      <c r="A1929" t="s">
        <v>137</v>
      </c>
      <c r="B1929">
        <v>5</v>
      </c>
      <c r="C1929">
        <v>53.12326222935528</v>
      </c>
      <c r="D1929">
        <v>20.76152913960787</v>
      </c>
      <c r="E1929">
        <v>739.416840141247</v>
      </c>
      <c r="F1929">
        <v>1841.001278653229</v>
      </c>
      <c r="G1929">
        <v>0.1625612545743565</v>
      </c>
    </row>
    <row r="1930" spans="1:7">
      <c r="A1930" t="s">
        <v>137</v>
      </c>
      <c r="B1930">
        <v>5</v>
      </c>
      <c r="C1930">
        <v>53.26384947276943</v>
      </c>
      <c r="D1930">
        <v>20.78436201040775</v>
      </c>
      <c r="E1930">
        <v>742.3372527838173</v>
      </c>
      <c r="F1930">
        <v>1843.025953428156</v>
      </c>
      <c r="G1930">
        <v>0.1622603982774486</v>
      </c>
    </row>
    <row r="1931" spans="1:7">
      <c r="A1931" t="s">
        <v>137</v>
      </c>
      <c r="B1931">
        <v>5</v>
      </c>
      <c r="C1931">
        <v>53.40469800793202</v>
      </c>
      <c r="D1931">
        <v>20.80719488120762</v>
      </c>
      <c r="E1931">
        <v>745.2663092119077</v>
      </c>
      <c r="F1931">
        <v>1845.050628203084</v>
      </c>
      <c r="G1931">
        <v>0.1619586722041396</v>
      </c>
    </row>
    <row r="1932" spans="1:7">
      <c r="A1932" t="s">
        <v>137</v>
      </c>
      <c r="B1932">
        <v>5</v>
      </c>
      <c r="C1932">
        <v>53.54580956644273</v>
      </c>
      <c r="D1932">
        <v>20.8300277520075</v>
      </c>
      <c r="E1932">
        <v>748.2040574071796</v>
      </c>
      <c r="F1932">
        <v>1847.075302978012</v>
      </c>
      <c r="G1932">
        <v>0.1616560763544297</v>
      </c>
    </row>
    <row r="1933" spans="1:7">
      <c r="A1933" t="s">
        <v>137</v>
      </c>
      <c r="B1933">
        <v>5</v>
      </c>
      <c r="C1933">
        <v>53.68718589386994</v>
      </c>
      <c r="D1933">
        <v>20.85286062280737</v>
      </c>
      <c r="E1933">
        <v>751.1505457610351</v>
      </c>
      <c r="F1933">
        <v>1849.09997775294</v>
      </c>
      <c r="G1933">
        <v>0.1613526107283186</v>
      </c>
    </row>
    <row r="1934" spans="1:7">
      <c r="A1934" t="s">
        <v>137</v>
      </c>
      <c r="B1934">
        <v>5</v>
      </c>
      <c r="C1934">
        <v>53.8288287499121</v>
      </c>
      <c r="D1934">
        <v>20.87569349360725</v>
      </c>
      <c r="E1934">
        <v>754.1058230792604</v>
      </c>
      <c r="F1934">
        <v>1851.124652527868</v>
      </c>
      <c r="G1934">
        <v>0.1610482753258067</v>
      </c>
    </row>
    <row r="1935" spans="1:7">
      <c r="A1935" t="s">
        <v>137</v>
      </c>
      <c r="B1935">
        <v>5</v>
      </c>
      <c r="C1935">
        <v>53.97073990856133</v>
      </c>
      <c r="D1935">
        <v>20.89852636440712</v>
      </c>
      <c r="E1935">
        <v>757.0699385867331</v>
      </c>
      <c r="F1935">
        <v>1853.149327302796</v>
      </c>
      <c r="G1935">
        <v>0.1607430701468938</v>
      </c>
    </row>
    <row r="1936" spans="1:7">
      <c r="A1936" t="s">
        <v>137</v>
      </c>
      <c r="B1936">
        <v>5</v>
      </c>
      <c r="C1936">
        <v>54.11292115826961</v>
      </c>
      <c r="D1936">
        <v>20.921359235207</v>
      </c>
      <c r="E1936">
        <v>760.042941932202</v>
      </c>
      <c r="F1936">
        <v>1855.174002077724</v>
      </c>
      <c r="G1936">
        <v>0.1604369951915798</v>
      </c>
    </row>
    <row r="1937" spans="1:7">
      <c r="A1937" t="s">
        <v>137</v>
      </c>
      <c r="B1937">
        <v>5</v>
      </c>
      <c r="C1937">
        <v>54.255374302117</v>
      </c>
      <c r="D1937">
        <v>20.94419210600687</v>
      </c>
      <c r="E1937">
        <v>763.0248831931302</v>
      </c>
      <c r="F1937">
        <v>1857.198676852652</v>
      </c>
      <c r="G1937">
        <v>0.1601300504598648</v>
      </c>
    </row>
    <row r="1938" spans="1:7">
      <c r="A1938" t="s">
        <v>137</v>
      </c>
      <c r="B1938">
        <v>5</v>
      </c>
      <c r="C1938">
        <v>54.39810115798241</v>
      </c>
      <c r="D1938">
        <v>20.96702497680675</v>
      </c>
      <c r="E1938">
        <v>766.015812880609</v>
      </c>
      <c r="F1938">
        <v>1859.223351627579</v>
      </c>
      <c r="G1938">
        <v>0.1598222359517489</v>
      </c>
    </row>
    <row r="1939" spans="1:7">
      <c r="A1939" t="s">
        <v>137</v>
      </c>
      <c r="B1939">
        <v>5</v>
      </c>
      <c r="C1939">
        <v>54.54110355871691</v>
      </c>
      <c r="D1939">
        <v>20.98985784760662</v>
      </c>
      <c r="E1939">
        <v>769.0157819443455</v>
      </c>
      <c r="F1939">
        <v>1861.248026402507</v>
      </c>
      <c r="G1939">
        <v>0.1595135516672318</v>
      </c>
    </row>
    <row r="1940" spans="1:7">
      <c r="A1940" t="s">
        <v>137</v>
      </c>
      <c r="B1940">
        <v>5</v>
      </c>
      <c r="C1940">
        <v>54.68438335231937</v>
      </c>
      <c r="D1940">
        <v>21.0126907184065</v>
      </c>
      <c r="E1940">
        <v>772.0248417777184</v>
      </c>
      <c r="F1940">
        <v>1863.272701177435</v>
      </c>
      <c r="G1940">
        <v>0.1592039976063137</v>
      </c>
    </row>
    <row r="1941" spans="1:7">
      <c r="A1941" t="s">
        <v>137</v>
      </c>
      <c r="B1941">
        <v>5</v>
      </c>
      <c r="C1941">
        <v>54.8279424021147</v>
      </c>
      <c r="D1941">
        <v>21.03552358920637</v>
      </c>
      <c r="E1941">
        <v>775.0430442229093</v>
      </c>
      <c r="F1941">
        <v>1865.297375952363</v>
      </c>
      <c r="G1941">
        <v>0.158893573768995</v>
      </c>
    </row>
    <row r="1942" spans="1:7">
      <c r="A1942" t="s">
        <v>137</v>
      </c>
      <c r="B1942">
        <v>5</v>
      </c>
      <c r="C1942">
        <v>54.97178258693468</v>
      </c>
      <c r="D1942">
        <v>21.05835646000625</v>
      </c>
      <c r="E1942">
        <v>778.0704415761084</v>
      </c>
      <c r="F1942">
        <v>1867.322050727291</v>
      </c>
      <c r="G1942">
        <v>0.158582280155275</v>
      </c>
    </row>
    <row r="1943" spans="1:7">
      <c r="A1943" t="s">
        <v>137</v>
      </c>
      <c r="B1943">
        <v>5</v>
      </c>
      <c r="C1943">
        <v>55.11590580130132</v>
      </c>
      <c r="D1943">
        <v>21.08118933080612</v>
      </c>
      <c r="E1943">
        <v>781.1070865927933</v>
      </c>
      <c r="F1943">
        <v>1869.346725502219</v>
      </c>
      <c r="G1943">
        <v>0.158270116765154</v>
      </c>
    </row>
    <row r="1944" spans="1:7">
      <c r="A1944" t="s">
        <v>137</v>
      </c>
      <c r="B1944">
        <v>5</v>
      </c>
      <c r="C1944">
        <v>55.26031395561306</v>
      </c>
      <c r="D1944">
        <v>21.104022201606</v>
      </c>
      <c r="E1944">
        <v>784.1530324930909</v>
      </c>
      <c r="F1944">
        <v>1871.371400277147</v>
      </c>
      <c r="G1944">
        <v>0.1579570835986319</v>
      </c>
    </row>
    <row r="1945" spans="1:7">
      <c r="A1945" t="s">
        <v>137</v>
      </c>
      <c r="B1945">
        <v>5</v>
      </c>
      <c r="C1945">
        <v>55.40500897633353</v>
      </c>
      <c r="D1945">
        <v>21.12685507240587</v>
      </c>
      <c r="E1945">
        <v>787.2083329672116</v>
      </c>
      <c r="F1945">
        <v>1873.396075052074</v>
      </c>
      <c r="G1945">
        <v>0.1576431806557089</v>
      </c>
    </row>
    <row r="1946" spans="1:7">
      <c r="A1946" t="s">
        <v>137</v>
      </c>
      <c r="B1946">
        <v>5</v>
      </c>
      <c r="C1946">
        <v>55.54999280618313</v>
      </c>
      <c r="D1946">
        <v>21.14968794320575</v>
      </c>
      <c r="E1946">
        <v>790.2730421809675</v>
      </c>
      <c r="F1946">
        <v>1875.420749827002</v>
      </c>
      <c r="G1946">
        <v>0.1573284079363851</v>
      </c>
    </row>
    <row r="1947" spans="1:7">
      <c r="A1947" t="s">
        <v>137</v>
      </c>
      <c r="B1947">
        <v>5</v>
      </c>
      <c r="C1947">
        <v>55.69526740433334</v>
      </c>
      <c r="D1947">
        <v>21.17252081400562</v>
      </c>
      <c r="E1947">
        <v>793.3472147813683</v>
      </c>
      <c r="F1947">
        <v>1877.44542460193</v>
      </c>
      <c r="G1947">
        <v>0.1570127654406599</v>
      </c>
    </row>
    <row r="1948" spans="1:7">
      <c r="A1948" t="s">
        <v>137</v>
      </c>
      <c r="B1948">
        <v>5</v>
      </c>
      <c r="C1948">
        <v>55.8408347466041</v>
      </c>
      <c r="D1948">
        <v>21.1953536848055</v>
      </c>
      <c r="E1948">
        <v>796.430905902305</v>
      </c>
      <c r="F1948">
        <v>1879.470099376858</v>
      </c>
      <c r="G1948">
        <v>0.1566962531685339</v>
      </c>
    </row>
    <row r="1949" spans="1:7">
      <c r="A1949" t="s">
        <v>137</v>
      </c>
      <c r="B1949">
        <v>5</v>
      </c>
      <c r="C1949">
        <v>55.98669682566383</v>
      </c>
      <c r="D1949">
        <v>21.21818655560537</v>
      </c>
      <c r="E1949">
        <v>799.5241711703134</v>
      </c>
      <c r="F1949">
        <v>1881.494774151786</v>
      </c>
      <c r="G1949">
        <v>0.1563788711200071</v>
      </c>
    </row>
    <row r="1950" spans="1:7">
      <c r="A1950" t="s">
        <v>137</v>
      </c>
      <c r="B1950">
        <v>5</v>
      </c>
      <c r="C1950">
        <v>56.13285565123265</v>
      </c>
      <c r="D1950">
        <v>21.24101942640524</v>
      </c>
      <c r="E1950">
        <v>802.6270667104251</v>
      </c>
      <c r="F1950">
        <v>1883.519448926713</v>
      </c>
      <c r="G1950">
        <v>0.1560606192950791</v>
      </c>
    </row>
    <row r="1951" spans="1:7">
      <c r="A1951" t="s">
        <v>137</v>
      </c>
      <c r="B1951">
        <v>5</v>
      </c>
      <c r="C1951">
        <v>56.27931325028845</v>
      </c>
      <c r="D1951">
        <v>21.26385229720512</v>
      </c>
      <c r="E1951">
        <v>805.7396491521064</v>
      </c>
      <c r="F1951">
        <v>1885.544123701642</v>
      </c>
      <c r="G1951">
        <v>0.1557414976937501</v>
      </c>
    </row>
    <row r="1952" spans="1:7">
      <c r="A1952" t="s">
        <v>137</v>
      </c>
      <c r="B1952">
        <v>5</v>
      </c>
      <c r="C1952">
        <v>56.42607166727603</v>
      </c>
      <c r="D1952">
        <v>21.286685168005</v>
      </c>
      <c r="E1952">
        <v>808.8619756352833</v>
      </c>
      <c r="F1952">
        <v>1887.568798476569</v>
      </c>
      <c r="G1952">
        <v>0.1554215063160199</v>
      </c>
    </row>
    <row r="1953" spans="1:7">
      <c r="A1953" t="s">
        <v>137</v>
      </c>
      <c r="B1953">
        <v>5</v>
      </c>
      <c r="C1953">
        <v>56.57313296431958</v>
      </c>
      <c r="D1953">
        <v>21.30951803880487</v>
      </c>
      <c r="E1953">
        <v>811.9941038164618</v>
      </c>
      <c r="F1953">
        <v>1889.593473251497</v>
      </c>
      <c r="G1953">
        <v>0.1551006451618891</v>
      </c>
    </row>
    <row r="1954" spans="1:7">
      <c r="A1954" t="s">
        <v>137</v>
      </c>
      <c r="B1954">
        <v>5</v>
      </c>
      <c r="C1954">
        <v>56.72049922143812</v>
      </c>
      <c r="D1954">
        <v>21.33235090960475</v>
      </c>
      <c r="E1954">
        <v>815.1360918749358</v>
      </c>
      <c r="F1954">
        <v>1891.618148026425</v>
      </c>
      <c r="G1954">
        <v>0.1547789142313571</v>
      </c>
    </row>
    <row r="1955" spans="1:7">
      <c r="A1955" t="s">
        <v>137</v>
      </c>
      <c r="B1955">
        <v>5</v>
      </c>
      <c r="C1955">
        <v>56.86817253676415</v>
      </c>
      <c r="D1955">
        <v>21.35518378040462</v>
      </c>
      <c r="E1955">
        <v>818.2879985190895</v>
      </c>
      <c r="F1955">
        <v>1893.642822801353</v>
      </c>
      <c r="G1955">
        <v>0.154456313524424</v>
      </c>
    </row>
    <row r="1956" spans="1:7">
      <c r="A1956" t="s">
        <v>137</v>
      </c>
      <c r="B1956">
        <v>5</v>
      </c>
      <c r="C1956">
        <v>57.01615502676585</v>
      </c>
      <c r="D1956">
        <v>21.3780166512045</v>
      </c>
      <c r="E1956">
        <v>821.4498829927984</v>
      </c>
      <c r="F1956">
        <v>1895.667497576281</v>
      </c>
      <c r="G1956">
        <v>0.15413284304109</v>
      </c>
    </row>
    <row r="1957" spans="1:7">
      <c r="A1957" t="s">
        <v>137</v>
      </c>
      <c r="B1957">
        <v>5</v>
      </c>
      <c r="C1957">
        <v>57.1644488264724</v>
      </c>
      <c r="D1957">
        <v>21.40084952200437</v>
      </c>
      <c r="E1957">
        <v>824.6218050819239</v>
      </c>
      <c r="F1957">
        <v>1897.692172351209</v>
      </c>
      <c r="G1957">
        <v>0.153808502781355</v>
      </c>
    </row>
    <row r="1958" spans="1:7">
      <c r="A1958" t="s">
        <v>137</v>
      </c>
      <c r="B1958">
        <v>5</v>
      </c>
      <c r="C1958">
        <v>57.31305608970283</v>
      </c>
      <c r="D1958">
        <v>21.42368239280425</v>
      </c>
      <c r="E1958">
        <v>827.8038251209081</v>
      </c>
      <c r="F1958">
        <v>1899.716847126136</v>
      </c>
      <c r="G1958">
        <v>0.1534832927452191</v>
      </c>
    </row>
    <row r="1959" spans="1:7">
      <c r="A1959" t="s">
        <v>137</v>
      </c>
      <c r="B1959">
        <v>5</v>
      </c>
      <c r="C1959">
        <v>57.46197898929835</v>
      </c>
      <c r="D1959">
        <v>21.44651526360412</v>
      </c>
      <c r="E1959">
        <v>830.9960039994706</v>
      </c>
      <c r="F1959">
        <v>1901.741521901065</v>
      </c>
      <c r="G1959">
        <v>0.153157212932682</v>
      </c>
    </row>
    <row r="1960" spans="1:7">
      <c r="A1960" t="s">
        <v>137</v>
      </c>
      <c r="B1960">
        <v>5</v>
      </c>
      <c r="C1960">
        <v>57.6112197173581</v>
      </c>
      <c r="D1960">
        <v>21.469348134404</v>
      </c>
      <c r="E1960">
        <v>834.1984031694046</v>
      </c>
      <c r="F1960">
        <v>1903.766196675992</v>
      </c>
      <c r="G1960">
        <v>0.152830263343744</v>
      </c>
    </row>
    <row r="1961" spans="1:7">
      <c r="A1961" t="s">
        <v>137</v>
      </c>
      <c r="B1961">
        <v>5</v>
      </c>
      <c r="C1961">
        <v>57.76078048547878</v>
      </c>
      <c r="D1961">
        <v>21.49218100520387</v>
      </c>
      <c r="E1961">
        <v>837.4110846514825</v>
      </c>
      <c r="F1961">
        <v>1905.79087145092</v>
      </c>
      <c r="G1961">
        <v>0.1525024439784049</v>
      </c>
    </row>
    <row r="1962" spans="1:7">
      <c r="A1962" t="s">
        <v>137</v>
      </c>
      <c r="B1962">
        <v>5</v>
      </c>
      <c r="C1962">
        <v>57.91066352499772</v>
      </c>
      <c r="D1962">
        <v>21.51501387600375</v>
      </c>
      <c r="E1962">
        <v>840.634111042464</v>
      </c>
      <c r="F1962">
        <v>1907.815546225848</v>
      </c>
      <c r="G1962">
        <v>0.1521737548366649</v>
      </c>
    </row>
    <row r="1963" spans="1:7">
      <c r="A1963" t="s">
        <v>137</v>
      </c>
      <c r="B1963">
        <v>5</v>
      </c>
      <c r="C1963">
        <v>58.06087108723971</v>
      </c>
      <c r="D1963">
        <v>21.53784674680362</v>
      </c>
      <c r="E1963">
        <v>843.8675455222126</v>
      </c>
      <c r="F1963">
        <v>1909.840221000776</v>
      </c>
      <c r="G1963">
        <v>0.1518441959185239</v>
      </c>
    </row>
    <row r="1964" spans="1:7">
      <c r="A1964" t="s">
        <v>137</v>
      </c>
      <c r="B1964">
        <v>5</v>
      </c>
      <c r="C1964">
        <v>58.21140544376784</v>
      </c>
      <c r="D1964">
        <v>21.5606796176035</v>
      </c>
      <c r="E1964">
        <v>847.1114518609262</v>
      </c>
      <c r="F1964">
        <v>1911.864895775704</v>
      </c>
      <c r="G1964">
        <v>0.1515137672239819</v>
      </c>
    </row>
    <row r="1965" spans="1:7">
      <c r="A1965" t="s">
        <v>137</v>
      </c>
      <c r="B1965">
        <v>5</v>
      </c>
      <c r="C1965">
        <v>58.36226888663804</v>
      </c>
      <c r="D1965">
        <v>21.58351248840337</v>
      </c>
      <c r="E1965">
        <v>850.3658944264765</v>
      </c>
      <c r="F1965">
        <v>1913.889570550632</v>
      </c>
      <c r="G1965">
        <v>0.151182468753039</v>
      </c>
    </row>
    <row r="1966" spans="1:7">
      <c r="A1966" t="s">
        <v>137</v>
      </c>
      <c r="B1966">
        <v>5</v>
      </c>
      <c r="C1966">
        <v>58.51346372865763</v>
      </c>
      <c r="D1966">
        <v>21.60634535920325</v>
      </c>
      <c r="E1966">
        <v>853.6309381918645</v>
      </c>
      <c r="F1966">
        <v>1915.914245325559</v>
      </c>
      <c r="G1966">
        <v>0.150850300505695</v>
      </c>
    </row>
    <row r="1967" spans="1:7">
      <c r="A1967" t="s">
        <v>137</v>
      </c>
      <c r="B1967">
        <v>5</v>
      </c>
      <c r="C1967">
        <v>58.66499230364798</v>
      </c>
      <c r="D1967">
        <v>21.62917823000312</v>
      </c>
      <c r="E1967">
        <v>856.9066487427932</v>
      </c>
      <c r="F1967">
        <v>1917.938920100488</v>
      </c>
      <c r="G1967">
        <v>0.1505172624819499</v>
      </c>
    </row>
    <row r="1968" spans="1:7">
      <c r="A1968" t="s">
        <v>137</v>
      </c>
      <c r="B1968">
        <v>5</v>
      </c>
      <c r="C1968">
        <v>58.81685696671112</v>
      </c>
      <c r="D1968">
        <v>21.652011100803</v>
      </c>
      <c r="E1968">
        <v>860.1930922853569</v>
      </c>
      <c r="F1968">
        <v>1919.963594875415</v>
      </c>
      <c r="G1968">
        <v>0.1501833546818039</v>
      </c>
    </row>
    <row r="1969" spans="1:7">
      <c r="A1969" t="s">
        <v>137</v>
      </c>
      <c r="B1969">
        <v>5</v>
      </c>
      <c r="C1969">
        <v>58.9690600945008</v>
      </c>
      <c r="D1969">
        <v>21.67484397160287</v>
      </c>
      <c r="E1969">
        <v>863.4903356538565</v>
      </c>
      <c r="F1969">
        <v>1921.988269650343</v>
      </c>
      <c r="G1969">
        <v>0.1498485771052569</v>
      </c>
    </row>
    <row r="1970" spans="1:7">
      <c r="A1970" t="s">
        <v>137</v>
      </c>
      <c r="B1970">
        <v>5</v>
      </c>
      <c r="C1970">
        <v>59.12160408549755</v>
      </c>
      <c r="D1970">
        <v>21.69767684240275</v>
      </c>
      <c r="E1970">
        <v>866.7984463187338</v>
      </c>
      <c r="F1970">
        <v>1924.012944425271</v>
      </c>
      <c r="G1970">
        <v>0.1495129297523087</v>
      </c>
    </row>
    <row r="1971" spans="1:7">
      <c r="A1971" t="s">
        <v>137</v>
      </c>
      <c r="B1971">
        <v>5</v>
      </c>
      <c r="C1971">
        <v>59.2744913602882</v>
      </c>
      <c r="D1971">
        <v>21.72050971320262</v>
      </c>
      <c r="E1971">
        <v>870.117492394632</v>
      </c>
      <c r="F1971">
        <v>1926.037619200199</v>
      </c>
      <c r="G1971">
        <v>0.1491764126229597</v>
      </c>
    </row>
    <row r="1972" spans="1:7">
      <c r="A1972" t="s">
        <v>137</v>
      </c>
      <c r="B1972">
        <v>5</v>
      </c>
      <c r="C1972">
        <v>59.42772436184993</v>
      </c>
      <c r="D1972">
        <v>21.7433425840025</v>
      </c>
      <c r="E1972">
        <v>873.4475426485885</v>
      </c>
      <c r="F1972">
        <v>1928.062293975127</v>
      </c>
      <c r="G1972">
        <v>0.1488390257172097</v>
      </c>
    </row>
    <row r="1973" spans="1:7">
      <c r="A1973" t="s">
        <v>137</v>
      </c>
      <c r="B1973">
        <v>5</v>
      </c>
      <c r="C1973">
        <v>59.58130555583869</v>
      </c>
      <c r="D1973">
        <v>21.76617545480237</v>
      </c>
      <c r="E1973">
        <v>876.7886665083541</v>
      </c>
      <c r="F1973">
        <v>1930.086968750054</v>
      </c>
      <c r="G1973">
        <v>0.1485007690350587</v>
      </c>
    </row>
    <row r="1974" spans="1:7">
      <c r="A1974" t="s">
        <v>137</v>
      </c>
      <c r="B1974">
        <v>5</v>
      </c>
      <c r="C1974">
        <v>59.73523743088231</v>
      </c>
      <c r="D1974">
        <v>21.78900832560225</v>
      </c>
      <c r="E1974">
        <v>880.1409340708473</v>
      </c>
      <c r="F1974">
        <v>1932.111643524982</v>
      </c>
      <c r="G1974">
        <v>0.1481616425765069</v>
      </c>
    </row>
    <row r="1975" spans="1:7">
      <c r="A1975" t="s">
        <v>137</v>
      </c>
      <c r="B1975">
        <v>5</v>
      </c>
      <c r="C1975">
        <v>59.88952249887829</v>
      </c>
      <c r="D1975">
        <v>21.81184119640212</v>
      </c>
      <c r="E1975">
        <v>883.5044161107446</v>
      </c>
      <c r="F1975">
        <v>1934.136318299911</v>
      </c>
      <c r="G1975">
        <v>0.1478216463415535</v>
      </c>
    </row>
    <row r="1976" spans="1:7">
      <c r="A1976" t="s">
        <v>137</v>
      </c>
      <c r="B1976">
        <v>5</v>
      </c>
      <c r="C1976">
        <v>60.04416329529629</v>
      </c>
      <c r="D1976">
        <v>21.834674067202</v>
      </c>
      <c r="E1976">
        <v>886.8791840892072</v>
      </c>
      <c r="F1976">
        <v>1936.160993074838</v>
      </c>
      <c r="G1976">
        <v>0.1474807803301997</v>
      </c>
    </row>
    <row r="1977" spans="1:7">
      <c r="A1977" t="s">
        <v>137</v>
      </c>
      <c r="B1977">
        <v>5</v>
      </c>
      <c r="C1977">
        <v>60.19916237948571</v>
      </c>
      <c r="D1977">
        <v>21.85750693800187</v>
      </c>
      <c r="E1977">
        <v>890.2653101627533</v>
      </c>
      <c r="F1977">
        <v>1938.185667849766</v>
      </c>
      <c r="G1977">
        <v>0.1471390445424446</v>
      </c>
    </row>
    <row r="1978" spans="1:7">
      <c r="A1978" t="s">
        <v>137</v>
      </c>
      <c r="B1978">
        <v>5</v>
      </c>
      <c r="C1978">
        <v>60.35452233498805</v>
      </c>
      <c r="D1978">
        <v>21.88033980880175</v>
      </c>
      <c r="E1978">
        <v>893.6628671922697</v>
      </c>
      <c r="F1978">
        <v>1940.210342624694</v>
      </c>
      <c r="G1978">
        <v>0.1467964389782885</v>
      </c>
    </row>
    <row r="1979" spans="1:7">
      <c r="A1979" t="s">
        <v>137</v>
      </c>
      <c r="B1979">
        <v>5</v>
      </c>
      <c r="C1979">
        <v>60.51024576985435</v>
      </c>
      <c r="D1979">
        <v>21.90317267960162</v>
      </c>
      <c r="E1979">
        <v>897.0719287521707</v>
      </c>
      <c r="F1979">
        <v>1942.235017399622</v>
      </c>
      <c r="G1979">
        <v>0.1464529636377315</v>
      </c>
    </row>
    <row r="1980" spans="1:7">
      <c r="A1980" t="s">
        <v>137</v>
      </c>
      <c r="B1980">
        <v>5</v>
      </c>
      <c r="C1980">
        <v>60.66633531696796</v>
      </c>
      <c r="D1980">
        <v>21.9260055504015</v>
      </c>
      <c r="E1980">
        <v>900.4925691397108</v>
      </c>
      <c r="F1980">
        <v>1944.25969217455</v>
      </c>
      <c r="G1980">
        <v>0.1461086185207735</v>
      </c>
    </row>
    <row r="1981" spans="1:7">
      <c r="A1981" t="s">
        <v>137</v>
      </c>
      <c r="B1981">
        <v>5</v>
      </c>
      <c r="C1981">
        <v>60.8227936343724</v>
      </c>
      <c r="D1981">
        <v>21.94883842120137</v>
      </c>
      <c r="E1981">
        <v>903.9248633844442</v>
      </c>
      <c r="F1981">
        <v>1946.284366949478</v>
      </c>
      <c r="G1981">
        <v>0.1457634036274144</v>
      </c>
    </row>
    <row r="1982" spans="1:7">
      <c r="A1982" t="s">
        <v>137</v>
      </c>
      <c r="B1982">
        <v>5</v>
      </c>
      <c r="C1982">
        <v>60.97962340560473</v>
      </c>
      <c r="D1982">
        <v>21.97167129200125</v>
      </c>
      <c r="E1982">
        <v>907.3688872578435</v>
      </c>
      <c r="F1982">
        <v>1948.309041724405</v>
      </c>
      <c r="G1982">
        <v>0.1454173189576545</v>
      </c>
    </row>
    <row r="1983" spans="1:7">
      <c r="A1983" t="s">
        <v>137</v>
      </c>
      <c r="B1983">
        <v>5</v>
      </c>
      <c r="C1983">
        <v>61.1368273400343</v>
      </c>
      <c r="D1983">
        <v>21.99450416280112</v>
      </c>
      <c r="E1983">
        <v>910.8247172830764</v>
      </c>
      <c r="F1983">
        <v>1950.333716499333</v>
      </c>
      <c r="G1983">
        <v>0.1450703645114935</v>
      </c>
    </row>
    <row r="1984" spans="1:7">
      <c r="A1984" t="s">
        <v>137</v>
      </c>
      <c r="B1984">
        <v>5</v>
      </c>
      <c r="C1984">
        <v>61.29440817320712</v>
      </c>
      <c r="D1984">
        <v>22.017337033601</v>
      </c>
      <c r="E1984">
        <v>914.292430744941</v>
      </c>
      <c r="F1984">
        <v>1952.358391274261</v>
      </c>
      <c r="G1984">
        <v>0.1447225402889315</v>
      </c>
    </row>
    <row r="1985" spans="1:7">
      <c r="A1985" t="s">
        <v>137</v>
      </c>
      <c r="B1985">
        <v>5</v>
      </c>
      <c r="C1985">
        <v>61.45236866719605</v>
      </c>
      <c r="D1985">
        <v>22.04016990440087</v>
      </c>
      <c r="E1985">
        <v>917.7721056999726</v>
      </c>
      <c r="F1985">
        <v>1954.383066049189</v>
      </c>
      <c r="G1985">
        <v>0.1443738462899684</v>
      </c>
    </row>
    <row r="1986" spans="1:7">
      <c r="A1986" t="s">
        <v>137</v>
      </c>
      <c r="B1986">
        <v>5</v>
      </c>
      <c r="C1986">
        <v>61.61071161095663</v>
      </c>
      <c r="D1986">
        <v>22.06300277520075</v>
      </c>
      <c r="E1986">
        <v>921.2638209867125</v>
      </c>
      <c r="F1986">
        <v>1956.407740824117</v>
      </c>
      <c r="G1986">
        <v>0.1440242825146042</v>
      </c>
    </row>
    <row r="1987" spans="1:7">
      <c r="A1987" t="s">
        <v>137</v>
      </c>
      <c r="B1987">
        <v>5</v>
      </c>
      <c r="C1987">
        <v>61.7694398206889</v>
      </c>
      <c r="D1987">
        <v>22.08583564600062</v>
      </c>
      <c r="E1987">
        <v>924.7676562361497</v>
      </c>
      <c r="F1987">
        <v>1958.432415599045</v>
      </c>
      <c r="G1987">
        <v>0.1436738489628392</v>
      </c>
    </row>
    <row r="1988" spans="1:7">
      <c r="A1988" t="s">
        <v>137</v>
      </c>
      <c r="B1988">
        <v>5</v>
      </c>
      <c r="C1988">
        <v>61.92855614020539</v>
      </c>
      <c r="D1988">
        <v>22.1086685168005</v>
      </c>
      <c r="E1988">
        <v>928.2836918823416</v>
      </c>
      <c r="F1988">
        <v>1960.457090373973</v>
      </c>
      <c r="G1988">
        <v>0.1433225456346731</v>
      </c>
    </row>
    <row r="1989" spans="1:7">
      <c r="A1989" t="s">
        <v>137</v>
      </c>
      <c r="B1989">
        <v>5</v>
      </c>
      <c r="C1989">
        <v>62.08806344130512</v>
      </c>
      <c r="D1989">
        <v>22.13150138760037</v>
      </c>
      <c r="E1989">
        <v>931.8120091732085</v>
      </c>
      <c r="F1989">
        <v>1962.4817651489</v>
      </c>
      <c r="G1989">
        <v>0.142970372530106</v>
      </c>
    </row>
    <row r="1990" spans="1:7">
      <c r="A1990" t="s">
        <v>137</v>
      </c>
      <c r="B1990">
        <v>5</v>
      </c>
      <c r="C1990">
        <v>62.247964624154</v>
      </c>
      <c r="D1990">
        <v>22.15433425840025</v>
      </c>
      <c r="E1990">
        <v>935.3526901815126</v>
      </c>
      <c r="F1990">
        <v>1964.506439923828</v>
      </c>
      <c r="G1990">
        <v>0.142617329649138</v>
      </c>
    </row>
    <row r="1991" spans="1:7">
      <c r="A1991" t="s">
        <v>137</v>
      </c>
      <c r="B1991">
        <v>5</v>
      </c>
      <c r="C1991">
        <v>62.40826261767162</v>
      </c>
      <c r="D1991">
        <v>22.17716712920013</v>
      </c>
      <c r="E1991">
        <v>938.9058178160232</v>
      </c>
      <c r="F1991">
        <v>1966.531114698756</v>
      </c>
      <c r="G1991">
        <v>0.1422634169917689</v>
      </c>
    </row>
    <row r="1992" spans="1:7">
      <c r="A1992" t="s">
        <v>137</v>
      </c>
      <c r="B1992">
        <v>5</v>
      </c>
      <c r="C1992">
        <v>62.56896037983638</v>
      </c>
      <c r="D1992">
        <v>22.2</v>
      </c>
      <c r="E1992">
        <v>942.4714758309107</v>
      </c>
      <c r="F1992">
        <v>1968.555789473684</v>
      </c>
      <c r="G1992">
        <v>0.1419086347135717</v>
      </c>
    </row>
    <row r="1993" spans="1:7">
      <c r="A1993" t="s">
        <v>137</v>
      </c>
      <c r="B1993">
        <v>5</v>
      </c>
      <c r="C1993">
        <v>62.80384428113886</v>
      </c>
      <c r="D1993">
        <v>22.22295555555555</v>
      </c>
      <c r="E1993">
        <v>947.6886005711241</v>
      </c>
      <c r="F1993">
        <v>1970.591343157895</v>
      </c>
      <c r="G1993">
        <v>0.09750775826592174</v>
      </c>
    </row>
    <row r="1994" spans="1:7">
      <c r="A1994" t="s">
        <v>137</v>
      </c>
      <c r="B1994">
        <v>5</v>
      </c>
      <c r="C1994">
        <v>63.0398122715651</v>
      </c>
      <c r="D1994">
        <v>22.24591111111111</v>
      </c>
      <c r="E1994">
        <v>952.9352213799154</v>
      </c>
      <c r="F1994">
        <v>1972.626896842105</v>
      </c>
      <c r="G1994">
        <v>0.09705827610809588</v>
      </c>
    </row>
    <row r="1995" spans="1:7">
      <c r="A1995" t="s">
        <v>137</v>
      </c>
      <c r="B1995">
        <v>5</v>
      </c>
      <c r="C1995">
        <v>63.27687678735359</v>
      </c>
      <c r="D1995">
        <v>22.26886666666667</v>
      </c>
      <c r="E1995">
        <v>958.2116648283918</v>
      </c>
      <c r="F1995">
        <v>1974.662450526316</v>
      </c>
      <c r="G1995">
        <v>0.09660782081179416</v>
      </c>
    </row>
    <row r="1996" spans="1:7">
      <c r="A1996" t="s">
        <v>137</v>
      </c>
      <c r="B1996">
        <v>5</v>
      </c>
      <c r="C1996">
        <v>63.51505047190587</v>
      </c>
      <c r="D1996">
        <v>22.29182222222222</v>
      </c>
      <c r="E1996">
        <v>963.5182629597957</v>
      </c>
      <c r="F1996">
        <v>1976.698004210527</v>
      </c>
      <c r="G1996">
        <v>0.09615639237701681</v>
      </c>
    </row>
    <row r="1997" spans="1:7">
      <c r="A1997" t="s">
        <v>137</v>
      </c>
      <c r="B1997">
        <v>5</v>
      </c>
      <c r="C1997">
        <v>63.7543461806854</v>
      </c>
      <c r="D1997">
        <v>22.31477777777778</v>
      </c>
      <c r="E1997">
        <v>968.8553534177862</v>
      </c>
      <c r="F1997">
        <v>1978.733557894737</v>
      </c>
      <c r="G1997">
        <v>0.09570399080376335</v>
      </c>
    </row>
    <row r="1998" spans="1:7">
      <c r="A1998" t="s">
        <v>137</v>
      </c>
      <c r="B1998">
        <v>5</v>
      </c>
      <c r="C1998">
        <v>63.99477698601439</v>
      </c>
      <c r="D1998">
        <v>22.33773333333333</v>
      </c>
      <c r="E1998">
        <v>974.2232795730073</v>
      </c>
      <c r="F1998">
        <v>1980.769111578947</v>
      </c>
      <c r="G1998">
        <v>0.09525061609203425</v>
      </c>
    </row>
    <row r="1999" spans="1:7">
      <c r="A1999" t="s">
        <v>137</v>
      </c>
      <c r="B1999">
        <v>5</v>
      </c>
      <c r="C1999">
        <v>64.23635618200714</v>
      </c>
      <c r="D1999">
        <v>22.36068888888889</v>
      </c>
      <c r="E1999">
        <v>979.6223906532566</v>
      </c>
      <c r="F1999">
        <v>1982.804665263158</v>
      </c>
      <c r="G1999">
        <v>0.09479626824182916</v>
      </c>
    </row>
    <row r="2000" spans="1:7">
      <c r="A2000" t="s">
        <v>137</v>
      </c>
      <c r="B2000">
        <v>5</v>
      </c>
      <c r="C2000">
        <v>64.47909728964423</v>
      </c>
      <c r="D2000">
        <v>22.38364444444444</v>
      </c>
      <c r="E2000">
        <v>985.0530418773734</v>
      </c>
      <c r="F2000">
        <v>1984.840218947368</v>
      </c>
      <c r="G2000">
        <v>0.09434094725314832</v>
      </c>
    </row>
    <row r="2001" spans="1:7">
      <c r="A2001" t="s">
        <v>137</v>
      </c>
      <c r="B2001">
        <v>5</v>
      </c>
      <c r="C2001">
        <v>64.72301406199261</v>
      </c>
      <c r="D2001">
        <v>22.4066</v>
      </c>
      <c r="E2001">
        <v>990.5155945929752</v>
      </c>
      <c r="F2001">
        <v>1986.875772631579</v>
      </c>
      <c r="G2001">
        <v>0.09388465312599184</v>
      </c>
    </row>
    <row r="2002" spans="1:7">
      <c r="A2002" t="s">
        <v>137</v>
      </c>
      <c r="B2002">
        <v>5</v>
      </c>
      <c r="C2002">
        <v>64.96812048957645</v>
      </c>
      <c r="D2002">
        <v>22.42955555555556</v>
      </c>
      <c r="E2002">
        <v>996.0104164181716</v>
      </c>
      <c r="F2002">
        <v>1988.911326315789</v>
      </c>
      <c r="G2002">
        <v>0.0934273858603592</v>
      </c>
    </row>
    <row r="2003" spans="1:7">
      <c r="A2003" t="s">
        <v>137</v>
      </c>
      <c r="B2003">
        <v>5</v>
      </c>
      <c r="C2003">
        <v>65.21443080590433</v>
      </c>
      <c r="D2003">
        <v>22.45251111111111</v>
      </c>
      <c r="E2003">
        <v>1001.537881387408</v>
      </c>
      <c r="F2003">
        <v>1990.94688</v>
      </c>
      <c r="G2003">
        <v>0.09296914545625065</v>
      </c>
    </row>
    <row r="2004" spans="1:7">
      <c r="A2004" t="s">
        <v>137</v>
      </c>
      <c r="B2004">
        <v>5</v>
      </c>
      <c r="C2004">
        <v>65.46195949315783</v>
      </c>
      <c r="D2004">
        <v>22.47546666666667</v>
      </c>
      <c r="E2004">
        <v>1007.098370101564</v>
      </c>
      <c r="F2004">
        <v>1992.98243368421</v>
      </c>
      <c r="G2004">
        <v>0.09250993191366648</v>
      </c>
    </row>
    <row r="2005" spans="1:7">
      <c r="A2005" t="s">
        <v>137</v>
      </c>
      <c r="B2005">
        <v>5</v>
      </c>
      <c r="C2005">
        <v>65.71072128804762</v>
      </c>
      <c r="D2005">
        <v>22.49842222222222</v>
      </c>
      <c r="E2005">
        <v>1012.692269882475</v>
      </c>
      <c r="F2005">
        <v>1995.017987368421</v>
      </c>
      <c r="G2005">
        <v>0.09204974523260651</v>
      </c>
    </row>
    <row r="2006" spans="1:7">
      <c r="A2006" t="s">
        <v>137</v>
      </c>
      <c r="B2006">
        <v>5</v>
      </c>
      <c r="C2006">
        <v>65.96073118784268</v>
      </c>
      <c r="D2006">
        <v>22.52137777777778</v>
      </c>
      <c r="E2006">
        <v>1018.319974932019</v>
      </c>
      <c r="F2006">
        <v>1997.053541052631</v>
      </c>
      <c r="G2006">
        <v>0.09158858541307058</v>
      </c>
    </row>
    <row r="2007" spans="1:7">
      <c r="A2007" t="s">
        <v>137</v>
      </c>
      <c r="B2007">
        <v>5</v>
      </c>
      <c r="C2007">
        <v>66.21200445657911</v>
      </c>
      <c r="D2007">
        <v>22.54433333333333</v>
      </c>
      <c r="E2007">
        <v>1023.98188649595</v>
      </c>
      <c r="F2007">
        <v>1999.089094736842</v>
      </c>
      <c r="G2007">
        <v>0.09112645245505875</v>
      </c>
    </row>
    <row r="2008" spans="1:7">
      <c r="A2008" t="s">
        <v>137</v>
      </c>
      <c r="B2008">
        <v>5</v>
      </c>
      <c r="C2008">
        <v>66.46455663145464</v>
      </c>
      <c r="D2008">
        <v>22.56728888888889</v>
      </c>
      <c r="E2008">
        <v>1029.678413032622</v>
      </c>
      <c r="F2008">
        <v>2001.124648421053</v>
      </c>
      <c r="G2008">
        <v>0.09066334635857114</v>
      </c>
    </row>
    <row r="2009" spans="1:7">
      <c r="A2009" t="s">
        <v>137</v>
      </c>
      <c r="B2009">
        <v>5</v>
      </c>
      <c r="C2009">
        <v>66.71840352941614</v>
      </c>
      <c r="D2009">
        <v>22.59024444444444</v>
      </c>
      <c r="E2009">
        <v>1035.409970386816</v>
      </c>
      <c r="F2009">
        <v>2003.160202105263</v>
      </c>
      <c r="G2009">
        <v>0.09019926712360768</v>
      </c>
    </row>
    <row r="2010" spans="1:7">
      <c r="A2010" t="s">
        <v>137</v>
      </c>
      <c r="B2010">
        <v>5</v>
      </c>
      <c r="C2010">
        <v>66.97356125394634</v>
      </c>
      <c r="D2010">
        <v>22.6132</v>
      </c>
      <c r="E2010">
        <v>1041.176981968814</v>
      </c>
      <c r="F2010">
        <v>2005.195755789474</v>
      </c>
      <c r="G2010">
        <v>0.08973421475016852</v>
      </c>
    </row>
    <row r="2011" spans="1:7">
      <c r="A2011" t="s">
        <v>137</v>
      </c>
      <c r="B2011">
        <v>5</v>
      </c>
      <c r="C2011">
        <v>67.23004620205781</v>
      </c>
      <c r="D2011">
        <v>22.63615555555555</v>
      </c>
      <c r="E2011">
        <v>1046.979878938951</v>
      </c>
      <c r="F2011">
        <v>2007.231309473684</v>
      </c>
      <c r="G2011">
        <v>0.08926818923825332</v>
      </c>
    </row>
    <row r="2012" spans="1:7">
      <c r="A2012" t="s">
        <v>137</v>
      </c>
      <c r="B2012">
        <v>5</v>
      </c>
      <c r="C2012">
        <v>67.48787507150124</v>
      </c>
      <c r="D2012">
        <v>22.65911111111111</v>
      </c>
      <c r="E2012">
        <v>1052.819100397819</v>
      </c>
      <c r="F2012">
        <v>2009.266863157895</v>
      </c>
      <c r="G2012">
        <v>0.0888011905878623</v>
      </c>
    </row>
    <row r="2013" spans="1:7">
      <c r="A2013" t="s">
        <v>137</v>
      </c>
      <c r="B2013">
        <v>5</v>
      </c>
      <c r="C2013">
        <v>67.74706486819652</v>
      </c>
      <c r="D2013">
        <v>22.68206666666667</v>
      </c>
      <c r="E2013">
        <v>1058.695093582348</v>
      </c>
      <c r="F2013">
        <v>2011.302416842105</v>
      </c>
      <c r="G2013">
        <v>0.0883332187989955</v>
      </c>
    </row>
    <row r="2014" spans="1:7">
      <c r="A2014" t="s">
        <v>137</v>
      </c>
      <c r="B2014">
        <v>5</v>
      </c>
      <c r="C2014">
        <v>68.00763291389423</v>
      </c>
      <c r="D2014">
        <v>22.70502222222222</v>
      </c>
      <c r="E2014">
        <v>1064.608314067971</v>
      </c>
      <c r="F2014">
        <v>2013.337970526316</v>
      </c>
      <c r="G2014">
        <v>0.08786427387165281</v>
      </c>
    </row>
    <row r="2015" spans="1:7">
      <c r="A2015" t="s">
        <v>137</v>
      </c>
      <c r="B2015">
        <v>5</v>
      </c>
      <c r="C2015">
        <v>68.26959685407708</v>
      </c>
      <c r="D2015">
        <v>22.72797777777778</v>
      </c>
      <c r="E2015">
        <v>1070.559225977121</v>
      </c>
      <c r="F2015">
        <v>2015.373524210526</v>
      </c>
      <c r="G2015">
        <v>0.08739435580583442</v>
      </c>
    </row>
    <row r="2016" spans="1:7">
      <c r="A2016" t="s">
        <v>137</v>
      </c>
      <c r="B2016">
        <v>5</v>
      </c>
      <c r="C2016">
        <v>68.53297466610944</v>
      </c>
      <c r="D2016">
        <v>22.75093333333333</v>
      </c>
      <c r="E2016">
        <v>1076.548302194271</v>
      </c>
      <c r="F2016">
        <v>2017.409077894737</v>
      </c>
      <c r="G2016">
        <v>0.08692346460154009</v>
      </c>
    </row>
    <row r="2017" spans="1:7">
      <c r="A2017" t="s">
        <v>137</v>
      </c>
      <c r="B2017">
        <v>5</v>
      </c>
      <c r="C2017">
        <v>68.79778466764493</v>
      </c>
      <c r="D2017">
        <v>22.77388888888889</v>
      </c>
      <c r="E2017">
        <v>1082.576024587788</v>
      </c>
      <c r="F2017">
        <v>2019.444631578947</v>
      </c>
      <c r="G2017">
        <v>0.08645160025876979</v>
      </c>
    </row>
    <row r="2018" spans="1:7">
      <c r="A2018" t="s">
        <v>137</v>
      </c>
      <c r="B2018">
        <v>5</v>
      </c>
      <c r="C2018">
        <v>69.06404552530188</v>
      </c>
      <c r="D2018">
        <v>22.79684444444444</v>
      </c>
      <c r="E2018">
        <v>1088.642884238855</v>
      </c>
      <c r="F2018">
        <v>2021.480185263158</v>
      </c>
      <c r="G2018">
        <v>0.08597876277752396</v>
      </c>
    </row>
    <row r="2019" spans="1:7">
      <c r="A2019" t="s">
        <v>137</v>
      </c>
      <c r="B2019">
        <v>5</v>
      </c>
      <c r="C2019">
        <v>69.33177626361682</v>
      </c>
      <c r="D2019">
        <v>22.8198</v>
      </c>
      <c r="E2019">
        <v>1094.749381677727</v>
      </c>
      <c r="F2019">
        <v>2023.515738947369</v>
      </c>
      <c r="G2019">
        <v>0.08550495215780188</v>
      </c>
    </row>
    <row r="2020" spans="1:7">
      <c r="A2020" t="s">
        <v>137</v>
      </c>
      <c r="B2020">
        <v>5</v>
      </c>
      <c r="C2020">
        <v>69.60099627428671</v>
      </c>
      <c r="D2020">
        <v>22.84275555555556</v>
      </c>
      <c r="E2020">
        <v>1100.896027127613</v>
      </c>
      <c r="F2020">
        <v>2025.551292631579</v>
      </c>
      <c r="G2020">
        <v>0.08503016839960431</v>
      </c>
    </row>
    <row r="2021" spans="1:7">
      <c r="A2021" t="s">
        <v>137</v>
      </c>
      <c r="B2021">
        <v>5</v>
      </c>
      <c r="C2021">
        <v>69.87172532571167</v>
      </c>
      <c r="D2021">
        <v>22.86571111111111</v>
      </c>
      <c r="E2021">
        <v>1107.08334075648</v>
      </c>
      <c r="F2021">
        <v>2027.586846315789</v>
      </c>
      <c r="G2021">
        <v>0.08455441150293073</v>
      </c>
    </row>
    <row r="2022" spans="1:7">
      <c r="A2022" t="s">
        <v>137</v>
      </c>
      <c r="B2022">
        <v>5</v>
      </c>
      <c r="C2022">
        <v>70.14398357284911</v>
      </c>
      <c r="D2022">
        <v>22.88866666666667</v>
      </c>
      <c r="E2022">
        <v>1113.311852937081</v>
      </c>
      <c r="F2022">
        <v>2029.6224</v>
      </c>
      <c r="G2022">
        <v>0.0840776814677812</v>
      </c>
    </row>
    <row r="2023" spans="1:7">
      <c r="A2023" t="s">
        <v>137</v>
      </c>
      <c r="B2023">
        <v>5</v>
      </c>
      <c r="C2023">
        <v>70.41779156739246</v>
      </c>
      <c r="D2023">
        <v>22.91162222222222</v>
      </c>
      <c r="E2023">
        <v>1119.582104515544</v>
      </c>
      <c r="F2023">
        <v>2031.65795368421</v>
      </c>
      <c r="G2023">
        <v>0.0835999782941562</v>
      </c>
    </row>
    <row r="2024" spans="1:7">
      <c r="A2024" t="s">
        <v>137</v>
      </c>
      <c r="B2024">
        <v>5</v>
      </c>
      <c r="C2024">
        <v>70.69317026828675</v>
      </c>
      <c r="D2024">
        <v>22.93457777777778</v>
      </c>
      <c r="E2024">
        <v>1125.894647088856</v>
      </c>
      <c r="F2024">
        <v>2033.693507368421</v>
      </c>
      <c r="G2024">
        <v>0.08312130198205486</v>
      </c>
    </row>
    <row r="2025" spans="1:7">
      <c r="A2025" t="s">
        <v>137</v>
      </c>
      <c r="B2025">
        <v>5</v>
      </c>
      <c r="C2025">
        <v>70.97014105259495</v>
      </c>
      <c r="D2025">
        <v>22.95753333333333</v>
      </c>
      <c r="E2025">
        <v>1132.250043291595</v>
      </c>
      <c r="F2025">
        <v>2035.729061052632</v>
      </c>
      <c r="G2025">
        <v>0.08264165253147795</v>
      </c>
    </row>
    <row r="2026" spans="1:7">
      <c r="A2026" t="s">
        <v>137</v>
      </c>
      <c r="B2026">
        <v>5</v>
      </c>
      <c r="C2026">
        <v>71.24872572672872</v>
      </c>
      <c r="D2026">
        <v>22.98048888888889</v>
      </c>
      <c r="E2026">
        <v>1138.64886709229</v>
      </c>
      <c r="F2026">
        <v>2037.764614736842</v>
      </c>
      <c r="G2026">
        <v>0.08216102994242526</v>
      </c>
    </row>
    <row r="2027" spans="1:7">
      <c r="A2027" t="s">
        <v>137</v>
      </c>
      <c r="B2027">
        <v>5</v>
      </c>
      <c r="C2027">
        <v>71.52894653805912</v>
      </c>
      <c r="D2027">
        <v>23.00344444444444</v>
      </c>
      <c r="E2027">
        <v>1145.091704099793</v>
      </c>
      <c r="F2027">
        <v>2039.800168421053</v>
      </c>
      <c r="G2027">
        <v>0.08167943421489665</v>
      </c>
    </row>
    <row r="2028" spans="1:7">
      <c r="A2028" t="s">
        <v>137</v>
      </c>
      <c r="B2028">
        <v>5</v>
      </c>
      <c r="C2028">
        <v>71.8108261869218</v>
      </c>
      <c r="D2028">
        <v>23.0264</v>
      </c>
      <c r="E2028">
        <v>1151.579151880075</v>
      </c>
      <c r="F2028">
        <v>2041.835722105263</v>
      </c>
      <c r="G2028">
        <v>0.0811968653488922</v>
      </c>
    </row>
    <row r="2029" spans="1:7">
      <c r="A2029" t="s">
        <v>137</v>
      </c>
      <c r="B2029">
        <v>5</v>
      </c>
      <c r="C2029">
        <v>72.09438783903376</v>
      </c>
      <c r="D2029">
        <v>23.04935555555555</v>
      </c>
      <c r="E2029">
        <v>1158.111820283874</v>
      </c>
      <c r="F2029">
        <v>2043.871275789473</v>
      </c>
      <c r="G2029">
        <v>0.08071332334441191</v>
      </c>
    </row>
    <row r="2030" spans="1:7">
      <c r="A2030" t="s">
        <v>137</v>
      </c>
      <c r="B2030">
        <v>5</v>
      </c>
      <c r="C2030">
        <v>72.37965513833812</v>
      </c>
      <c r="D2030">
        <v>23.07231111111111</v>
      </c>
      <c r="E2030">
        <v>1164.690331785643</v>
      </c>
      <c r="F2030">
        <v>2045.906829473684</v>
      </c>
      <c r="G2030">
        <v>0.08022880820145577</v>
      </c>
    </row>
    <row r="2031" spans="1:7">
      <c r="A2031" t="s">
        <v>137</v>
      </c>
      <c r="B2031">
        <v>5</v>
      </c>
      <c r="C2031">
        <v>72.66665222029521</v>
      </c>
      <c r="D2031">
        <v>23.09526666666667</v>
      </c>
      <c r="E2031">
        <v>1171.315321834268</v>
      </c>
      <c r="F2031">
        <v>2047.942383157895</v>
      </c>
      <c r="G2031">
        <v>0.07974331992002372</v>
      </c>
    </row>
    <row r="2032" spans="1:7">
      <c r="A2032" t="s">
        <v>137</v>
      </c>
      <c r="B2032">
        <v>5</v>
      </c>
      <c r="C2032">
        <v>72.95540372563805</v>
      </c>
      <c r="D2032">
        <v>23.11822222222222</v>
      </c>
      <c r="E2032">
        <v>1177.987439216055</v>
      </c>
      <c r="F2032">
        <v>2049.977936842105</v>
      </c>
      <c r="G2032">
        <v>0.07925685850011588</v>
      </c>
    </row>
    <row r="2033" spans="1:7">
      <c r="A2033" t="s">
        <v>137</v>
      </c>
      <c r="B2033">
        <v>5</v>
      </c>
      <c r="C2033">
        <v>73.24593481461291</v>
      </c>
      <c r="D2033">
        <v>23.14117777777778</v>
      </c>
      <c r="E2033">
        <v>1184.707346430501</v>
      </c>
      <c r="F2033">
        <v>2052.013490526316</v>
      </c>
      <c r="G2033">
        <v>0.07876942394173235</v>
      </c>
    </row>
    <row r="2034" spans="1:7">
      <c r="A2034" t="s">
        <v>137</v>
      </c>
      <c r="B2034">
        <v>5</v>
      </c>
      <c r="C2034">
        <v>73.53827118172433</v>
      </c>
      <c r="D2034">
        <v>23.16413333333333</v>
      </c>
      <c r="E2034">
        <v>1191.475720079391</v>
      </c>
      <c r="F2034">
        <v>2054.049044210527</v>
      </c>
      <c r="G2034">
        <v>0.07828101624487294</v>
      </c>
    </row>
    <row r="2035" spans="1:7">
      <c r="A2035" t="s">
        <v>137</v>
      </c>
      <c r="B2035">
        <v>5</v>
      </c>
      <c r="C2035">
        <v>73.8324390710072</v>
      </c>
      <c r="D2035">
        <v>23.18708888888889</v>
      </c>
      <c r="E2035">
        <v>1198.293251269795</v>
      </c>
      <c r="F2035">
        <v>2056.084597894737</v>
      </c>
      <c r="G2035">
        <v>0.07779163540953739</v>
      </c>
    </row>
    <row r="2036" spans="1:7">
      <c r="A2036" t="s">
        <v>137</v>
      </c>
      <c r="B2036">
        <v>5</v>
      </c>
      <c r="C2036">
        <v>74.1284652918482</v>
      </c>
      <c r="D2036">
        <v>23.21004444444444</v>
      </c>
      <c r="E2036">
        <v>1205.160646031565</v>
      </c>
      <c r="F2036">
        <v>2058.120151578947</v>
      </c>
      <c r="G2036">
        <v>0.07730128143572633</v>
      </c>
    </row>
    <row r="2037" spans="1:7">
      <c r="A2037" t="s">
        <v>137</v>
      </c>
      <c r="B2037">
        <v>5</v>
      </c>
      <c r="C2037">
        <v>74.42637723538066</v>
      </c>
      <c r="D2037">
        <v>23.233</v>
      </c>
      <c r="E2037">
        <v>1212.078625749966</v>
      </c>
      <c r="F2037">
        <v>2060.155705263158</v>
      </c>
      <c r="G2037">
        <v>0.07680995432343919</v>
      </c>
    </row>
    <row r="2038" spans="1:7">
      <c r="A2038" t="s">
        <v>137</v>
      </c>
      <c r="B2038">
        <v>5</v>
      </c>
      <c r="C2038">
        <v>74.72620289147766</v>
      </c>
      <c r="D2038">
        <v>23.25595555555556</v>
      </c>
      <c r="E2038">
        <v>1219.047927614092</v>
      </c>
      <c r="F2038">
        <v>2062.191258947368</v>
      </c>
      <c r="G2038">
        <v>0.07631765407267643</v>
      </c>
    </row>
    <row r="2039" spans="1:7">
      <c r="A2039" t="s">
        <v>137</v>
      </c>
      <c r="B2039">
        <v>5</v>
      </c>
      <c r="C2039">
        <v>75.0279708663705</v>
      </c>
      <c r="D2039">
        <v>23.27891111111111</v>
      </c>
      <c r="E2039">
        <v>1226.069305081779</v>
      </c>
      <c r="F2039">
        <v>2064.226812631579</v>
      </c>
      <c r="G2039">
        <v>0.07582438068343768</v>
      </c>
    </row>
    <row r="2040" spans="1:7">
      <c r="A2040" t="s">
        <v>137</v>
      </c>
      <c r="B2040">
        <v>5</v>
      </c>
      <c r="C2040">
        <v>75.33171040091931</v>
      </c>
      <c r="D2040">
        <v>23.30186666666667</v>
      </c>
      <c r="E2040">
        <v>1233.143528361741</v>
      </c>
      <c r="F2040">
        <v>2066.262366315789</v>
      </c>
      <c r="G2040">
        <v>0.07533013415572305</v>
      </c>
    </row>
    <row r="2041" spans="1:7">
      <c r="A2041" t="s">
        <v>137</v>
      </c>
      <c r="B2041">
        <v>5</v>
      </c>
      <c r="C2041">
        <v>75.63745138956587</v>
      </c>
      <c r="D2041">
        <v>23.32482222222222</v>
      </c>
      <c r="E2041">
        <v>1240.271384913698</v>
      </c>
      <c r="F2041">
        <v>2068.29792</v>
      </c>
      <c r="G2041">
        <v>0.07483491448953243</v>
      </c>
    </row>
    <row r="2042" spans="1:7">
      <c r="A2042" t="s">
        <v>137</v>
      </c>
      <c r="B2042">
        <v>5</v>
      </c>
      <c r="C2042">
        <v>75.94522439999899</v>
      </c>
      <c r="D2042">
        <v>23.34777777777778</v>
      </c>
      <c r="E2042">
        <v>1247.453679967308</v>
      </c>
      <c r="F2042">
        <v>2070.33347368421</v>
      </c>
      <c r="G2042">
        <v>0.07433872168486634</v>
      </c>
    </row>
    <row r="2043" spans="1:7">
      <c r="A2043" t="s">
        <v>137</v>
      </c>
      <c r="B2043">
        <v>5</v>
      </c>
      <c r="C2043">
        <v>76.25506069356503</v>
      </c>
      <c r="D2043">
        <v>23.37073333333333</v>
      </c>
      <c r="E2043">
        <v>1254.691237060769</v>
      </c>
      <c r="F2043">
        <v>2072.369027368421</v>
      </c>
      <c r="G2043">
        <v>0.07384155574172435</v>
      </c>
    </row>
    <row r="2044" spans="1:7">
      <c r="A2044" t="s">
        <v>137</v>
      </c>
      <c r="B2044">
        <v>5</v>
      </c>
      <c r="C2044">
        <v>76.56699224645737</v>
      </c>
      <c r="D2044">
        <v>23.39368888888889</v>
      </c>
      <c r="E2044">
        <v>1261.98489859997</v>
      </c>
      <c r="F2044">
        <v>2074.404581052631</v>
      </c>
      <c r="G2044">
        <v>0.07334341666010619</v>
      </c>
    </row>
    <row r="2045" spans="1:7">
      <c r="A2045" t="s">
        <v>137</v>
      </c>
      <c r="B2045">
        <v>5</v>
      </c>
      <c r="C2045">
        <v>76.88105177172157</v>
      </c>
      <c r="D2045">
        <v>23.41664444444444</v>
      </c>
      <c r="E2045">
        <v>1269.335526439171</v>
      </c>
      <c r="F2045">
        <v>2076.440134736842</v>
      </c>
      <c r="G2045">
        <v>0.07284430444001255</v>
      </c>
    </row>
    <row r="2046" spans="1:7">
      <c r="A2046" t="s">
        <v>137</v>
      </c>
      <c r="B2046">
        <v>5</v>
      </c>
      <c r="C2046">
        <v>77.1972727421131</v>
      </c>
      <c r="D2046">
        <v>23.4396</v>
      </c>
      <c r="E2046">
        <v>1276.744002484182</v>
      </c>
      <c r="F2046">
        <v>2078.475688421052</v>
      </c>
      <c r="G2046">
        <v>0.07234421908144296</v>
      </c>
    </row>
    <row r="2047" spans="1:7">
      <c r="A2047" t="s">
        <v>137</v>
      </c>
      <c r="B2047">
        <v>5</v>
      </c>
      <c r="C2047">
        <v>77.51568941384845</v>
      </c>
      <c r="D2047">
        <v>23.46255555555555</v>
      </c>
      <c r="E2047">
        <v>1284.211229319112</v>
      </c>
      <c r="F2047">
        <v>2080.511242105263</v>
      </c>
      <c r="G2047">
        <v>0.07184316058439758</v>
      </c>
    </row>
    <row r="2048" spans="1:7">
      <c r="A2048" t="s">
        <v>137</v>
      </c>
      <c r="B2048">
        <v>5</v>
      </c>
      <c r="C2048">
        <v>77.83633685129149</v>
      </c>
      <c r="D2048">
        <v>23.48551111111111</v>
      </c>
      <c r="E2048">
        <v>1291.738130857808</v>
      </c>
      <c r="F2048">
        <v>2082.546795789473</v>
      </c>
      <c r="G2048">
        <v>0.07134112894887625</v>
      </c>
    </row>
    <row r="2049" spans="1:7">
      <c r="A2049" t="s">
        <v>137</v>
      </c>
      <c r="B2049">
        <v>5</v>
      </c>
      <c r="C2049">
        <v>78.15925095261977</v>
      </c>
      <c r="D2049">
        <v>23.50846666666667</v>
      </c>
      <c r="E2049">
        <v>1299.325653021139</v>
      </c>
      <c r="F2049">
        <v>2084.582349473684</v>
      </c>
      <c r="G2049">
        <v>0.07083812417487896</v>
      </c>
    </row>
    <row r="2050" spans="1:7">
      <c r="A2050" t="s">
        <v>137</v>
      </c>
      <c r="B2050">
        <v>5</v>
      </c>
      <c r="C2050">
        <v>78.48446847651738</v>
      </c>
      <c r="D2050">
        <v>23.53142222222222</v>
      </c>
      <c r="E2050">
        <v>1306.974764441387</v>
      </c>
      <c r="F2050">
        <v>2086.617903157895</v>
      </c>
      <c r="G2050">
        <v>0.07033414626240597</v>
      </c>
    </row>
    <row r="2051" spans="1:7">
      <c r="A2051" t="s">
        <v>137</v>
      </c>
      <c r="B2051">
        <v>5</v>
      </c>
      <c r="C2051">
        <v>78.81202706994503</v>
      </c>
      <c r="D2051">
        <v>23.55437777777778</v>
      </c>
      <c r="E2051">
        <v>1314.686457195054</v>
      </c>
      <c r="F2051">
        <v>2088.653456842105</v>
      </c>
      <c r="G2051">
        <v>0.0698291952114571</v>
      </c>
    </row>
    <row r="2052" spans="1:7">
      <c r="A2052" t="s">
        <v>137</v>
      </c>
      <c r="B2052">
        <v>5</v>
      </c>
      <c r="C2052">
        <v>79.14196529703874</v>
      </c>
      <c r="D2052">
        <v>23.57733333333333</v>
      </c>
      <c r="E2052">
        <v>1322.461747565448</v>
      </c>
      <c r="F2052">
        <v>2090.689010526316</v>
      </c>
      <c r="G2052">
        <v>0.06932327102203244</v>
      </c>
    </row>
    <row r="2053" spans="1:7">
      <c r="A2053" t="s">
        <v>137</v>
      </c>
      <c r="B2053">
        <v>5</v>
      </c>
      <c r="C2053">
        <v>79.47432266919338</v>
      </c>
      <c r="D2053">
        <v>23.60028888888889</v>
      </c>
      <c r="E2053">
        <v>1330.301676836551</v>
      </c>
      <c r="F2053">
        <v>2092.724564210526</v>
      </c>
      <c r="G2053">
        <v>0.06881637369413207</v>
      </c>
    </row>
    <row r="2054" spans="1:7">
      <c r="A2054" t="s">
        <v>137</v>
      </c>
      <c r="B2054">
        <v>5</v>
      </c>
      <c r="C2054">
        <v>79.8091396763898</v>
      </c>
      <c r="D2054">
        <v>23.62324444444444</v>
      </c>
      <c r="E2054">
        <v>1338.207312119687</v>
      </c>
      <c r="F2054">
        <v>2094.760117894737</v>
      </c>
      <c r="G2054">
        <v>0.06830850322775565</v>
      </c>
    </row>
    <row r="2055" spans="1:7">
      <c r="A2055" t="s">
        <v>137</v>
      </c>
      <c r="B2055">
        <v>5</v>
      </c>
      <c r="C2055">
        <v>80.14645781982743</v>
      </c>
      <c r="D2055">
        <v>23.6462</v>
      </c>
      <c r="E2055">
        <v>1346.179747214654</v>
      </c>
      <c r="F2055">
        <v>2096.795671578947</v>
      </c>
      <c r="G2055">
        <v>0.06779965962290355</v>
      </c>
    </row>
    <row r="2056" spans="1:7">
      <c r="A2056" t="s">
        <v>137</v>
      </c>
      <c r="B2056">
        <v>5</v>
      </c>
      <c r="C2056">
        <v>80.4863196459283</v>
      </c>
      <c r="D2056">
        <v>23.66915555555556</v>
      </c>
      <c r="E2056">
        <v>1354.220103507037</v>
      </c>
      <c r="F2056">
        <v>2098.831225263158</v>
      </c>
      <c r="G2056">
        <v>0.06728984287957528</v>
      </c>
    </row>
    <row r="2057" spans="1:7">
      <c r="A2057" t="s">
        <v>137</v>
      </c>
      <c r="B2057">
        <v>5</v>
      </c>
      <c r="C2057">
        <v>80.82876878178274</v>
      </c>
      <c r="D2057">
        <v>23.69211111111111</v>
      </c>
      <c r="E2057">
        <v>1362.329530903568</v>
      </c>
      <c r="F2057">
        <v>2100.866778947368</v>
      </c>
      <c r="G2057">
        <v>0.06677905299777154</v>
      </c>
    </row>
    <row r="2058" spans="1:7">
      <c r="A2058" t="s">
        <v>137</v>
      </c>
      <c r="B2058">
        <v>5</v>
      </c>
      <c r="C2058">
        <v>81.17384997210975</v>
      </c>
      <c r="D2058">
        <v>23.71506666666667</v>
      </c>
      <c r="E2058">
        <v>1370.509208807459</v>
      </c>
      <c r="F2058">
        <v>2102.902332631579</v>
      </c>
      <c r="G2058">
        <v>0.06626728997749168</v>
      </c>
    </row>
    <row r="2059" spans="1:7">
      <c r="A2059" t="s">
        <v>137</v>
      </c>
      <c r="B2059">
        <v>5</v>
      </c>
      <c r="C2059">
        <v>81.52160911781125</v>
      </c>
      <c r="D2059">
        <v>23.73802222222222</v>
      </c>
      <c r="E2059">
        <v>1378.760347135793</v>
      </c>
      <c r="F2059">
        <v>2104.937886315789</v>
      </c>
      <c r="G2059">
        <v>0.06575455381873618</v>
      </c>
    </row>
    <row r="2060" spans="1:7">
      <c r="A2060" t="s">
        <v>137</v>
      </c>
      <c r="B2060">
        <v>5</v>
      </c>
      <c r="C2060">
        <v>81.87209331620301</v>
      </c>
      <c r="D2060">
        <v>23.76097777777778</v>
      </c>
      <c r="E2060">
        <v>1387.084187381162</v>
      </c>
      <c r="F2060">
        <v>2106.97344</v>
      </c>
      <c r="G2060">
        <v>0.06524084452150479</v>
      </c>
    </row>
    <row r="2061" spans="1:7">
      <c r="A2061" t="s">
        <v>137</v>
      </c>
      <c r="B2061">
        <v>5</v>
      </c>
      <c r="C2061">
        <v>82.22535090301066</v>
      </c>
      <c r="D2061">
        <v>23.78393333333333</v>
      </c>
      <c r="E2061">
        <v>1395.482003719882</v>
      </c>
      <c r="F2061">
        <v>2109.008993684211</v>
      </c>
      <c r="G2061">
        <v>0.06472616208579739</v>
      </c>
    </row>
    <row r="2062" spans="1:7">
      <c r="A2062" t="s">
        <v>137</v>
      </c>
      <c r="B2062">
        <v>5</v>
      </c>
      <c r="C2062">
        <v>82.58143149622424</v>
      </c>
      <c r="D2062">
        <v>23.80688888888889</v>
      </c>
      <c r="E2062">
        <v>1403.955104169255</v>
      </c>
      <c r="F2062">
        <v>2111.044547368421</v>
      </c>
      <c r="G2062">
        <v>0.06421050651161425</v>
      </c>
    </row>
    <row r="2063" spans="1:7">
      <c r="A2063" t="s">
        <v>137</v>
      </c>
      <c r="B2063">
        <v>5</v>
      </c>
      <c r="C2063">
        <v>82.94038604191159</v>
      </c>
      <c r="D2063">
        <v>23.82984444444444</v>
      </c>
      <c r="E2063">
        <v>1412.504831796523</v>
      </c>
      <c r="F2063">
        <v>2113.080101052631</v>
      </c>
      <c r="G2063">
        <v>0.06369387779895543</v>
      </c>
    </row>
    <row r="2064" spans="1:7">
      <c r="A2064" t="s">
        <v>137</v>
      </c>
      <c r="B2064">
        <v>5</v>
      </c>
      <c r="C2064">
        <v>83.30226686209565</v>
      </c>
      <c r="D2064">
        <v>23.8528</v>
      </c>
      <c r="E2064">
        <v>1421.132565982281</v>
      </c>
      <c r="F2064">
        <v>2115.115654736842</v>
      </c>
      <c r="G2064">
        <v>0.06317627594782042</v>
      </c>
    </row>
    <row r="2065" spans="1:7">
      <c r="A2065" t="s">
        <v>137</v>
      </c>
      <c r="B2065">
        <v>5</v>
      </c>
      <c r="C2065">
        <v>83.66712770480876</v>
      </c>
      <c r="D2065">
        <v>23.87575555555555</v>
      </c>
      <c r="E2065">
        <v>1429.839723741349</v>
      </c>
      <c r="F2065">
        <v>2117.151208421053</v>
      </c>
      <c r="G2065">
        <v>0.06265770095820991</v>
      </c>
    </row>
    <row r="2066" spans="1:7">
      <c r="A2066" t="s">
        <v>137</v>
      </c>
      <c r="B2066">
        <v>5</v>
      </c>
      <c r="C2066">
        <v>84.03502379644391</v>
      </c>
      <c r="D2066">
        <v>23.89871111111111</v>
      </c>
      <c r="E2066">
        <v>1438.627761104244</v>
      </c>
      <c r="F2066">
        <v>2119.186762105263</v>
      </c>
      <c r="G2066">
        <v>0.06213815283012338</v>
      </c>
    </row>
    <row r="2067" spans="1:7">
      <c r="A2067" t="s">
        <v>137</v>
      </c>
      <c r="B2067">
        <v>5</v>
      </c>
      <c r="C2067">
        <v>84.40601189653023</v>
      </c>
      <c r="D2067">
        <v>23.92166666666667</v>
      </c>
      <c r="E2067">
        <v>1447.498174562639</v>
      </c>
      <c r="F2067">
        <v>2121.222315789474</v>
      </c>
      <c r="G2067">
        <v>0.06161763156356106</v>
      </c>
    </row>
    <row r="2068" spans="1:7">
      <c r="A2068" t="s">
        <v>137</v>
      </c>
      <c r="B2068">
        <v>5</v>
      </c>
      <c r="C2068">
        <v>84.78015035506891</v>
      </c>
      <c r="D2068">
        <v>23.94462222222222</v>
      </c>
      <c r="E2068">
        <v>1456.45250258238</v>
      </c>
      <c r="F2068">
        <v>2123.257869473684</v>
      </c>
      <c r="G2068">
        <v>0.06109613715852273</v>
      </c>
    </row>
    <row r="2069" spans="1:7">
      <c r="A2069" t="s">
        <v>137</v>
      </c>
      <c r="B2069">
        <v>5</v>
      </c>
      <c r="C2069">
        <v>85.15749917257487</v>
      </c>
      <c r="D2069">
        <v>23.96757777777778</v>
      </c>
      <c r="E2069">
        <v>1465.492327187909</v>
      </c>
      <c r="F2069">
        <v>2125.293423157895</v>
      </c>
      <c r="G2069">
        <v>0.06057366961500887</v>
      </c>
    </row>
    <row r="2070" spans="1:7">
      <c r="A2070" t="s">
        <v>137</v>
      </c>
      <c r="B2070">
        <v>5</v>
      </c>
      <c r="C2070">
        <v>85.53812006297807</v>
      </c>
      <c r="D2070">
        <v>23.99053333333333</v>
      </c>
      <c r="E2070">
        <v>1474.619275622144</v>
      </c>
      <c r="F2070">
        <v>2127.328976842105</v>
      </c>
      <c r="G2070">
        <v>0.06005022893301912</v>
      </c>
    </row>
    <row r="2071" spans="1:7">
      <c r="A2071" t="s">
        <v>137</v>
      </c>
      <c r="B2071">
        <v>5</v>
      </c>
      <c r="C2071">
        <v>85.92207651955016</v>
      </c>
      <c r="D2071">
        <v>24.01348888888889</v>
      </c>
      <c r="E2071">
        <v>1483.835022086205</v>
      </c>
      <c r="F2071">
        <v>2129.364530526315</v>
      </c>
      <c r="G2071">
        <v>0.05952581511255341</v>
      </c>
    </row>
    <row r="2072" spans="1:7">
      <c r="A2072" t="s">
        <v>137</v>
      </c>
      <c r="B2072">
        <v>5</v>
      </c>
      <c r="C2072">
        <v>86.3094338840326</v>
      </c>
      <c r="D2072">
        <v>24.03644444444444</v>
      </c>
      <c r="E2072">
        <v>1493.141289563614</v>
      </c>
      <c r="F2072">
        <v>2131.400084210526</v>
      </c>
      <c r="G2072">
        <v>0.05900042815361191</v>
      </c>
    </row>
    <row r="2073" spans="1:7">
      <c r="A2073" t="s">
        <v>137</v>
      </c>
      <c r="B2073">
        <v>5</v>
      </c>
      <c r="C2073">
        <v>86.70025941915451</v>
      </c>
      <c r="D2073">
        <v>24.0594</v>
      </c>
      <c r="E2073">
        <v>1502.539851733945</v>
      </c>
      <c r="F2073">
        <v>2133.435637894737</v>
      </c>
      <c r="G2073">
        <v>0.05847406805619456</v>
      </c>
    </row>
    <row r="2074" spans="1:7">
      <c r="A2074" t="s">
        <v>137</v>
      </c>
      <c r="B2074">
        <v>5</v>
      </c>
      <c r="C2074">
        <v>87.09462238474156</v>
      </c>
      <c r="D2074">
        <v>24.08235555555556</v>
      </c>
      <c r="E2074">
        <v>1512.032534981252</v>
      </c>
      <c r="F2074">
        <v>2135.471191578947</v>
      </c>
      <c r="G2074">
        <v>0.05794673482030142</v>
      </c>
    </row>
    <row r="2075" spans="1:7">
      <c r="A2075" t="s">
        <v>137</v>
      </c>
      <c r="B2075">
        <v>5</v>
      </c>
      <c r="C2075">
        <v>87.49259411763231</v>
      </c>
      <c r="D2075">
        <v>24.10531111111111</v>
      </c>
      <c r="E2075">
        <v>1521.62122050295</v>
      </c>
      <c r="F2075">
        <v>2137.506745263158</v>
      </c>
      <c r="G2075">
        <v>0.05741842844593221</v>
      </c>
    </row>
    <row r="2076" spans="1:7">
      <c r="A2076" t="s">
        <v>137</v>
      </c>
      <c r="B2076">
        <v>5</v>
      </c>
      <c r="C2076">
        <v>87.89424811563151</v>
      </c>
      <c r="D2076">
        <v>24.12826666666666</v>
      </c>
      <c r="E2076">
        <v>1531.307846525245</v>
      </c>
      <c r="F2076">
        <v>2139.542298947368</v>
      </c>
      <c r="G2076">
        <v>0.05688914893308732</v>
      </c>
    </row>
    <row r="2077" spans="1:7">
      <c r="A2077" t="s">
        <v>137</v>
      </c>
      <c r="B2077">
        <v>5</v>
      </c>
      <c r="C2077">
        <v>88.2996601257487</v>
      </c>
      <c r="D2077">
        <v>24.15122222222222</v>
      </c>
      <c r="E2077">
        <v>1541.094410631641</v>
      </c>
      <c r="F2077">
        <v>2141.577852631579</v>
      </c>
      <c r="G2077">
        <v>0.05635889628176653</v>
      </c>
    </row>
    <row r="2078" spans="1:7">
      <c r="A2078" t="s">
        <v>137</v>
      </c>
      <c r="B2078">
        <v>5</v>
      </c>
      <c r="C2078">
        <v>88.70890823698673</v>
      </c>
      <c r="D2078">
        <v>24.17417777777777</v>
      </c>
      <c r="E2078">
        <v>1550.98297221151</v>
      </c>
      <c r="F2078">
        <v>2143.613406315789</v>
      </c>
      <c r="G2078">
        <v>0.05582767049197005</v>
      </c>
    </row>
    <row r="2079" spans="1:7">
      <c r="A2079" t="s">
        <v>137</v>
      </c>
      <c r="B2079">
        <v>5</v>
      </c>
      <c r="C2079">
        <v>89.12207297796506</v>
      </c>
      <c r="D2079">
        <v>24.19713333333333</v>
      </c>
      <c r="E2079">
        <v>1560.97565503626</v>
      </c>
      <c r="F2079">
        <v>2145.64896</v>
      </c>
      <c r="G2079">
        <v>0.05529547156369735</v>
      </c>
    </row>
    <row r="2080" spans="1:7">
      <c r="A2080" t="s">
        <v>137</v>
      </c>
      <c r="B2080">
        <v>5</v>
      </c>
      <c r="C2080">
        <v>89.53923741968269</v>
      </c>
      <c r="D2080">
        <v>24.22008888888889</v>
      </c>
      <c r="E2080">
        <v>1571.074649971115</v>
      </c>
      <c r="F2080">
        <v>2147.68451368421</v>
      </c>
      <c r="G2080">
        <v>0.05476229949694918</v>
      </c>
    </row>
    <row r="2081" spans="1:7">
      <c r="A2081" t="s">
        <v>137</v>
      </c>
      <c r="B2081">
        <v>5</v>
      </c>
      <c r="C2081">
        <v>89.96048728375007</v>
      </c>
      <c r="D2081">
        <v>24.24304444444444</v>
      </c>
      <c r="E2081">
        <v>1581.282217831229</v>
      </c>
      <c r="F2081">
        <v>2149.720067368421</v>
      </c>
      <c r="G2081">
        <v>0.0542281542917251</v>
      </c>
    </row>
    <row r="2082" spans="1:7">
      <c r="A2082" t="s">
        <v>137</v>
      </c>
      <c r="B2082">
        <v>5</v>
      </c>
      <c r="C2082">
        <v>90.3859110564415</v>
      </c>
      <c r="D2082">
        <v>24.266</v>
      </c>
      <c r="E2082">
        <v>1591.600692391389</v>
      </c>
      <c r="F2082">
        <v>2151.755621052631</v>
      </c>
      <c r="G2082">
        <v>0.05369303594802524</v>
      </c>
    </row>
    <row r="2083" spans="1:7">
      <c r="A2083" t="s">
        <v>137</v>
      </c>
      <c r="B2083">
        <v>5</v>
      </c>
      <c r="C2083">
        <v>90.81560010894904</v>
      </c>
      <c r="D2083">
        <v>24.28895555555555</v>
      </c>
      <c r="E2083">
        <v>1602.032483559375</v>
      </c>
      <c r="F2083">
        <v>2153.791174736842</v>
      </c>
      <c r="G2083">
        <v>0.05315694446584932</v>
      </c>
    </row>
    <row r="2084" spans="1:7">
      <c r="A2084" t="s">
        <v>137</v>
      </c>
      <c r="B2084">
        <v>5</v>
      </c>
      <c r="C2084">
        <v>91.24964882424629</v>
      </c>
      <c r="D2084">
        <v>24.31191111111111</v>
      </c>
      <c r="E2084">
        <v>1612.580080723736</v>
      </c>
      <c r="F2084">
        <v>2155.826728421052</v>
      </c>
      <c r="G2084">
        <v>0.0526198798451977</v>
      </c>
    </row>
    <row r="2085" spans="1:7">
      <c r="A2085" t="s">
        <v>137</v>
      </c>
      <c r="B2085">
        <v>5</v>
      </c>
      <c r="C2085">
        <v>91.68815473100324</v>
      </c>
      <c r="D2085">
        <v>24.33486666666667</v>
      </c>
      <c r="E2085">
        <v>1623.246056287652</v>
      </c>
      <c r="F2085">
        <v>2157.862282105263</v>
      </c>
      <c r="G2085">
        <v>0.05208184208607008</v>
      </c>
    </row>
    <row r="2086" spans="1:7">
      <c r="A2086" t="s">
        <v>137</v>
      </c>
      <c r="B2086">
        <v>5</v>
      </c>
      <c r="C2086">
        <v>92.13121864502729</v>
      </c>
      <c r="D2086">
        <v>24.35782222222222</v>
      </c>
      <c r="E2086">
        <v>1634.033069401388</v>
      </c>
      <c r="F2086">
        <v>2159.897835789473</v>
      </c>
      <c r="G2086">
        <v>0.05154283118846672</v>
      </c>
    </row>
    <row r="2087" spans="1:7">
      <c r="A2087" t="s">
        <v>137</v>
      </c>
      <c r="B2087">
        <v>5</v>
      </c>
      <c r="C2087">
        <v>92.57894481874487</v>
      </c>
      <c r="D2087">
        <v>24.38077777777778</v>
      </c>
      <c r="E2087">
        <v>1644.943869906942</v>
      </c>
      <c r="F2087">
        <v>2161.933389473684</v>
      </c>
      <c r="G2087">
        <v>0.05100284715238772</v>
      </c>
    </row>
    <row r="2088" spans="1:7">
      <c r="A2088" t="s">
        <v>137</v>
      </c>
      <c r="B2088">
        <v>5</v>
      </c>
      <c r="C2088">
        <v>93.03144109927703</v>
      </c>
      <c r="D2088">
        <v>24.40373333333333</v>
      </c>
      <c r="E2088">
        <v>1655.981302509469</v>
      </c>
      <c r="F2088">
        <v>2163.968943157895</v>
      </c>
      <c r="G2088">
        <v>0.05046188997783278</v>
      </c>
    </row>
    <row r="2089" spans="1:7">
      <c r="A2089" t="s">
        <v>137</v>
      </c>
      <c r="B2089">
        <v>5</v>
      </c>
      <c r="C2089">
        <v>93.48881909570993</v>
      </c>
      <c r="D2089">
        <v>24.42668888888889</v>
      </c>
      <c r="E2089">
        <v>1667.148311191357</v>
      </c>
      <c r="F2089">
        <v>2166.004496842105</v>
      </c>
      <c r="G2089">
        <v>0.04991995966480172</v>
      </c>
    </row>
    <row r="2090" spans="1:7">
      <c r="A2090" t="s">
        <v>137</v>
      </c>
      <c r="B2090">
        <v>5</v>
      </c>
      <c r="C2090">
        <v>93.95119435620931</v>
      </c>
      <c r="D2090">
        <v>24.44964444444444</v>
      </c>
      <c r="E2090">
        <v>1678.447943886069</v>
      </c>
      <c r="F2090">
        <v>2168.040050526316</v>
      </c>
      <c r="G2090">
        <v>0.04937705621329502</v>
      </c>
    </row>
    <row r="2091" spans="1:7">
      <c r="A2091" t="s">
        <v>137</v>
      </c>
      <c r="B2091">
        <v>5</v>
      </c>
      <c r="C2091">
        <v>94.41868655568197</v>
      </c>
      <c r="D2091">
        <v>24.4726</v>
      </c>
      <c r="E2091">
        <v>1689.883357430309</v>
      </c>
      <c r="F2091">
        <v>2170.075604210526</v>
      </c>
      <c r="G2091">
        <v>0.04883317962331253</v>
      </c>
    </row>
    <row r="2092" spans="1:7">
      <c r="A2092" t="s">
        <v>137</v>
      </c>
      <c r="B2092">
        <v>5</v>
      </c>
      <c r="C2092">
        <v>94.89141969474822</v>
      </c>
      <c r="D2092">
        <v>24.49555555555555</v>
      </c>
      <c r="E2092">
        <v>1701.457822814676</v>
      </c>
      <c r="F2092">
        <v>2172.111157894737</v>
      </c>
      <c r="G2092">
        <v>0.04828832989485409</v>
      </c>
    </row>
    <row r="2093" spans="1:7">
      <c r="A2093" t="s">
        <v>137</v>
      </c>
      <c r="B2093">
        <v>5</v>
      </c>
      <c r="C2093">
        <v>95.36952231085195</v>
      </c>
      <c r="D2093">
        <v>24.51851111111111</v>
      </c>
      <c r="E2093">
        <v>1713.174730754612</v>
      </c>
      <c r="F2093">
        <v>2174.146711578947</v>
      </c>
      <c r="G2093">
        <v>0.04774250702791996</v>
      </c>
    </row>
    <row r="2094" spans="1:7">
      <c r="A2094" t="s">
        <v>137</v>
      </c>
      <c r="B2094">
        <v>5</v>
      </c>
      <c r="C2094">
        <v>95.85312770240881</v>
      </c>
      <c r="D2094">
        <v>24.54146666666666</v>
      </c>
      <c r="E2094">
        <v>1725.037597605414</v>
      </c>
      <c r="F2094">
        <v>2176.182265263158</v>
      </c>
      <c r="G2094">
        <v>0.04719571102250999</v>
      </c>
    </row>
    <row r="2095" spans="1:7">
      <c r="A2095" t="s">
        <v>137</v>
      </c>
      <c r="B2095">
        <v>5</v>
      </c>
      <c r="C2095">
        <v>96.34237416697074</v>
      </c>
      <c r="D2095">
        <v>24.56442222222222</v>
      </c>
      <c r="E2095">
        <v>1737.050071647121</v>
      </c>
      <c r="F2095">
        <v>2178.217818947368</v>
      </c>
      <c r="G2095">
        <v>0.04664794187862385</v>
      </c>
    </row>
    <row r="2096" spans="1:7">
      <c r="A2096" t="s">
        <v>137</v>
      </c>
      <c r="B2096">
        <v>5</v>
      </c>
      <c r="C2096">
        <v>96.83740525447168</v>
      </c>
      <c r="D2096">
        <v>24.58737777777777</v>
      </c>
      <c r="E2096">
        <v>1749.215939767375</v>
      </c>
      <c r="F2096">
        <v>2180.253372631579</v>
      </c>
      <c r="G2096">
        <v>0.04609919959626223</v>
      </c>
    </row>
    <row r="2097" spans="1:7">
      <c r="A2097" t="s">
        <v>137</v>
      </c>
      <c r="B2097">
        <v>5</v>
      </c>
      <c r="C2097">
        <v>97.3383700367155</v>
      </c>
      <c r="D2097">
        <v>24.61033333333333</v>
      </c>
      <c r="E2097">
        <v>1761.539134572901</v>
      </c>
      <c r="F2097">
        <v>2182.288926315789</v>
      </c>
      <c r="G2097">
        <v>0.0455494841754245</v>
      </c>
    </row>
    <row r="2098" spans="1:7">
      <c r="A2098" t="s">
        <v>137</v>
      </c>
      <c r="B2098">
        <v>5</v>
      </c>
      <c r="C2098">
        <v>97.84542339437208</v>
      </c>
      <c r="D2098">
        <v>24.63328888888889</v>
      </c>
      <c r="E2098">
        <v>1774.023741963002</v>
      </c>
      <c r="F2098">
        <v>2184.32448</v>
      </c>
      <c r="G2098">
        <v>0.04499879561611108</v>
      </c>
    </row>
    <row r="2099" spans="1:7">
      <c r="A2099" t="s">
        <v>137</v>
      </c>
      <c r="B2099">
        <v>5</v>
      </c>
      <c r="C2099">
        <v>98.35872632286544</v>
      </c>
      <c r="D2099">
        <v>24.65624444444444</v>
      </c>
      <c r="E2099">
        <v>1786.674009201597</v>
      </c>
      <c r="F2099">
        <v>2186.360033684211</v>
      </c>
      <c r="G2099">
        <v>0.04444713391832176</v>
      </c>
    </row>
    <row r="2100" spans="1:7">
      <c r="A2100" t="s">
        <v>137</v>
      </c>
      <c r="B2100">
        <v>5</v>
      </c>
      <c r="C2100">
        <v>98.87844625866502</v>
      </c>
      <c r="D2100">
        <v>24.6792</v>
      </c>
      <c r="E2100">
        <v>1799.494353527676</v>
      </c>
      <c r="F2100">
        <v>2188.395587368421</v>
      </c>
      <c r="G2100">
        <v>0.04389449908205655</v>
      </c>
    </row>
    <row r="2101" spans="1:7">
      <c r="A2101" t="s">
        <v>137</v>
      </c>
      <c r="B2101">
        <v>5</v>
      </c>
      <c r="C2101">
        <v>99.40475742763617</v>
      </c>
      <c r="D2101">
        <v>24.70215555555555</v>
      </c>
      <c r="E2101">
        <v>1812.489371347874</v>
      </c>
      <c r="F2101">
        <v>2190.431141052631</v>
      </c>
      <c r="G2101">
        <v>0.04334089110731586</v>
      </c>
    </row>
    <row r="2102" spans="1:7">
      <c r="A2102" t="s">
        <v>137</v>
      </c>
      <c r="B2102">
        <v>5</v>
      </c>
      <c r="C2102">
        <v>99.93784121726401</v>
      </c>
      <c r="D2102">
        <v>24.72511111111111</v>
      </c>
      <c r="E2102">
        <v>1825.66384805903</v>
      </c>
      <c r="F2102">
        <v>2192.466694736842</v>
      </c>
      <c r="G2102">
        <v>0.04278630999409883</v>
      </c>
    </row>
    <row r="2103" spans="1:7">
      <c r="A2103" t="s">
        <v>137</v>
      </c>
      <c r="B2103">
        <v>5</v>
      </c>
      <c r="C2103">
        <v>100.4778865747407</v>
      </c>
      <c r="D2103">
        <v>24.74806666666667</v>
      </c>
      <c r="E2103">
        <v>1839.022768553263</v>
      </c>
      <c r="F2103">
        <v>2194.502248421053</v>
      </c>
      <c r="G2103">
        <v>0.04223075574240613</v>
      </c>
    </row>
    <row r="2104" spans="1:7">
      <c r="A2104" t="s">
        <v>137</v>
      </c>
      <c r="B2104">
        <v>5</v>
      </c>
      <c r="C2104">
        <v>101.0250904331046</v>
      </c>
      <c r="D2104">
        <v>24.77102222222222</v>
      </c>
      <c r="E2104">
        <v>1852.571328463298</v>
      </c>
      <c r="F2104">
        <v>2196.537802105263</v>
      </c>
      <c r="G2104">
        <v>0.04167422835223757</v>
      </c>
    </row>
    <row r="2105" spans="1:7">
      <c r="A2105" t="s">
        <v>137</v>
      </c>
      <c r="B2105">
        <v>5</v>
      </c>
      <c r="C2105">
        <v>101.5796581678353</v>
      </c>
      <c r="D2105">
        <v>24.79397777777778</v>
      </c>
      <c r="E2105">
        <v>1866.314946211496</v>
      </c>
      <c r="F2105">
        <v>2198.573355789474</v>
      </c>
      <c r="G2105">
        <v>0.04111672782359339</v>
      </c>
    </row>
    <row r="2106" spans="1:7">
      <c r="A2106" t="s">
        <v>137</v>
      </c>
      <c r="B2106">
        <v>5</v>
      </c>
      <c r="C2106">
        <v>102.1418040865568</v>
      </c>
      <c r="D2106">
        <v>24.81693333333333</v>
      </c>
      <c r="E2106">
        <v>1880.259275932557</v>
      </c>
      <c r="F2106">
        <v>2200.608909473684</v>
      </c>
      <c r="G2106">
        <v>0.04055825415647309</v>
      </c>
    </row>
    <row r="2107" spans="1:7">
      <c r="A2107" t="s">
        <v>137</v>
      </c>
      <c r="B2107">
        <v>5</v>
      </c>
      <c r="C2107">
        <v>102.71175195477</v>
      </c>
      <c r="D2107">
        <v>24.83988888888889</v>
      </c>
      <c r="E2107">
        <v>1894.410221347018</v>
      </c>
      <c r="F2107">
        <v>2202.644463157895</v>
      </c>
      <c r="G2107">
        <v>0.03999880735087716</v>
      </c>
    </row>
    <row r="2108" spans="1:7">
      <c r="A2108" t="s">
        <v>137</v>
      </c>
      <c r="B2108">
        <v>5</v>
      </c>
      <c r="C2108">
        <v>103.2897355608451</v>
      </c>
      <c r="D2108">
        <v>24.86284444444444</v>
      </c>
      <c r="E2108">
        <v>1908.773950670764</v>
      </c>
      <c r="F2108">
        <v>2204.680016842105</v>
      </c>
      <c r="G2108">
        <v>0.03943838740680522</v>
      </c>
    </row>
    <row r="2109" spans="1:7">
      <c r="A2109" t="s">
        <v>137</v>
      </c>
      <c r="B2109">
        <v>5</v>
      </c>
      <c r="C2109">
        <v>103.8759993238451</v>
      </c>
      <c r="D2109">
        <v>24.8858</v>
      </c>
      <c r="E2109">
        <v>1923.356912654789</v>
      </c>
      <c r="F2109">
        <v>2206.715570526316</v>
      </c>
      <c r="G2109">
        <v>0.03887699432425749</v>
      </c>
    </row>
    <row r="2110" spans="1:7">
      <c r="A2110" t="s">
        <v>137</v>
      </c>
      <c r="B2110">
        <v>5</v>
      </c>
      <c r="C2110">
        <v>104.4707989481349</v>
      </c>
      <c r="D2110">
        <v>24.90875555555555</v>
      </c>
      <c r="E2110">
        <v>1938.165853859617</v>
      </c>
      <c r="F2110">
        <v>2208.751124210526</v>
      </c>
      <c r="G2110">
        <v>0.0383146281032339</v>
      </c>
    </row>
    <row r="2111" spans="1:7">
      <c r="A2111" t="s">
        <v>137</v>
      </c>
      <c r="B2111">
        <v>5</v>
      </c>
      <c r="C2111">
        <v>105.0744021291694</v>
      </c>
      <c r="D2111">
        <v>24.93171111111111</v>
      </c>
      <c r="E2111">
        <v>1953.20783728024</v>
      </c>
      <c r="F2111">
        <v>2210.786677894737</v>
      </c>
      <c r="G2111">
        <v>0.03775128874373464</v>
      </c>
    </row>
    <row r="2112" spans="1:7">
      <c r="A2112" t="s">
        <v>137</v>
      </c>
      <c r="B2112">
        <v>5</v>
      </c>
      <c r="C2112">
        <v>105.6870893153349</v>
      </c>
      <c r="D2112">
        <v>24.95466666666666</v>
      </c>
      <c r="E2112">
        <v>1968.49026245026</v>
      </c>
      <c r="F2112">
        <v>2212.822231578947</v>
      </c>
      <c r="G2112">
        <v>0.03718697624575936</v>
      </c>
    </row>
    <row r="2113" spans="1:7">
      <c r="A2113" t="s">
        <v>137</v>
      </c>
      <c r="B2113">
        <v>5</v>
      </c>
      <c r="C2113">
        <v>106.3091545312741</v>
      </c>
      <c r="D2113">
        <v>24.97762222222222</v>
      </c>
      <c r="E2113">
        <v>1984.020887168514</v>
      </c>
      <c r="F2113">
        <v>2214.857785263158</v>
      </c>
      <c r="G2113">
        <v>0.03662169060930819</v>
      </c>
    </row>
    <row r="2114" spans="1:7">
      <c r="A2114" t="s">
        <v>137</v>
      </c>
      <c r="B2114">
        <v>5</v>
      </c>
      <c r="C2114">
        <v>106.9409062687475</v>
      </c>
      <c r="D2114">
        <v>25.00057777777778</v>
      </c>
      <c r="E2114">
        <v>1999.8078510079</v>
      </c>
      <c r="F2114">
        <v>2216.893338947369</v>
      </c>
      <c r="G2114">
        <v>0.03605543183438111</v>
      </c>
    </row>
    <row r="2115" spans="1:7">
      <c r="A2115" t="s">
        <v>137</v>
      </c>
      <c r="B2115">
        <v>5</v>
      </c>
      <c r="C2115">
        <v>107.5826684517888</v>
      </c>
      <c r="D2115">
        <v>25.02353333333333</v>
      </c>
      <c r="E2115">
        <v>2015.859700784763</v>
      </c>
      <c r="F2115">
        <v>2218.928892631579</v>
      </c>
      <c r="G2115">
        <v>0.0354881999209784</v>
      </c>
    </row>
    <row r="2116" spans="1:7">
      <c r="A2116" t="s">
        <v>137</v>
      </c>
      <c r="B2116">
        <v>5</v>
      </c>
      <c r="C2116">
        <v>108.2347814837192</v>
      </c>
      <c r="D2116">
        <v>25.04648888888889</v>
      </c>
      <c r="E2116">
        <v>2032.185418188407</v>
      </c>
      <c r="F2116">
        <v>2220.964446315789</v>
      </c>
      <c r="G2116">
        <v>0.03491999486909984</v>
      </c>
    </row>
    <row r="2117" spans="1:7">
      <c r="A2117" t="s">
        <v>137</v>
      </c>
      <c r="B2117">
        <v>5</v>
      </c>
      <c r="C2117">
        <v>108.897603384492</v>
      </c>
      <c r="D2117">
        <v>25.06944444444444</v>
      </c>
      <c r="E2117">
        <v>2048.794449794358</v>
      </c>
      <c r="F2117">
        <v>2223</v>
      </c>
      <c r="G2117">
        <v>0.03435081667874539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31.7109375" customWidth="1"/>
    <col min="2" max="3" width="23.7109375" customWidth="1"/>
    <col min="4" max="4" width="66.7109375" customWidth="1"/>
    <col min="5" max="5" width="85.7109375" customWidth="1"/>
  </cols>
  <sheetData>
    <row r="1" spans="1:5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</row>
    <row r="2" spans="1:5" ht="44" customHeight="1">
      <c r="A2" s="2" t="s">
        <v>144</v>
      </c>
      <c r="B2" s="2" t="s">
        <v>145</v>
      </c>
      <c r="C2" s="2" t="s">
        <v>146</v>
      </c>
      <c r="D2" s="2" t="s">
        <v>147</v>
      </c>
      <c r="E2" s="2" t="s">
        <v>148</v>
      </c>
    </row>
    <row r="3" spans="1:5" ht="44" customHeight="1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</row>
    <row r="4" spans="1:5" ht="44" customHeight="1">
      <c r="A4" s="2" t="s">
        <v>154</v>
      </c>
      <c r="B4" s="2" t="s">
        <v>155</v>
      </c>
      <c r="C4" s="2" t="s">
        <v>156</v>
      </c>
      <c r="D4" s="2" t="s">
        <v>157</v>
      </c>
      <c r="E4" s="2" t="s">
        <v>158</v>
      </c>
    </row>
    <row r="5" spans="1:5" ht="44" customHeight="1">
      <c r="A5" s="2" t="s">
        <v>159</v>
      </c>
      <c r="B5" s="2" t="s">
        <v>155</v>
      </c>
      <c r="C5" s="2" t="s">
        <v>160</v>
      </c>
      <c r="D5" s="2" t="s">
        <v>161</v>
      </c>
      <c r="E5" s="2" t="s">
        <v>162</v>
      </c>
    </row>
    <row r="6" spans="1:5" ht="44" customHeight="1">
      <c r="A6" s="2" t="s">
        <v>163</v>
      </c>
      <c r="B6" s="2" t="s">
        <v>155</v>
      </c>
      <c r="C6" s="2" t="s">
        <v>164</v>
      </c>
      <c r="D6" s="2" t="s">
        <v>165</v>
      </c>
      <c r="E6" s="2" t="s">
        <v>166</v>
      </c>
    </row>
    <row r="7" spans="1:5" ht="44" customHeight="1">
      <c r="A7" s="2" t="s">
        <v>167</v>
      </c>
      <c r="B7" s="2" t="s">
        <v>155</v>
      </c>
      <c r="C7" s="2" t="s">
        <v>168</v>
      </c>
      <c r="D7" s="2" t="s">
        <v>169</v>
      </c>
      <c r="E7" s="2" t="s">
        <v>170</v>
      </c>
    </row>
    <row r="8" spans="1:5" ht="44" customHeight="1">
      <c r="A8" s="2" t="s">
        <v>171</v>
      </c>
      <c r="B8" s="2" t="s">
        <v>172</v>
      </c>
      <c r="C8" s="2" t="s">
        <v>173</v>
      </c>
      <c r="D8" s="2" t="s">
        <v>174</v>
      </c>
      <c r="E8" s="2" t="s">
        <v>175</v>
      </c>
    </row>
    <row r="9" spans="1:5" ht="44" customHeight="1">
      <c r="A9" s="2" t="s">
        <v>176</v>
      </c>
      <c r="B9" s="2" t="s">
        <v>177</v>
      </c>
      <c r="C9" s="2" t="s">
        <v>178</v>
      </c>
      <c r="D9" s="2" t="s">
        <v>179</v>
      </c>
      <c r="E9" s="2" t="s">
        <v>180</v>
      </c>
    </row>
    <row r="10" spans="1:5" ht="44" customHeight="1">
      <c r="A10" s="2" t="s">
        <v>181</v>
      </c>
      <c r="B10" s="2" t="s">
        <v>177</v>
      </c>
      <c r="C10" s="2" t="s">
        <v>182</v>
      </c>
      <c r="D10" s="2" t="s">
        <v>183</v>
      </c>
      <c r="E10" s="2" t="s">
        <v>184</v>
      </c>
    </row>
    <row r="11" spans="1:5" ht="44" customHeight="1">
      <c r="A11" s="2" t="s">
        <v>185</v>
      </c>
      <c r="B11" s="2" t="s">
        <v>177</v>
      </c>
      <c r="C11" s="2" t="s">
        <v>186</v>
      </c>
      <c r="D11" s="2" t="s">
        <v>187</v>
      </c>
      <c r="E11" s="2" t="s">
        <v>188</v>
      </c>
    </row>
    <row r="12" spans="1:5" ht="44" customHeight="1">
      <c r="A12" s="2" t="s">
        <v>189</v>
      </c>
      <c r="B12" s="2" t="s">
        <v>190</v>
      </c>
      <c r="C12" s="2" t="s">
        <v>191</v>
      </c>
      <c r="D12" s="2" t="s">
        <v>192</v>
      </c>
      <c r="E12" s="2" t="s">
        <v>193</v>
      </c>
    </row>
    <row r="13" spans="1:5" ht="44" customHeight="1">
      <c r="A13" s="2" t="s">
        <v>194</v>
      </c>
      <c r="B13" s="2" t="s">
        <v>190</v>
      </c>
      <c r="C13" s="2" t="s">
        <v>195</v>
      </c>
      <c r="D13" s="2" t="s">
        <v>196</v>
      </c>
      <c r="E13" s="2" t="s">
        <v>197</v>
      </c>
    </row>
    <row r="14" spans="1:5" ht="44" customHeight="1">
      <c r="A14" s="2" t="s">
        <v>198</v>
      </c>
      <c r="B14" s="2" t="s">
        <v>190</v>
      </c>
      <c r="C14" s="2" t="s">
        <v>199</v>
      </c>
      <c r="D14" s="2" t="s">
        <v>200</v>
      </c>
      <c r="E14" s="2" t="s">
        <v>201</v>
      </c>
    </row>
    <row r="15" spans="1:5" ht="44" customHeight="1">
      <c r="A15" s="2" t="s">
        <v>202</v>
      </c>
      <c r="B15" s="2" t="s">
        <v>203</v>
      </c>
      <c r="C15" s="2" t="s">
        <v>204</v>
      </c>
      <c r="D15" s="2" t="s">
        <v>205</v>
      </c>
      <c r="E15" s="2" t="s">
        <v>206</v>
      </c>
    </row>
    <row r="16" spans="1:5" ht="44" customHeight="1">
      <c r="A16" s="2" t="s">
        <v>207</v>
      </c>
      <c r="B16" s="2" t="s">
        <v>203</v>
      </c>
      <c r="C16" s="2" t="s">
        <v>204</v>
      </c>
      <c r="D16" s="2" t="s">
        <v>208</v>
      </c>
      <c r="E16" s="2" t="s">
        <v>209</v>
      </c>
    </row>
    <row r="17" spans="1:5" ht="44" customHeight="1">
      <c r="A17" s="2" t="s">
        <v>210</v>
      </c>
      <c r="B17" s="2" t="s">
        <v>211</v>
      </c>
      <c r="C17" s="2" t="s">
        <v>212</v>
      </c>
      <c r="D17" s="2" t="s">
        <v>213</v>
      </c>
      <c r="E17" s="2" t="s">
        <v>214</v>
      </c>
    </row>
    <row r="18" spans="1:5" ht="44" customHeight="1">
      <c r="A18" s="2" t="s">
        <v>215</v>
      </c>
      <c r="B18" s="2" t="s">
        <v>211</v>
      </c>
      <c r="C18" s="2" t="s">
        <v>216</v>
      </c>
      <c r="D18" s="2" t="s">
        <v>217</v>
      </c>
      <c r="E18" s="2" t="s">
        <v>218</v>
      </c>
    </row>
    <row r="19" spans="1:5" ht="44" customHeight="1">
      <c r="A19" s="2" t="s">
        <v>219</v>
      </c>
      <c r="B19" s="2" t="s">
        <v>211</v>
      </c>
      <c r="C19" s="2" t="s">
        <v>220</v>
      </c>
      <c r="D19" s="2" t="s">
        <v>221</v>
      </c>
      <c r="E19" s="2" t="s">
        <v>222</v>
      </c>
    </row>
    <row r="20" spans="1:5" ht="44" customHeight="1">
      <c r="A20" s="2" t="s">
        <v>223</v>
      </c>
      <c r="B20" s="2" t="s">
        <v>224</v>
      </c>
      <c r="C20" s="2" t="s">
        <v>225</v>
      </c>
      <c r="D20" s="2" t="s">
        <v>226</v>
      </c>
      <c r="E20" s="2" t="s">
        <v>227</v>
      </c>
    </row>
    <row r="21" spans="1:5" ht="44" customHeight="1">
      <c r="A21" s="2" t="s">
        <v>228</v>
      </c>
      <c r="B21" s="2" t="s">
        <v>224</v>
      </c>
      <c r="C21" s="2" t="s">
        <v>229</v>
      </c>
      <c r="D21" s="2" t="s">
        <v>230</v>
      </c>
      <c r="E21" s="2" t="s">
        <v>231</v>
      </c>
    </row>
    <row r="22" spans="1:5" ht="44" customHeight="1">
      <c r="A22" s="2" t="s">
        <v>232</v>
      </c>
      <c r="B22" s="2" t="s">
        <v>233</v>
      </c>
      <c r="C22" s="2" t="s">
        <v>234</v>
      </c>
      <c r="D22" s="2" t="s">
        <v>235</v>
      </c>
      <c r="E22" s="2" t="s">
        <v>236</v>
      </c>
    </row>
    <row r="23" spans="1:5" ht="44" customHeight="1">
      <c r="A23" s="2" t="s">
        <v>237</v>
      </c>
      <c r="B23" s="2" t="s">
        <v>238</v>
      </c>
      <c r="C23" s="2" t="s">
        <v>239</v>
      </c>
      <c r="D23" s="2" t="s">
        <v>240</v>
      </c>
      <c r="E23" s="2" t="s">
        <v>241</v>
      </c>
    </row>
    <row r="24" spans="1:5" ht="44" customHeight="1">
      <c r="A24" s="2" t="s">
        <v>242</v>
      </c>
      <c r="B24" s="2" t="s">
        <v>243</v>
      </c>
      <c r="C24" s="2" t="s">
        <v>244</v>
      </c>
      <c r="D24" s="2" t="s">
        <v>245</v>
      </c>
      <c r="E24" s="2" t="s">
        <v>246</v>
      </c>
    </row>
    <row r="25" spans="1:5" ht="44" customHeight="1">
      <c r="A25" s="2" t="s">
        <v>247</v>
      </c>
      <c r="B25" s="2" t="s">
        <v>243</v>
      </c>
      <c r="C25" s="2" t="s">
        <v>248</v>
      </c>
      <c r="D25" s="2" t="s">
        <v>249</v>
      </c>
      <c r="E25" s="2" t="s">
        <v>250</v>
      </c>
    </row>
    <row r="26" spans="1:5" ht="44" customHeight="1">
      <c r="A26" s="2" t="s">
        <v>251</v>
      </c>
      <c r="B26" s="2" t="s">
        <v>243</v>
      </c>
      <c r="C26" s="2" t="s">
        <v>248</v>
      </c>
      <c r="D26" s="2" t="s">
        <v>252</v>
      </c>
      <c r="E26" s="2" t="s">
        <v>253</v>
      </c>
    </row>
    <row r="27" spans="1:5" ht="44" customHeight="1">
      <c r="A27" s="2" t="s">
        <v>254</v>
      </c>
      <c r="B27" s="2" t="s">
        <v>243</v>
      </c>
      <c r="C27" s="2" t="s">
        <v>255</v>
      </c>
      <c r="D27" s="2" t="s">
        <v>256</v>
      </c>
      <c r="E27" s="2" t="s">
        <v>257</v>
      </c>
    </row>
    <row r="28" spans="1:5" ht="44" customHeight="1">
      <c r="A28" s="2" t="s">
        <v>258</v>
      </c>
      <c r="B28" s="2" t="s">
        <v>243</v>
      </c>
      <c r="C28" s="2" t="s">
        <v>204</v>
      </c>
      <c r="D28" s="2" t="s">
        <v>259</v>
      </c>
      <c r="E28" s="2" t="s">
        <v>260</v>
      </c>
    </row>
    <row r="29" spans="1:5" ht="44" customHeight="1">
      <c r="A29" s="2" t="s">
        <v>261</v>
      </c>
      <c r="B29" s="2" t="s">
        <v>262</v>
      </c>
      <c r="C29" s="2" t="s">
        <v>263</v>
      </c>
      <c r="D29" s="2" t="s">
        <v>264</v>
      </c>
      <c r="E29" s="2" t="s">
        <v>265</v>
      </c>
    </row>
    <row r="30" spans="1:5" ht="44" customHeight="1">
      <c r="A30" s="2" t="s">
        <v>266</v>
      </c>
      <c r="B30" s="2" t="s">
        <v>262</v>
      </c>
      <c r="C30" s="2" t="s">
        <v>267</v>
      </c>
      <c r="D30" s="2" t="s">
        <v>268</v>
      </c>
      <c r="E30" s="2" t="s">
        <v>269</v>
      </c>
    </row>
    <row r="31" spans="1:5" ht="44" customHeight="1">
      <c r="A31" s="2" t="s">
        <v>270</v>
      </c>
      <c r="B31" s="2" t="s">
        <v>262</v>
      </c>
      <c r="C31" s="2" t="s">
        <v>271</v>
      </c>
      <c r="D31" s="2" t="s">
        <v>272</v>
      </c>
      <c r="E31" s="2" t="s">
        <v>273</v>
      </c>
    </row>
    <row r="32" spans="1:5" ht="44" customHeight="1">
      <c r="A32" s="2" t="s">
        <v>274</v>
      </c>
      <c r="B32" s="2" t="s">
        <v>275</v>
      </c>
      <c r="C32" s="2" t="s">
        <v>276</v>
      </c>
      <c r="D32" s="2" t="s">
        <v>277</v>
      </c>
      <c r="E32" s="2" t="s">
        <v>278</v>
      </c>
    </row>
    <row r="33" spans="1:5" ht="44" customHeight="1">
      <c r="A33" s="2" t="s">
        <v>279</v>
      </c>
      <c r="B33" s="2" t="s">
        <v>275</v>
      </c>
      <c r="C33" s="2" t="s">
        <v>280</v>
      </c>
      <c r="D33" s="2" t="s">
        <v>281</v>
      </c>
      <c r="E33" s="2" t="s">
        <v>282</v>
      </c>
    </row>
    <row r="34" spans="1:5" ht="44" customHeight="1">
      <c r="A34" s="2" t="s">
        <v>283</v>
      </c>
      <c r="B34" s="2" t="s">
        <v>284</v>
      </c>
      <c r="C34" s="2" t="s">
        <v>285</v>
      </c>
      <c r="D34" s="2" t="s">
        <v>286</v>
      </c>
      <c r="E34" s="2" t="s">
        <v>287</v>
      </c>
    </row>
    <row r="35" spans="1:5" ht="44" customHeight="1">
      <c r="A35" s="2" t="s">
        <v>288</v>
      </c>
      <c r="B35" s="2" t="s">
        <v>289</v>
      </c>
      <c r="C35" s="2" t="s">
        <v>290</v>
      </c>
      <c r="D35" s="2" t="s">
        <v>291</v>
      </c>
      <c r="E35" s="2" t="s">
        <v>292</v>
      </c>
    </row>
    <row r="36" spans="1:5" ht="44" customHeight="1">
      <c r="A36" s="2" t="s">
        <v>293</v>
      </c>
      <c r="B36" s="2" t="s">
        <v>294</v>
      </c>
      <c r="C36" s="2" t="s">
        <v>295</v>
      </c>
      <c r="D36" s="2" t="s">
        <v>296</v>
      </c>
      <c r="E36" s="2" t="s">
        <v>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Huong_dan</vt:lpstr>
      <vt:lpstr>Dau_vao</vt:lpstr>
      <vt:lpstr>Thiet_ke</vt:lpstr>
      <vt:lpstr>Dong_co</vt:lpstr>
      <vt:lpstr>Luc_keo</vt:lpstr>
      <vt:lpstr>Bieu_do_dong</vt:lpstr>
      <vt:lpstr>Tang_toc</vt:lpstr>
      <vt:lpstr>Cong_thuc_nguon</vt:lpstr>
      <vt:lpstr>Hinh_anh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2026-10-13T13:24:11Z</dcterms:created>
  <dcterms:modified xsi:type="dcterms:W3CDTF">2026-10-13T13:24:11Z</dcterms:modified>
</cp:coreProperties>
</file>