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91C07347-AE8F-4019-A044-E5E9AA998A9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externalReferences>
    <externalReference r:id="rId2"/>
    <externalReference r:id="rId3"/>
  </externalReferences>
  <definedNames>
    <definedName name="S1672023810596102xcte">[1]S1672023810596102xcte!$A$1:$A$102</definedName>
    <definedName name="S168318900714774wDro">[2]S168318900714774wDro!$A$1:$A$74</definedName>
    <definedName name="S1683189007148107snp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7" i="1" l="1"/>
  <c r="F97" i="1"/>
  <c r="C97" i="1" s="1"/>
  <c r="J96" i="1"/>
  <c r="F96" i="1"/>
  <c r="C96" i="1"/>
  <c r="J95" i="1"/>
  <c r="F95" i="1"/>
  <c r="C95" i="1"/>
  <c r="J94" i="1"/>
  <c r="F94" i="1"/>
  <c r="C94" i="1"/>
  <c r="J93" i="1"/>
  <c r="F93" i="1"/>
  <c r="C93" i="1" s="1"/>
  <c r="J92" i="1"/>
  <c r="F92" i="1"/>
  <c r="C92" i="1"/>
  <c r="J91" i="1"/>
  <c r="F91" i="1"/>
  <c r="D91" i="1"/>
  <c r="C91" i="1"/>
  <c r="J90" i="1"/>
  <c r="F90" i="1"/>
  <c r="C90" i="1" s="1"/>
  <c r="J89" i="1"/>
  <c r="F89" i="1"/>
  <c r="C89" i="1"/>
  <c r="J88" i="1"/>
  <c r="F88" i="1"/>
  <c r="C88" i="1"/>
  <c r="J87" i="1"/>
  <c r="F87" i="1"/>
  <c r="C87" i="1"/>
  <c r="F86" i="1"/>
  <c r="C86" i="1"/>
  <c r="C85" i="1"/>
  <c r="F84" i="1"/>
  <c r="C84" i="1" s="1"/>
  <c r="J83" i="1"/>
  <c r="C83" i="1"/>
  <c r="J82" i="1"/>
  <c r="F82" i="1"/>
  <c r="C82" i="1"/>
  <c r="F81" i="1"/>
  <c r="C81" i="1"/>
  <c r="J80" i="1"/>
  <c r="F80" i="1"/>
  <c r="C80" i="1" s="1"/>
  <c r="F79" i="1"/>
  <c r="C79" i="1" s="1"/>
  <c r="F78" i="1"/>
  <c r="C78" i="1" s="1"/>
  <c r="F77" i="1"/>
  <c r="C77" i="1"/>
  <c r="F76" i="1"/>
  <c r="C76" i="1"/>
  <c r="F75" i="1"/>
  <c r="C75" i="1"/>
  <c r="F74" i="1"/>
  <c r="C74" i="1" s="1"/>
  <c r="F73" i="1"/>
  <c r="C73" i="1" s="1"/>
  <c r="F72" i="1"/>
  <c r="C72" i="1" s="1"/>
  <c r="F71" i="1"/>
  <c r="C71" i="1"/>
  <c r="F70" i="1"/>
  <c r="C70" i="1"/>
  <c r="F69" i="1"/>
  <c r="C69" i="1"/>
  <c r="F68" i="1"/>
  <c r="C68" i="1" s="1"/>
  <c r="F67" i="1"/>
  <c r="C67" i="1" s="1"/>
  <c r="F66" i="1"/>
  <c r="C66" i="1" s="1"/>
  <c r="F65" i="1"/>
  <c r="C65" i="1"/>
  <c r="F64" i="1"/>
  <c r="C64" i="1"/>
  <c r="F63" i="1"/>
  <c r="C63" i="1"/>
  <c r="F62" i="1"/>
  <c r="C62" i="1" s="1"/>
  <c r="F61" i="1"/>
  <c r="C61" i="1" s="1"/>
  <c r="F60" i="1"/>
  <c r="C60" i="1" s="1"/>
  <c r="F59" i="1"/>
  <c r="C59" i="1"/>
  <c r="F58" i="1"/>
  <c r="D58" i="1"/>
  <c r="C58" i="1"/>
  <c r="F57" i="1"/>
  <c r="C57" i="1"/>
  <c r="F56" i="1"/>
  <c r="C56" i="1" s="1"/>
  <c r="F55" i="1"/>
  <c r="C55" i="1"/>
  <c r="C54" i="1"/>
  <c r="F53" i="1"/>
  <c r="C53" i="1"/>
  <c r="F52" i="1"/>
  <c r="C52" i="1"/>
  <c r="F51" i="1"/>
  <c r="C51" i="1"/>
  <c r="F50" i="1"/>
  <c r="C50" i="1" s="1"/>
  <c r="F49" i="1"/>
  <c r="C49" i="1" s="1"/>
  <c r="F48" i="1"/>
  <c r="C48" i="1" s="1"/>
  <c r="F47" i="1"/>
  <c r="C47" i="1"/>
  <c r="F46" i="1"/>
  <c r="C46" i="1"/>
  <c r="F45" i="1"/>
  <c r="C45" i="1"/>
  <c r="F44" i="1"/>
  <c r="C44" i="1" s="1"/>
  <c r="F43" i="1"/>
  <c r="C43" i="1" s="1"/>
  <c r="F42" i="1"/>
  <c r="C42" i="1" s="1"/>
  <c r="F41" i="1"/>
  <c r="C41" i="1"/>
  <c r="F40" i="1"/>
  <c r="C40" i="1"/>
  <c r="F39" i="1"/>
  <c r="C39" i="1"/>
  <c r="F38" i="1"/>
  <c r="C38" i="1" s="1"/>
  <c r="F37" i="1"/>
  <c r="C37" i="1" s="1"/>
  <c r="F36" i="1"/>
  <c r="C36" i="1" s="1"/>
  <c r="F35" i="1"/>
  <c r="C35" i="1"/>
  <c r="F34" i="1"/>
  <c r="C34" i="1"/>
  <c r="F33" i="1"/>
  <c r="C33" i="1"/>
  <c r="F32" i="1"/>
  <c r="C32" i="1" s="1"/>
  <c r="F31" i="1"/>
  <c r="C31" i="1"/>
  <c r="F30" i="1"/>
  <c r="C30" i="1" s="1"/>
  <c r="C29" i="1"/>
  <c r="F28" i="1"/>
  <c r="C28" i="1"/>
  <c r="F27" i="1"/>
  <c r="C27" i="1"/>
  <c r="F26" i="1"/>
  <c r="F25" i="1"/>
  <c r="C25" i="1" s="1"/>
  <c r="F24" i="1"/>
  <c r="C24" i="1"/>
  <c r="F23" i="1"/>
  <c r="C23" i="1" s="1"/>
  <c r="F22" i="1"/>
  <c r="C22" i="1"/>
  <c r="F21" i="1"/>
  <c r="C21" i="1"/>
  <c r="F20" i="1"/>
  <c r="C20" i="1"/>
  <c r="F19" i="1"/>
  <c r="C19" i="1" s="1"/>
  <c r="F18" i="1"/>
  <c r="C18" i="1"/>
  <c r="F17" i="1"/>
  <c r="C17" i="1" s="1"/>
  <c r="F16" i="1"/>
  <c r="C16" i="1"/>
  <c r="F15" i="1"/>
  <c r="C15" i="1"/>
  <c r="F14" i="1"/>
  <c r="C14" i="1"/>
  <c r="F13" i="1"/>
  <c r="C13" i="1" s="1"/>
  <c r="F12" i="1"/>
  <c r="C12" i="1"/>
  <c r="F11" i="1"/>
  <c r="C11" i="1" s="1"/>
  <c r="F10" i="1"/>
  <c r="C10" i="1"/>
  <c r="F9" i="1"/>
  <c r="C9" i="1"/>
  <c r="F8" i="1"/>
  <c r="C8" i="1"/>
  <c r="F7" i="1"/>
  <c r="C7" i="1" s="1"/>
  <c r="F6" i="1"/>
  <c r="C6" i="1"/>
  <c r="F5" i="1"/>
  <c r="C5" i="1" s="1"/>
  <c r="F4" i="1"/>
  <c r="C4" i="1"/>
  <c r="F3" i="1"/>
  <c r="C3" i="1"/>
  <c r="F2" i="1"/>
  <c r="C2" i="1"/>
</calcChain>
</file>

<file path=xl/sharedStrings.xml><?xml version="1.0" encoding="utf-8"?>
<sst xmlns="http://schemas.openxmlformats.org/spreadsheetml/2006/main" count="246" uniqueCount="147">
  <si>
    <t>CC - CONCEPTION NAME</t>
  </si>
  <si>
    <t>Model Name</t>
  </si>
  <si>
    <t>Total SAM</t>
  </si>
  <si>
    <t>SAM Cutting</t>
  </si>
  <si>
    <t>SAM
Preparation</t>
  </si>
  <si>
    <t>SAM Sewing + Quality Control (May + Kiểm hàng + bao gói)</t>
  </si>
  <si>
    <t>SAM Triming
REV 08</t>
  </si>
  <si>
    <t>SAM Packing</t>
  </si>
  <si>
    <t>Nhóm</t>
  </si>
  <si>
    <t>Mục tiêu OWE năm</t>
  </si>
  <si>
    <t>303295 - INT</t>
  </si>
  <si>
    <t>MH100 - 2P Grey - INT</t>
  </si>
  <si>
    <t>Tent</t>
  </si>
  <si>
    <t>303295 - FLY - CB</t>
  </si>
  <si>
    <t>MH100 - 2P Grey - FLY - CB</t>
  </si>
  <si>
    <t>303295 - INT  - SS24</t>
  </si>
  <si>
    <t>MH100 - 2P Grey - INT SS24</t>
  </si>
  <si>
    <t>303295 - FLY - CB - SS24</t>
  </si>
  <si>
    <t>MH100 - 2P Grey - FLY - CB SS24</t>
  </si>
  <si>
    <t>SHELTER ARPENAZ 1P</t>
  </si>
  <si>
    <t>PLAID COMPACT 100</t>
  </si>
  <si>
    <t>BASE ARPENAZ</t>
  </si>
  <si>
    <t>Insulated cover 1,5L</t>
  </si>
  <si>
    <t>BAGS</t>
  </si>
  <si>
    <t>Insulated cover 1L</t>
  </si>
  <si>
    <t xml:space="preserve">BACKPACK NH ARPENAZ 100 10L New Black </t>
  </si>
  <si>
    <t>105810 - INT</t>
  </si>
  <si>
    <t>ARPENAZ 4.1 - INT</t>
  </si>
  <si>
    <t>105810 - FLY - CB</t>
  </si>
  <si>
    <t>ARPENAZ 4.1 - FLY - CB</t>
  </si>
  <si>
    <t>TRAVEL BUM BAG 2L</t>
  </si>
  <si>
    <t>CARRIER PANNIER 100 2X15L</t>
  </si>
  <si>
    <t>105810 - INT - SS24</t>
  </si>
  <si>
    <t>ARPENAZ 4.1 - INT SS24</t>
  </si>
  <si>
    <t>105810 - FLY - CB - SS24</t>
  </si>
  <si>
    <t>ARPENAZ 4.1 - FLY - CB SS24</t>
  </si>
  <si>
    <t>336312</t>
  </si>
  <si>
    <t>SHELTER 2 SECONDS 1P</t>
  </si>
  <si>
    <t>BACKPACK NH ESCAPE 500 32L</t>
  </si>
  <si>
    <t>334344 - SS23</t>
  </si>
  <si>
    <t>BACKPACK NH ESCAPE 500 23L - SS23</t>
  </si>
  <si>
    <t>334344 - SS24</t>
  </si>
  <si>
    <t>BACKPACK NH ESCAPE 500 23L -SS24</t>
  </si>
  <si>
    <t>COMPACT COOLER 30 L</t>
  </si>
  <si>
    <t>SADDLE BAG 100</t>
  </si>
  <si>
    <t>BACKPACK NH ESCAPE 100 17L</t>
  </si>
  <si>
    <t>Ski boots bag 100</t>
  </si>
  <si>
    <t>Tarp MH100 (L)</t>
  </si>
  <si>
    <t>BAG TEAM SPORT HARD CASE 70L</t>
  </si>
  <si>
    <t>BACKPACK NH ARPENAZ 500 20L</t>
  </si>
  <si>
    <t>AWNING TENT ARPENAZ FRESH</t>
  </si>
  <si>
    <t>ICE BACKPACK NH100 10L</t>
  </si>
  <si>
    <t>311103 - INT</t>
  </si>
  <si>
    <t>ARPENAZ 4.2 colo 2020 - INT</t>
  </si>
  <si>
    <t>311103 - FLY - CB</t>
  </si>
  <si>
    <t>ARPENAZ 4.2 colo 2020 - FLY - CB</t>
  </si>
  <si>
    <t>COMPACT COOLER 10L</t>
  </si>
  <si>
    <t>304094</t>
  </si>
  <si>
    <t>2 bikes bags</t>
  </si>
  <si>
    <t>308317 - INT - SS24</t>
  </si>
  <si>
    <t>MH100 - 3P Grey - INT SS24</t>
  </si>
  <si>
    <t>308317 - FLY - CB - SS24</t>
  </si>
  <si>
    <t>MH100 - 3P Grey - FLY - CB SS24</t>
  </si>
  <si>
    <t>BIKE COVER 1 BIKE NEW 1</t>
  </si>
  <si>
    <t>COMPACT COOLER 20 L</t>
  </si>
  <si>
    <t>TARP MH FRESH L</t>
  </si>
  <si>
    <t>SECONDS CAMPING SHOWER CABIN</t>
  </si>
  <si>
    <t>backpack 17L ULPP</t>
  </si>
  <si>
    <t>BACKPACK NH ESCAPE 150 SQUARE 10L</t>
  </si>
  <si>
    <t>Compact bumbag TRAVEL 2L</t>
  </si>
  <si>
    <t>ICE BACKPACK NH100 20L</t>
  </si>
  <si>
    <t>SPORT BAG ESSENTIAL 35 L</t>
  </si>
  <si>
    <t>shoes bag Essential</t>
  </si>
  <si>
    <t>122052</t>
  </si>
  <si>
    <t>2 SECONDS 0 XL FRESH</t>
  </si>
  <si>
    <t>313085 - INT</t>
  </si>
  <si>
    <t>MH100 - 3P FRESH &amp; BLACK - INT</t>
  </si>
  <si>
    <t>313085 - FLY - CB</t>
  </si>
  <si>
    <t>MH100 - 3P FRESH &amp; BLACK - FLY - CB</t>
  </si>
  <si>
    <t>LFP BALL BAG LIGUE 1_SEASON 2</t>
  </si>
  <si>
    <t>331880 - INT</t>
  </si>
  <si>
    <t>MH100 ULTRAFRESH 3P - INT</t>
  </si>
  <si>
    <t>331880 - FLY - CB</t>
  </si>
  <si>
    <t>MH100 ULTRAFRESH 3P - FLY - CB</t>
  </si>
  <si>
    <t xml:space="preserve">BACKPACK NH ARPENAZ 500 30L </t>
  </si>
  <si>
    <t>lấy theo SOT</t>
  </si>
  <si>
    <t>BACKPACK NH ARPENAZ 50 10L LIGHT BLUE</t>
  </si>
  <si>
    <t>340082 - INT</t>
  </si>
  <si>
    <t>2 Seconds 2P - INT</t>
  </si>
  <si>
    <t>340082 - FLY - CB</t>
  </si>
  <si>
    <t>2 Seconds 2P - FLY - CB</t>
  </si>
  <si>
    <t>9810031540</t>
  </si>
  <si>
    <t>SHOE BAG LIMITED EDITION</t>
  </si>
  <si>
    <t>shoe bag team sport Academic</t>
  </si>
  <si>
    <t>313100 - FLY - CB</t>
  </si>
  <si>
    <t>MH100 - 2P FRESH &amp; BLACK - FLY - CB</t>
  </si>
  <si>
    <t>313100 - INT</t>
  </si>
  <si>
    <t>MH100 - 2P FRESH &amp; BLACK- INT</t>
  </si>
  <si>
    <t>XC S COVERB 500</t>
  </si>
  <si>
    <t>ICE BACKPACK NH100 30L</t>
  </si>
  <si>
    <t>SKIBAG 100</t>
  </si>
  <si>
    <t>Compact backpack TRAVEL10L</t>
  </si>
  <si>
    <t>313100 - FLY - CB - SS24</t>
  </si>
  <si>
    <t>MH100 - 2P FRESH &amp; BLACK - FLY - CB - SS24</t>
  </si>
  <si>
    <t>313100 - INT - SS24</t>
  </si>
  <si>
    <t>MH100 - 2P FRESH &amp; BLACK- INT - SS24</t>
  </si>
  <si>
    <t>340058 - INT</t>
  </si>
  <si>
    <t>2 SECONDS 3P - INT</t>
  </si>
  <si>
    <t>340058 - FLY - CB</t>
  </si>
  <si>
    <t>2 SECONDS 3P - FLY - CB</t>
  </si>
  <si>
    <t>BACKPACK NH ARPENAZ 100 20L</t>
  </si>
  <si>
    <t>334334-SS24</t>
  </si>
  <si>
    <t>BACKPACK NH ESCAPE 500 32L ss24</t>
  </si>
  <si>
    <t xml:space="preserve">Lấy theo Sam cũ </t>
  </si>
  <si>
    <t>EXTEND 500 40/60L</t>
  </si>
  <si>
    <t>Tennis Backpack S TEAM</t>
  </si>
  <si>
    <t>127422 - FLY - CB</t>
  </si>
  <si>
    <t>ARPENAZ FAMILY 4.1 F&amp;B - FLY - CB</t>
  </si>
  <si>
    <t>lấy theo TGC</t>
  </si>
  <si>
    <t>127422 - INT</t>
  </si>
  <si>
    <t>ARPENAZ FAMILY 4.1 F&amp;B  - INT</t>
  </si>
  <si>
    <t>343524 - FLY - CB</t>
  </si>
  <si>
    <t>MH100 4P FLY - CB SS24</t>
  </si>
  <si>
    <t>343524 - INT</t>
  </si>
  <si>
    <t>MH100 4P - INT SS24</t>
  </si>
  <si>
    <t>SHELTER 2 SECONDS EASY 2P XL FRESH</t>
  </si>
  <si>
    <t>SHELTER ARPENAZ 4P</t>
  </si>
  <si>
    <t xml:space="preserve"> ILS COVER 100S</t>
  </si>
  <si>
    <t>0.5</t>
  </si>
  <si>
    <t>ILS BAG 500L</t>
  </si>
  <si>
    <t>BP NH ARPENAZ 100 30L</t>
  </si>
  <si>
    <t>NW POLES BAG</t>
  </si>
  <si>
    <t>309158-ss25</t>
  </si>
  <si>
    <t>BACKPACK NH ARPENAZ 500 30L - ss25</t>
  </si>
  <si>
    <t>309210-ss25</t>
  </si>
  <si>
    <t>BACKPACK NH ARPENAZ 500 20L - ss25</t>
  </si>
  <si>
    <t>BP NH500 ICE COMPARTMENT 30L</t>
  </si>
  <si>
    <t>BACKPACK MH100 20L</t>
  </si>
  <si>
    <t xml:space="preserve"> VELVET TUB BAG</t>
  </si>
  <si>
    <t>BACKPACK NH ESCAPE 500 16L</t>
  </si>
  <si>
    <t>PPTC 530 MEDIUM COVER</t>
  </si>
  <si>
    <t>PPTC FOLDED TABLE COVER GREY</t>
  </si>
  <si>
    <t>SMARTPHONE BELT BASICS 2</t>
  </si>
  <si>
    <t>OrganizerTRAVEL XL</t>
  </si>
  <si>
    <t>backpack URBAN 25L</t>
  </si>
  <si>
    <t>TRAVEL BUM BAG 2L PU V02</t>
  </si>
  <si>
    <t>TRAVEL BUM BAG 3L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</si>
</sst>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/>
      <top/>
      <bottom style="thin">
        <color rgb="FF9CC2E5"/>
      </bottom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1" fillId="0" borderId="0" xfId="0" applyFont="1"/>
    <xf numFmtId="1" fontId="4" fillId="3" borderId="0" xfId="0" applyNumberFormat="1" applyFont="1" applyFill="1" applyAlignment="1">
      <alignment horizontal="left" wrapText="1"/>
    </xf>
    <xf numFmtId="0" fontId="5" fillId="0" borderId="0" xfId="0" applyFont="1"/>
    <xf numFmtId="2" fontId="5" fillId="0" borderId="0" xfId="0" applyNumberFormat="1" applyFont="1"/>
    <xf numFmtId="0" fontId="6" fillId="4" borderId="2" xfId="0" applyFont="1" applyFill="1" applyBorder="1"/>
    <xf numFmtId="9" fontId="5" fillId="0" borderId="0" xfId="0" applyNumberFormat="1" applyFont="1"/>
    <xf numFmtId="0" fontId="5" fillId="0" borderId="3" xfId="0" applyFont="1" applyBorder="1" applyAlignment="1">
      <alignment horizontal="left"/>
    </xf>
    <xf numFmtId="1" fontId="5" fillId="3" borderId="0" xfId="0" applyNumberFormat="1" applyFont="1" applyFill="1" applyAlignment="1">
      <alignment horizontal="left"/>
    </xf>
    <xf numFmtId="1" fontId="4" fillId="3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1" fontId="4" fillId="3" borderId="0" xfId="0" applyNumberFormat="1" applyFont="1" applyFill="1" applyAlignment="1">
      <alignment horizontal="left" vertical="center"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49" fontId="5" fillId="3" borderId="0" xfId="0" applyNumberFormat="1" applyFont="1" applyFill="1" applyAlignment="1">
      <alignment horizontal="left"/>
    </xf>
    <xf numFmtId="2" fontId="1" fillId="0" borderId="0" xfId="0" applyNumberFormat="1" applyFont="1"/>
    <xf numFmtId="49" fontId="4" fillId="0" borderId="0" xfId="0" applyNumberFormat="1" applyFont="1" applyAlignment="1">
      <alignment horizontal="left" wrapText="1"/>
    </xf>
    <xf numFmtId="164" fontId="0" fillId="0" borderId="0" xfId="0" applyNumberFormat="1"/>
    <xf numFmtId="49" fontId="0" fillId="3" borderId="0" xfId="0" applyNumberFormat="1" applyFill="1" applyAlignment="1">
      <alignment horizontal="left"/>
    </xf>
    <xf numFmtId="2" fontId="0" fillId="0" borderId="0" xfId="0" applyNumberFormat="1"/>
    <xf numFmtId="0" fontId="1" fillId="5" borderId="5" xfId="0" applyFont="1" applyFill="1" applyBorder="1"/>
    <xf numFmtId="10" fontId="7" fillId="4" borderId="5" xfId="0" applyNumberFormat="1" applyFont="1" applyFill="1" applyBorder="1"/>
    <xf numFmtId="165" fontId="7" fillId="4" borderId="0" xfId="0" applyNumberFormat="1" applyFont="1" applyFill="1"/>
    <xf numFmtId="9" fontId="5" fillId="0" borderId="0" xfId="0" applyNumberFormat="1" applyFont="1" applyAlignment="1">
      <alignment vertical="top" wrapText="1"/>
    </xf>
    <xf numFmtId="49" fontId="0" fillId="0" borderId="0" xfId="0" applyNumberFormat="1"/>
    <xf numFmtId="1" fontId="5" fillId="4" borderId="5" xfId="0" applyNumberFormat="1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7" fillId="4" borderId="5" xfId="0" applyFont="1" applyFill="1" applyBorder="1"/>
    <xf numFmtId="2" fontId="1" fillId="5" borderId="5" xfId="0" applyNumberFormat="1" applyFont="1" applyFill="1" applyBorder="1"/>
    <xf numFmtId="49" fontId="4" fillId="0" borderId="0" xfId="0" applyNumberFormat="1" applyFont="1"/>
    <xf numFmtId="1" fontId="5" fillId="4" borderId="0" xfId="0" applyNumberFormat="1" applyFont="1" applyFill="1" applyAlignment="1">
      <alignment horizontal="left"/>
    </xf>
    <xf numFmtId="0" fontId="4" fillId="0" borderId="0" xfId="0" applyFont="1"/>
    <xf numFmtId="2" fontId="5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6" fillId="4" borderId="2" xfId="0" applyFont="1" applyFill="1" applyBorder="1" applyAlignment="1">
      <alignment horizontal="left"/>
    </xf>
    <xf numFmtId="9" fontId="5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61\f\Thu&#7853;n\Hi&#7879;u%20su&#7845;t\Nh&#7853;p%20hi&#7879;u%20su&#7845;t%20Decathlon\N&#259;m%202023\DATA_62041_Z76_2022_12_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7.61\f\Thu&#7853;n\Hi&#7879;u%20su&#7845;t\Nh&#7853;p%20hi&#7879;u%20su&#7845;t%20Decathlon\N&#259;m%202023\DATA_62041_Z76_2023_5_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167202381059374ioeD"/>
      <sheetName val="S1672023810596102xcte"/>
      <sheetName val="S16720238106009cris"/>
      <sheetName val="database"/>
    </sheetNames>
    <sheetDataSet>
      <sheetData sheetId="0"/>
      <sheetData sheetId="1">
        <row r="1">
          <cell r="A1" t="str">
            <v>BAG - A4- Line 4</v>
          </cell>
        </row>
      </sheetData>
      <sheetData sheetId="2">
        <row r="1">
          <cell r="A1" t="str">
            <v>105148</v>
          </cell>
        </row>
        <row r="2">
          <cell r="A2" t="str">
            <v>105149</v>
          </cell>
        </row>
        <row r="3">
          <cell r="A3" t="str">
            <v>105155</v>
          </cell>
        </row>
        <row r="4">
          <cell r="A4" t="str">
            <v>105810</v>
          </cell>
        </row>
        <row r="5">
          <cell r="A5" t="str">
            <v>105811</v>
          </cell>
        </row>
        <row r="6">
          <cell r="A6" t="str">
            <v>105943</v>
          </cell>
        </row>
        <row r="7">
          <cell r="A7" t="str">
            <v>108900</v>
          </cell>
        </row>
        <row r="8">
          <cell r="A8" t="str">
            <v>112456</v>
          </cell>
        </row>
        <row r="9">
          <cell r="A9" t="str">
            <v>112593</v>
          </cell>
        </row>
        <row r="10">
          <cell r="A10" t="str">
            <v>112877</v>
          </cell>
        </row>
        <row r="11">
          <cell r="A11" t="str">
            <v>113210</v>
          </cell>
        </row>
        <row r="12">
          <cell r="A12" t="str">
            <v>114190</v>
          </cell>
        </row>
        <row r="13">
          <cell r="A13" t="str">
            <v>115936</v>
          </cell>
        </row>
        <row r="14">
          <cell r="A14" t="str">
            <v>116241</v>
          </cell>
        </row>
        <row r="15">
          <cell r="A15" t="str">
            <v>117164</v>
          </cell>
        </row>
        <row r="16">
          <cell r="A16" t="str">
            <v>117620</v>
          </cell>
        </row>
        <row r="17">
          <cell r="A17" t="str">
            <v>122052</v>
          </cell>
        </row>
        <row r="18">
          <cell r="A18" t="str">
            <v>122053</v>
          </cell>
        </row>
        <row r="19">
          <cell r="A19" t="str">
            <v>122199</v>
          </cell>
        </row>
        <row r="20">
          <cell r="A20" t="str">
            <v>123400</v>
          </cell>
        </row>
        <row r="21">
          <cell r="A21" t="str">
            <v>124519</v>
          </cell>
        </row>
        <row r="22">
          <cell r="A22" t="str">
            <v>127161</v>
          </cell>
        </row>
        <row r="23">
          <cell r="A23" t="str">
            <v>127162</v>
          </cell>
        </row>
        <row r="24">
          <cell r="A24" t="str">
            <v>127366</v>
          </cell>
        </row>
        <row r="25">
          <cell r="A25" t="str">
            <v>127780</v>
          </cell>
        </row>
        <row r="26">
          <cell r="A26" t="str">
            <v>131414</v>
          </cell>
        </row>
        <row r="27">
          <cell r="A27" t="str">
            <v>300148</v>
          </cell>
        </row>
        <row r="28">
          <cell r="A28" t="str">
            <v>301674</v>
          </cell>
        </row>
        <row r="29">
          <cell r="A29" t="str">
            <v>301675</v>
          </cell>
        </row>
        <row r="30">
          <cell r="A30" t="str">
            <v>301684</v>
          </cell>
        </row>
        <row r="31">
          <cell r="A31" t="str">
            <v>303295</v>
          </cell>
        </row>
        <row r="32">
          <cell r="A32" t="str">
            <v>304094</v>
          </cell>
        </row>
        <row r="33">
          <cell r="A33" t="str">
            <v>304978</v>
          </cell>
        </row>
        <row r="34">
          <cell r="A34" t="str">
            <v>307422</v>
          </cell>
        </row>
        <row r="35">
          <cell r="A35" t="str">
            <v>308317</v>
          </cell>
        </row>
        <row r="36">
          <cell r="A36" t="str">
            <v>308368</v>
          </cell>
        </row>
        <row r="37">
          <cell r="A37" t="str">
            <v>308403</v>
          </cell>
        </row>
        <row r="38">
          <cell r="A38" t="str">
            <v>308715</v>
          </cell>
        </row>
        <row r="39">
          <cell r="A39" t="str">
            <v>309004</v>
          </cell>
        </row>
        <row r="40">
          <cell r="A40" t="str">
            <v>309158</v>
          </cell>
        </row>
        <row r="41">
          <cell r="A41" t="str">
            <v>309210</v>
          </cell>
        </row>
        <row r="42">
          <cell r="A42" t="str">
            <v>309828</v>
          </cell>
        </row>
        <row r="43">
          <cell r="A43" t="str">
            <v>309834</v>
          </cell>
        </row>
        <row r="44">
          <cell r="A44" t="str">
            <v>309861</v>
          </cell>
        </row>
        <row r="45">
          <cell r="A45" t="str">
            <v>309871</v>
          </cell>
        </row>
        <row r="46">
          <cell r="A46" t="str">
            <v>309889</v>
          </cell>
        </row>
        <row r="47">
          <cell r="A47" t="str">
            <v>309903</v>
          </cell>
        </row>
        <row r="48">
          <cell r="A48" t="str">
            <v>309970</v>
          </cell>
        </row>
        <row r="49">
          <cell r="A49" t="str">
            <v>311103</v>
          </cell>
        </row>
        <row r="50">
          <cell r="A50" t="str">
            <v>312174</v>
          </cell>
        </row>
        <row r="51">
          <cell r="A51" t="str">
            <v>312607</v>
          </cell>
        </row>
        <row r="52">
          <cell r="A52" t="str">
            <v>313085</v>
          </cell>
        </row>
        <row r="53">
          <cell r="A53" t="str">
            <v>313089</v>
          </cell>
        </row>
        <row r="54">
          <cell r="A54" t="str">
            <v>313100</v>
          </cell>
        </row>
        <row r="55">
          <cell r="A55" t="str">
            <v>313257</v>
          </cell>
        </row>
        <row r="56">
          <cell r="A56" t="str">
            <v>313295</v>
          </cell>
        </row>
        <row r="57">
          <cell r="A57" t="str">
            <v>313317</v>
          </cell>
        </row>
        <row r="58">
          <cell r="A58" t="str">
            <v>324181</v>
          </cell>
        </row>
        <row r="59">
          <cell r="A59" t="str">
            <v>325017</v>
          </cell>
        </row>
        <row r="60">
          <cell r="A60" t="str">
            <v>325104</v>
          </cell>
        </row>
        <row r="61">
          <cell r="A61" t="str">
            <v>326485</v>
          </cell>
        </row>
        <row r="62">
          <cell r="A62" t="str">
            <v>327229</v>
          </cell>
        </row>
        <row r="63">
          <cell r="A63" t="str">
            <v>327237</v>
          </cell>
        </row>
        <row r="64">
          <cell r="A64" t="str">
            <v>327658</v>
          </cell>
        </row>
        <row r="65">
          <cell r="A65" t="str">
            <v>327675</v>
          </cell>
        </row>
        <row r="66">
          <cell r="A66" t="str">
            <v>327676</v>
          </cell>
        </row>
        <row r="67">
          <cell r="A67" t="str">
            <v>327677</v>
          </cell>
        </row>
        <row r="68">
          <cell r="A68" t="str">
            <v>327678</v>
          </cell>
        </row>
        <row r="69">
          <cell r="A69" t="str">
            <v>327688</v>
          </cell>
        </row>
        <row r="70">
          <cell r="A70" t="str">
            <v>327690</v>
          </cell>
        </row>
        <row r="71">
          <cell r="A71" t="str">
            <v>327706</v>
          </cell>
        </row>
        <row r="72">
          <cell r="A72" t="str">
            <v>327751</v>
          </cell>
        </row>
        <row r="73">
          <cell r="A73" t="str">
            <v>331307</v>
          </cell>
        </row>
        <row r="74">
          <cell r="A74" t="str">
            <v>331338</v>
          </cell>
        </row>
        <row r="75">
          <cell r="A75" t="str">
            <v>331374</v>
          </cell>
        </row>
        <row r="76">
          <cell r="A76" t="str">
            <v>331437</v>
          </cell>
        </row>
        <row r="77">
          <cell r="A77" t="str">
            <v>331880</v>
          </cell>
        </row>
        <row r="78">
          <cell r="A78" t="str">
            <v>332647</v>
          </cell>
        </row>
        <row r="79">
          <cell r="A79" t="str">
            <v>334065</v>
          </cell>
        </row>
        <row r="80">
          <cell r="A80" t="str">
            <v>334334</v>
          </cell>
        </row>
        <row r="81">
          <cell r="A81" t="str">
            <v>334344</v>
          </cell>
        </row>
        <row r="82">
          <cell r="A82" t="str">
            <v>334382</v>
          </cell>
        </row>
        <row r="83">
          <cell r="A83" t="str">
            <v>334520</v>
          </cell>
        </row>
        <row r="84">
          <cell r="A84" t="str">
            <v>336269</v>
          </cell>
        </row>
        <row r="85">
          <cell r="A85" t="str">
            <v>336276</v>
          </cell>
        </row>
        <row r="86">
          <cell r="A86" t="str">
            <v>336287</v>
          </cell>
        </row>
        <row r="87">
          <cell r="A87" t="str">
            <v>336312</v>
          </cell>
        </row>
        <row r="88">
          <cell r="A88" t="str">
            <v>340058</v>
          </cell>
        </row>
        <row r="89">
          <cell r="A89" t="str">
            <v>340295</v>
          </cell>
        </row>
        <row r="90">
          <cell r="A90" t="str">
            <v>341059</v>
          </cell>
        </row>
        <row r="91">
          <cell r="A91" t="str">
            <v>341228</v>
          </cell>
        </row>
        <row r="92">
          <cell r="A92" t="str">
            <v>341261</v>
          </cell>
        </row>
        <row r="93">
          <cell r="A93" t="str">
            <v>342358</v>
          </cell>
        </row>
        <row r="94">
          <cell r="A94" t="str">
            <v>343666</v>
          </cell>
        </row>
        <row r="95">
          <cell r="A95" t="str">
            <v>344147</v>
          </cell>
        </row>
        <row r="96">
          <cell r="A96" t="str">
            <v>63735</v>
          </cell>
        </row>
        <row r="97">
          <cell r="A97" t="str">
            <v>71537</v>
          </cell>
        </row>
        <row r="98">
          <cell r="A98" t="str">
            <v>71680</v>
          </cell>
        </row>
        <row r="99">
          <cell r="A99" t="str">
            <v>7291</v>
          </cell>
        </row>
        <row r="100">
          <cell r="A100" t="str">
            <v>88228</v>
          </cell>
        </row>
        <row r="101">
          <cell r="A101" t="str">
            <v>88429</v>
          </cell>
        </row>
        <row r="102">
          <cell r="A102" t="str">
            <v>_55446</v>
          </cell>
        </row>
      </sheetData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168318900714774wDro"/>
      <sheetName val="S1683189007148107snpr"/>
      <sheetName val="S16831890071509Lcae"/>
    </sheetNames>
    <sheetDataSet>
      <sheetData sheetId="0"/>
      <sheetData sheetId="1">
        <row r="1">
          <cell r="A1" t="str">
            <v>BAG - A4- Line 4</v>
          </cell>
        </row>
        <row r="2">
          <cell r="A2" t="str">
            <v>BAG- A3- Line 1</v>
          </cell>
        </row>
        <row r="3">
          <cell r="A3" t="str">
            <v>BAG- A3- Line 2</v>
          </cell>
        </row>
        <row r="4">
          <cell r="A4" t="str">
            <v>BAG- A3- Line 3</v>
          </cell>
        </row>
        <row r="5">
          <cell r="A5" t="str">
            <v>BAG- A4- Line 1</v>
          </cell>
        </row>
        <row r="6">
          <cell r="A6" t="str">
            <v>BAG- A4- Line 2</v>
          </cell>
        </row>
        <row r="7">
          <cell r="A7" t="str">
            <v>BAG- A4- Line 3</v>
          </cell>
        </row>
        <row r="8">
          <cell r="A8" t="str">
            <v>BAG- A5- Line 1</v>
          </cell>
        </row>
        <row r="9">
          <cell r="A9" t="str">
            <v>BAG- A5- Line 2</v>
          </cell>
        </row>
        <row r="10">
          <cell r="A10" t="str">
            <v>BAG- A5- Line 3</v>
          </cell>
        </row>
        <row r="11">
          <cell r="A11" t="str">
            <v>BAG- DN- Line 1</v>
          </cell>
        </row>
        <row r="12">
          <cell r="A12" t="str">
            <v>BAG- DN- Line 2</v>
          </cell>
        </row>
        <row r="13">
          <cell r="A13" t="str">
            <v>BAG- DN- Line 3</v>
          </cell>
        </row>
        <row r="14">
          <cell r="A14" t="str">
            <v>BAG- PT- Line 1</v>
          </cell>
        </row>
        <row r="15">
          <cell r="A15" t="str">
            <v>BAG- PT- Line 2</v>
          </cell>
        </row>
        <row r="16">
          <cell r="A16" t="str">
            <v>BAG- PT- Line 3</v>
          </cell>
        </row>
        <row r="17">
          <cell r="A17" t="str">
            <v>BAG- PT- Line 4</v>
          </cell>
        </row>
        <row r="18">
          <cell r="A18" t="str">
            <v>Bag Z761- Line 1</v>
          </cell>
        </row>
        <row r="19">
          <cell r="A19" t="str">
            <v>Bag Z761- Line 2</v>
          </cell>
        </row>
        <row r="20">
          <cell r="A20" t="str">
            <v>Bag Z761- Line 3</v>
          </cell>
        </row>
        <row r="21">
          <cell r="A21" t="str">
            <v>Line 1 FLY CB- A3</v>
          </cell>
        </row>
        <row r="22">
          <cell r="A22" t="str">
            <v>Line 1 FLY CB- A4</v>
          </cell>
        </row>
        <row r="23">
          <cell r="A23" t="str">
            <v>Line 1 FLY CB- A5</v>
          </cell>
        </row>
        <row r="24">
          <cell r="A24" t="str">
            <v>Line 1 FLY CB- DN</v>
          </cell>
        </row>
        <row r="25">
          <cell r="A25" t="str">
            <v>Line 1 FLY CB- PT</v>
          </cell>
        </row>
        <row r="26">
          <cell r="A26" t="str">
            <v>Line 1 FLY CB- Z761</v>
          </cell>
        </row>
        <row r="27">
          <cell r="A27" t="str">
            <v>Line 1 INT- A3</v>
          </cell>
        </row>
        <row r="28">
          <cell r="A28" t="str">
            <v>Line 1 INT- A4</v>
          </cell>
        </row>
        <row r="29">
          <cell r="A29" t="str">
            <v>Line 1 INT- A5</v>
          </cell>
        </row>
        <row r="30">
          <cell r="A30" t="str">
            <v>Line 1 INT- DN</v>
          </cell>
        </row>
        <row r="31">
          <cell r="A31" t="str">
            <v>Line 1 INT- PT</v>
          </cell>
        </row>
        <row r="32">
          <cell r="A32" t="str">
            <v>Line 1 INT- Z761</v>
          </cell>
        </row>
        <row r="33">
          <cell r="A33" t="str">
            <v>Line 1- A3</v>
          </cell>
        </row>
        <row r="34">
          <cell r="A34" t="str">
            <v>Line 1- A4</v>
          </cell>
        </row>
        <row r="35">
          <cell r="A35" t="str">
            <v>Line 1- A5</v>
          </cell>
        </row>
        <row r="36">
          <cell r="A36" t="str">
            <v>Line 1- DN</v>
          </cell>
        </row>
        <row r="37">
          <cell r="A37" t="str">
            <v>Line 1- PT</v>
          </cell>
        </row>
        <row r="38">
          <cell r="A38" t="str">
            <v>Line 1- Z761</v>
          </cell>
        </row>
        <row r="39">
          <cell r="A39" t="str">
            <v>Line 2 FLY CB- A3</v>
          </cell>
        </row>
        <row r="40">
          <cell r="A40" t="str">
            <v>Line 2 FLY CB- A4</v>
          </cell>
        </row>
        <row r="41">
          <cell r="A41" t="str">
            <v>Line 2 FLY CB- A5</v>
          </cell>
        </row>
        <row r="42">
          <cell r="A42" t="str">
            <v>Line 2 FLY CB- DN</v>
          </cell>
        </row>
        <row r="43">
          <cell r="A43" t="str">
            <v>Line 2 FLY CB- PT</v>
          </cell>
        </row>
        <row r="44">
          <cell r="A44" t="str">
            <v>Line 2 FLY CB- Z761</v>
          </cell>
        </row>
        <row r="45">
          <cell r="A45" t="str">
            <v>Line 2 INT- A3</v>
          </cell>
        </row>
        <row r="46">
          <cell r="A46" t="str">
            <v>Line 2 INT- A4</v>
          </cell>
        </row>
        <row r="47">
          <cell r="A47" t="str">
            <v>Line 2 INT- A5</v>
          </cell>
        </row>
        <row r="48">
          <cell r="A48" t="str">
            <v>Line 2 INT- DN</v>
          </cell>
        </row>
        <row r="49">
          <cell r="A49" t="str">
            <v>Line 2 INT- PT</v>
          </cell>
        </row>
        <row r="50">
          <cell r="A50" t="str">
            <v>Line 2 INT- Z761</v>
          </cell>
        </row>
        <row r="51">
          <cell r="A51" t="str">
            <v>Line 2- A3</v>
          </cell>
        </row>
        <row r="52">
          <cell r="A52" t="str">
            <v>Line 2- A4</v>
          </cell>
        </row>
        <row r="53">
          <cell r="A53" t="str">
            <v>Line 2- A5</v>
          </cell>
        </row>
        <row r="54">
          <cell r="A54" t="str">
            <v>Line 2- DN</v>
          </cell>
        </row>
        <row r="55">
          <cell r="A55" t="str">
            <v>Line 2- PT</v>
          </cell>
        </row>
        <row r="56">
          <cell r="A56" t="str">
            <v>Line 2- Z761</v>
          </cell>
        </row>
        <row r="57">
          <cell r="A57" t="str">
            <v>Line 3 FLY CB- A3</v>
          </cell>
        </row>
        <row r="58">
          <cell r="A58" t="str">
            <v>Line 3 FLY CB- A4</v>
          </cell>
        </row>
        <row r="59">
          <cell r="A59" t="str">
            <v>Line 3 FLY CB- A5</v>
          </cell>
        </row>
        <row r="60">
          <cell r="A60" t="str">
            <v>Line 3 FLY CB- DN</v>
          </cell>
        </row>
        <row r="61">
          <cell r="A61" t="str">
            <v>Line 3 FLY CB- PT</v>
          </cell>
        </row>
        <row r="62">
          <cell r="A62" t="str">
            <v>Line 3 FLY CB- Z761</v>
          </cell>
        </row>
        <row r="63">
          <cell r="A63" t="str">
            <v>Line 3 INT- A3</v>
          </cell>
        </row>
        <row r="64">
          <cell r="A64" t="str">
            <v>Line 3 INT- A4</v>
          </cell>
        </row>
        <row r="65">
          <cell r="A65" t="str">
            <v>Line 3 INT- A5</v>
          </cell>
        </row>
        <row r="66">
          <cell r="A66" t="str">
            <v>Line 3 INT- DN</v>
          </cell>
        </row>
        <row r="67">
          <cell r="A67" t="str">
            <v>Line 3 INT- PT</v>
          </cell>
        </row>
        <row r="68">
          <cell r="A68" t="str">
            <v>Line 3 INT- Z761</v>
          </cell>
        </row>
        <row r="69">
          <cell r="A69" t="str">
            <v>Line 3- A3</v>
          </cell>
        </row>
        <row r="70">
          <cell r="A70" t="str">
            <v>Line 3- A4</v>
          </cell>
        </row>
        <row r="71">
          <cell r="A71" t="str">
            <v>Line 3- A5</v>
          </cell>
        </row>
        <row r="72">
          <cell r="A72" t="str">
            <v>Line 3- DN</v>
          </cell>
        </row>
        <row r="73">
          <cell r="A73" t="str">
            <v>Line 3- PT</v>
          </cell>
        </row>
        <row r="74">
          <cell r="A74" t="str">
            <v>Line 3- Z761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006"/>
  <sheetViews>
    <sheetView tabSelected="1" workbookViewId="0">
      <selection activeCell="B5" sqref="B5"/>
    </sheetView>
  </sheetViews>
  <sheetFormatPr defaultColWidth="14.44140625" defaultRowHeight="14.4" x14ac:dyDescent="0.3"/>
  <cols>
    <col min="1" max="1" width="16.6640625" customWidth="1"/>
    <col min="2" max="2" width="37.33203125" customWidth="1"/>
    <col min="3" max="3" width="11.44140625" customWidth="1"/>
    <col min="4" max="5" width="8.5546875" customWidth="1"/>
    <col min="6" max="7" width="11" customWidth="1"/>
    <col min="8" max="8" width="8.5546875" customWidth="1"/>
    <col min="9" max="9" width="19.33203125" customWidth="1"/>
    <col min="10" max="10" width="19.6640625" customWidth="1"/>
    <col min="11" max="62" width="8.6640625" hidden="1" customWidth="1"/>
  </cols>
  <sheetData>
    <row r="1" spans="1:63" ht="96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>
        <v>2301</v>
      </c>
      <c r="L1" s="4">
        <v>2302</v>
      </c>
      <c r="M1" s="4">
        <v>2303</v>
      </c>
      <c r="N1" s="4">
        <v>2304</v>
      </c>
      <c r="O1" s="4">
        <v>2305</v>
      </c>
      <c r="P1" s="4">
        <v>2306</v>
      </c>
      <c r="Q1" s="4">
        <v>2307</v>
      </c>
      <c r="R1" s="4">
        <v>2308</v>
      </c>
      <c r="S1" s="4">
        <v>2309</v>
      </c>
      <c r="T1" s="4">
        <v>2310</v>
      </c>
      <c r="U1" s="4">
        <v>2311</v>
      </c>
      <c r="V1" s="4">
        <v>2312</v>
      </c>
      <c r="W1" s="4">
        <v>2313</v>
      </c>
      <c r="X1" s="4">
        <v>2314</v>
      </c>
      <c r="Y1" s="4">
        <v>2315</v>
      </c>
      <c r="Z1" s="4">
        <v>2316</v>
      </c>
      <c r="AA1" s="4">
        <v>2317</v>
      </c>
      <c r="AB1" s="4">
        <v>2318</v>
      </c>
      <c r="AC1" s="4">
        <v>2319</v>
      </c>
      <c r="AD1" s="4">
        <v>2320</v>
      </c>
      <c r="AE1" s="4">
        <v>2321</v>
      </c>
      <c r="AF1" s="4">
        <v>2322</v>
      </c>
      <c r="AG1" s="4">
        <v>2323</v>
      </c>
      <c r="AH1" s="4">
        <v>2324</v>
      </c>
      <c r="AI1" s="4">
        <v>2325</v>
      </c>
      <c r="AJ1" s="4">
        <v>2326</v>
      </c>
      <c r="AK1" s="4">
        <v>2327</v>
      </c>
      <c r="AL1" s="4">
        <v>2328</v>
      </c>
      <c r="AM1" s="4">
        <v>2329</v>
      </c>
      <c r="AN1" s="4">
        <v>2330</v>
      </c>
      <c r="AO1" s="4">
        <v>2331</v>
      </c>
      <c r="AP1" s="4">
        <v>2332</v>
      </c>
      <c r="AQ1" s="4">
        <v>2333</v>
      </c>
      <c r="AR1" s="4">
        <v>2334</v>
      </c>
      <c r="AS1" s="4">
        <v>2335</v>
      </c>
      <c r="AT1" s="4">
        <v>2336</v>
      </c>
      <c r="AU1" s="4">
        <v>2337</v>
      </c>
      <c r="AV1" s="4">
        <v>2338</v>
      </c>
      <c r="AW1" s="4">
        <v>2339</v>
      </c>
      <c r="AX1" s="4">
        <v>2340</v>
      </c>
      <c r="AY1" s="4">
        <v>2341</v>
      </c>
      <c r="AZ1" s="4">
        <v>2342</v>
      </c>
      <c r="BA1" s="4">
        <v>2343</v>
      </c>
      <c r="BB1" s="4">
        <v>2344</v>
      </c>
      <c r="BC1" s="4">
        <v>2345</v>
      </c>
      <c r="BD1" s="4">
        <v>2346</v>
      </c>
      <c r="BE1" s="4">
        <v>2347</v>
      </c>
      <c r="BF1" s="4">
        <v>2348</v>
      </c>
      <c r="BG1" s="4">
        <v>2349</v>
      </c>
      <c r="BH1" s="4">
        <v>2350</v>
      </c>
      <c r="BI1" s="4">
        <v>2351</v>
      </c>
      <c r="BJ1" s="4">
        <v>2352</v>
      </c>
    </row>
    <row r="2" spans="1:63" ht="14.25" customHeight="1" x14ac:dyDescent="0.3">
      <c r="A2" s="5" t="s">
        <v>10</v>
      </c>
      <c r="B2" s="6" t="s">
        <v>11</v>
      </c>
      <c r="C2" s="7">
        <f>SUM(D2:H2)</f>
        <v>36.893000000000001</v>
      </c>
      <c r="D2" s="6">
        <v>4.01</v>
      </c>
      <c r="E2" s="6">
        <v>3.4</v>
      </c>
      <c r="F2" s="7">
        <f>20.019+3.878+H2*1/2</f>
        <v>25.759</v>
      </c>
      <c r="G2" s="7"/>
      <c r="H2" s="7">
        <v>3.7240000000000002</v>
      </c>
      <c r="I2" s="8" t="s">
        <v>12</v>
      </c>
      <c r="J2" s="9">
        <v>0.63</v>
      </c>
      <c r="K2" s="9">
        <v>0.7</v>
      </c>
      <c r="L2" s="9">
        <v>0.7</v>
      </c>
      <c r="M2" s="9">
        <v>0.7</v>
      </c>
      <c r="N2" s="9">
        <v>0.7</v>
      </c>
      <c r="O2" s="9">
        <v>0.7</v>
      </c>
      <c r="P2" s="9">
        <v>0.7</v>
      </c>
      <c r="Q2" s="9">
        <v>0.7</v>
      </c>
      <c r="R2" s="9">
        <v>0.7</v>
      </c>
      <c r="S2" s="9">
        <v>0.7</v>
      </c>
      <c r="T2" s="9">
        <v>0.7</v>
      </c>
      <c r="U2" s="9">
        <v>0.7</v>
      </c>
      <c r="V2" s="9">
        <v>0.7</v>
      </c>
      <c r="W2" s="9">
        <v>0.7</v>
      </c>
      <c r="X2" s="9">
        <v>0.7</v>
      </c>
      <c r="Y2" s="9">
        <v>0.7</v>
      </c>
      <c r="Z2" s="9">
        <v>0.7</v>
      </c>
      <c r="AA2" s="9">
        <v>0.7</v>
      </c>
      <c r="AB2" s="9">
        <v>0.7</v>
      </c>
      <c r="AC2" s="9">
        <v>0.7</v>
      </c>
      <c r="AD2" s="9">
        <v>0.7</v>
      </c>
      <c r="AE2" s="9">
        <v>0.7</v>
      </c>
      <c r="AF2" s="9">
        <v>0.7</v>
      </c>
      <c r="AG2" s="9">
        <v>0.7</v>
      </c>
      <c r="AH2" s="9">
        <v>0.7</v>
      </c>
      <c r="AI2" s="9">
        <v>0.7</v>
      </c>
      <c r="AJ2" s="9">
        <v>0.7</v>
      </c>
      <c r="AK2" s="9">
        <v>0.7</v>
      </c>
      <c r="AL2" s="9">
        <v>0.7</v>
      </c>
      <c r="AM2" s="9">
        <v>0.7</v>
      </c>
      <c r="AN2" s="9">
        <v>0.7</v>
      </c>
      <c r="AO2" s="9">
        <v>0.7</v>
      </c>
      <c r="AP2" s="9">
        <v>0.7</v>
      </c>
      <c r="AQ2" s="9">
        <v>0.7</v>
      </c>
      <c r="AR2" s="9">
        <v>0.7</v>
      </c>
      <c r="AS2" s="9">
        <v>0.7</v>
      </c>
      <c r="AT2" s="9">
        <v>0.7</v>
      </c>
      <c r="AU2" s="9">
        <v>0.7</v>
      </c>
      <c r="AV2" s="9">
        <v>0.7</v>
      </c>
      <c r="AW2" s="9">
        <v>0.7</v>
      </c>
      <c r="AX2" s="9">
        <v>0.7</v>
      </c>
      <c r="AY2" s="9">
        <v>0.7</v>
      </c>
      <c r="AZ2" s="9">
        <v>0.7</v>
      </c>
      <c r="BA2" s="9">
        <v>0.7</v>
      </c>
      <c r="BB2" s="9">
        <v>0.7</v>
      </c>
      <c r="BC2" s="9">
        <v>0.7</v>
      </c>
      <c r="BD2" s="9">
        <v>0.7</v>
      </c>
      <c r="BE2" s="9">
        <v>0.7</v>
      </c>
      <c r="BF2" s="9">
        <v>0.7</v>
      </c>
      <c r="BG2" s="9">
        <v>0.7</v>
      </c>
      <c r="BH2" s="9">
        <v>0.7</v>
      </c>
      <c r="BI2" s="9">
        <v>0.7</v>
      </c>
      <c r="BJ2" s="9">
        <v>0.7</v>
      </c>
    </row>
    <row r="3" spans="1:63" ht="14.25" customHeight="1" x14ac:dyDescent="0.3">
      <c r="A3" s="5" t="s">
        <v>13</v>
      </c>
      <c r="B3" s="6" t="s">
        <v>14</v>
      </c>
      <c r="C3" s="7">
        <f t="shared" ref="C3:C48" si="0">SUM(D3:H3)</f>
        <v>27.035</v>
      </c>
      <c r="D3" s="6"/>
      <c r="E3" s="6"/>
      <c r="F3" s="7">
        <f>12.887+4.684+3.878+H3*1/2</f>
        <v>23.311</v>
      </c>
      <c r="G3" s="7"/>
      <c r="H3" s="7">
        <v>3.7240000000000002</v>
      </c>
      <c r="I3" s="8" t="s">
        <v>12</v>
      </c>
      <c r="J3" s="9">
        <v>0.63</v>
      </c>
      <c r="K3" s="9">
        <v>0.7</v>
      </c>
      <c r="L3" s="9">
        <v>0.7</v>
      </c>
      <c r="M3" s="9">
        <v>0.7</v>
      </c>
      <c r="N3" s="9">
        <v>0.7</v>
      </c>
      <c r="O3" s="9">
        <v>0.7</v>
      </c>
      <c r="P3" s="9">
        <v>0.7</v>
      </c>
      <c r="Q3" s="9">
        <v>0.7</v>
      </c>
      <c r="R3" s="9">
        <v>0.7</v>
      </c>
      <c r="S3" s="9">
        <v>0.7</v>
      </c>
      <c r="T3" s="9">
        <v>0.7</v>
      </c>
      <c r="U3" s="9">
        <v>0.7</v>
      </c>
      <c r="V3" s="9">
        <v>0.7</v>
      </c>
      <c r="W3" s="9">
        <v>0.7</v>
      </c>
      <c r="X3" s="9">
        <v>0.7</v>
      </c>
      <c r="Y3" s="9">
        <v>0.7</v>
      </c>
      <c r="Z3" s="9">
        <v>0.7</v>
      </c>
      <c r="AA3" s="9">
        <v>0.7</v>
      </c>
      <c r="AB3" s="9">
        <v>0.7</v>
      </c>
      <c r="AC3" s="9">
        <v>0.7</v>
      </c>
      <c r="AD3" s="9">
        <v>0.7</v>
      </c>
      <c r="AE3" s="9">
        <v>0.7</v>
      </c>
      <c r="AF3" s="9">
        <v>0.7</v>
      </c>
      <c r="AG3" s="9">
        <v>0.7</v>
      </c>
      <c r="AH3" s="9">
        <v>0.7</v>
      </c>
      <c r="AI3" s="9">
        <v>0.7</v>
      </c>
      <c r="AJ3" s="9">
        <v>0.7</v>
      </c>
      <c r="AK3" s="9">
        <v>0.7</v>
      </c>
      <c r="AL3" s="9">
        <v>0.7</v>
      </c>
      <c r="AM3" s="9">
        <v>0.7</v>
      </c>
      <c r="AN3" s="9">
        <v>0.7</v>
      </c>
      <c r="AO3" s="9">
        <v>0.7</v>
      </c>
      <c r="AP3" s="9">
        <v>0.7</v>
      </c>
      <c r="AQ3" s="9">
        <v>0.7</v>
      </c>
      <c r="AR3" s="9">
        <v>0.7</v>
      </c>
      <c r="AS3" s="9">
        <v>0.7</v>
      </c>
      <c r="AT3" s="9">
        <v>0.7</v>
      </c>
      <c r="AU3" s="9">
        <v>0.7</v>
      </c>
      <c r="AV3" s="9">
        <v>0.7</v>
      </c>
      <c r="AW3" s="9">
        <v>0.7</v>
      </c>
      <c r="AX3" s="9">
        <v>0.7</v>
      </c>
      <c r="AY3" s="9">
        <v>0.7</v>
      </c>
      <c r="AZ3" s="9">
        <v>0.7</v>
      </c>
      <c r="BA3" s="9">
        <v>0.7</v>
      </c>
      <c r="BB3" s="9">
        <v>0.7</v>
      </c>
      <c r="BC3" s="9">
        <v>0.7</v>
      </c>
      <c r="BD3" s="9">
        <v>0.7</v>
      </c>
      <c r="BE3" s="9">
        <v>0.7</v>
      </c>
      <c r="BF3" s="9">
        <v>0.7</v>
      </c>
      <c r="BG3" s="9">
        <v>0.7</v>
      </c>
      <c r="BH3" s="9">
        <v>0.7</v>
      </c>
      <c r="BI3" s="9">
        <v>0.7</v>
      </c>
      <c r="BJ3" s="9">
        <v>0.7</v>
      </c>
    </row>
    <row r="4" spans="1:63" ht="28.2" customHeight="1" x14ac:dyDescent="0.3">
      <c r="A4" s="5" t="s">
        <v>15</v>
      </c>
      <c r="B4" s="6" t="s">
        <v>16</v>
      </c>
      <c r="C4" s="7">
        <f>SUM(D4:H4)</f>
        <v>34.338000000000008</v>
      </c>
      <c r="D4" s="6">
        <v>1.0820000000000001</v>
      </c>
      <c r="E4" s="6">
        <v>5.7960000000000003</v>
      </c>
      <c r="F4" s="7">
        <f>20.282+7.756/2+H4/2</f>
        <v>25.26</v>
      </c>
      <c r="G4" s="7"/>
      <c r="H4" s="7">
        <v>2.2000000000000002</v>
      </c>
      <c r="I4" s="8" t="s">
        <v>12</v>
      </c>
      <c r="J4" s="9">
        <v>0.63</v>
      </c>
      <c r="K4" s="9">
        <v>0.7</v>
      </c>
      <c r="L4" s="9">
        <v>0.7</v>
      </c>
      <c r="M4" s="9">
        <v>0.7</v>
      </c>
      <c r="N4" s="9">
        <v>0.7</v>
      </c>
      <c r="O4" s="9">
        <v>0.7</v>
      </c>
      <c r="P4" s="9">
        <v>0.7</v>
      </c>
      <c r="Q4" s="9">
        <v>0.7</v>
      </c>
      <c r="R4" s="9">
        <v>0.7</v>
      </c>
      <c r="S4" s="9">
        <v>0.7</v>
      </c>
      <c r="T4" s="9">
        <v>0.7</v>
      </c>
      <c r="U4" s="9">
        <v>0.7</v>
      </c>
      <c r="V4" s="9">
        <v>0.7</v>
      </c>
      <c r="W4" s="9">
        <v>0.7</v>
      </c>
      <c r="X4" s="9">
        <v>0.7</v>
      </c>
      <c r="Y4" s="9">
        <v>0.7</v>
      </c>
      <c r="Z4" s="9">
        <v>0.7</v>
      </c>
      <c r="AA4" s="9">
        <v>0.7</v>
      </c>
      <c r="AB4" s="9">
        <v>0.7</v>
      </c>
      <c r="AC4" s="9">
        <v>0.7</v>
      </c>
      <c r="AD4" s="9">
        <v>0.7</v>
      </c>
      <c r="AE4" s="9">
        <v>0.7</v>
      </c>
      <c r="AF4" s="9">
        <v>0.7</v>
      </c>
      <c r="AG4" s="9">
        <v>0.7</v>
      </c>
      <c r="AH4" s="9">
        <v>0.7</v>
      </c>
      <c r="AI4" s="9">
        <v>0.7</v>
      </c>
      <c r="AJ4" s="9">
        <v>0.7</v>
      </c>
      <c r="AK4" s="9">
        <v>0.7</v>
      </c>
      <c r="AL4" s="9">
        <v>0.7</v>
      </c>
      <c r="AM4" s="9">
        <v>0.7</v>
      </c>
      <c r="AN4" s="9">
        <v>0.7</v>
      </c>
      <c r="AO4" s="9">
        <v>0.7</v>
      </c>
      <c r="AP4" s="9">
        <v>0.7</v>
      </c>
      <c r="AQ4" s="9">
        <v>0.7</v>
      </c>
      <c r="AR4" s="9">
        <v>0.7</v>
      </c>
      <c r="AS4" s="9">
        <v>0.7</v>
      </c>
      <c r="AT4" s="9">
        <v>0.7</v>
      </c>
      <c r="AU4" s="9">
        <v>0.7</v>
      </c>
      <c r="AV4" s="9">
        <v>0.7</v>
      </c>
      <c r="AW4" s="9">
        <v>0.7</v>
      </c>
      <c r="AX4" s="9">
        <v>0.7</v>
      </c>
      <c r="AY4" s="9">
        <v>0.7</v>
      </c>
      <c r="AZ4" s="9">
        <v>0.7</v>
      </c>
      <c r="BA4" s="9">
        <v>0.7</v>
      </c>
      <c r="BB4" s="9">
        <v>0.7</v>
      </c>
      <c r="BC4" s="9">
        <v>0.7</v>
      </c>
      <c r="BD4" s="9">
        <v>0.7</v>
      </c>
      <c r="BE4" s="9">
        <v>0.7</v>
      </c>
      <c r="BF4" s="9">
        <v>0.7</v>
      </c>
      <c r="BG4" s="9">
        <v>0.7</v>
      </c>
      <c r="BH4" s="9">
        <v>0.7</v>
      </c>
      <c r="BI4" s="9">
        <v>0.7</v>
      </c>
      <c r="BJ4" s="9">
        <v>0.7</v>
      </c>
    </row>
    <row r="5" spans="1:63" ht="28.2" customHeight="1" x14ac:dyDescent="0.3">
      <c r="A5" s="5" t="s">
        <v>17</v>
      </c>
      <c r="B5" s="6" t="s">
        <v>18</v>
      </c>
      <c r="C5" s="7">
        <f>SUM(D5:H5)</f>
        <v>25.066000000000003</v>
      </c>
      <c r="D5" s="6"/>
      <c r="E5" s="6"/>
      <c r="F5" s="7">
        <f>13.204+4.684+7.756/2+H5/2</f>
        <v>22.866000000000003</v>
      </c>
      <c r="G5" s="7"/>
      <c r="H5" s="7">
        <v>2.2000000000000002</v>
      </c>
      <c r="I5" s="8" t="s">
        <v>12</v>
      </c>
      <c r="J5" s="9">
        <v>0.63</v>
      </c>
      <c r="K5" s="9">
        <v>0.7</v>
      </c>
      <c r="L5" s="9">
        <v>0.7</v>
      </c>
      <c r="M5" s="9">
        <v>0.7</v>
      </c>
      <c r="N5" s="9">
        <v>0.7</v>
      </c>
      <c r="O5" s="9">
        <v>0.7</v>
      </c>
      <c r="P5" s="9">
        <v>0.7</v>
      </c>
      <c r="Q5" s="9">
        <v>0.7</v>
      </c>
      <c r="R5" s="9">
        <v>0.7</v>
      </c>
      <c r="S5" s="9">
        <v>0.7</v>
      </c>
      <c r="T5" s="9">
        <v>0.7</v>
      </c>
      <c r="U5" s="9">
        <v>0.7</v>
      </c>
      <c r="V5" s="9">
        <v>0.7</v>
      </c>
      <c r="W5" s="9">
        <v>0.7</v>
      </c>
      <c r="X5" s="9">
        <v>0.7</v>
      </c>
      <c r="Y5" s="9">
        <v>0.7</v>
      </c>
      <c r="Z5" s="9">
        <v>0.7</v>
      </c>
      <c r="AA5" s="9">
        <v>0.7</v>
      </c>
      <c r="AB5" s="9">
        <v>0.7</v>
      </c>
      <c r="AC5" s="9">
        <v>0.7</v>
      </c>
      <c r="AD5" s="9">
        <v>0.7</v>
      </c>
      <c r="AE5" s="9">
        <v>0.7</v>
      </c>
      <c r="AF5" s="9">
        <v>0.7</v>
      </c>
      <c r="AG5" s="9">
        <v>0.7</v>
      </c>
      <c r="AH5" s="9">
        <v>0.7</v>
      </c>
      <c r="AI5" s="9">
        <v>0.7</v>
      </c>
      <c r="AJ5" s="9">
        <v>0.7</v>
      </c>
      <c r="AK5" s="9">
        <v>0.7</v>
      </c>
      <c r="AL5" s="9">
        <v>0.7</v>
      </c>
      <c r="AM5" s="9">
        <v>0.7</v>
      </c>
      <c r="AN5" s="9">
        <v>0.7</v>
      </c>
      <c r="AO5" s="9">
        <v>0.7</v>
      </c>
      <c r="AP5" s="9">
        <v>0.7</v>
      </c>
      <c r="AQ5" s="9">
        <v>0.7</v>
      </c>
      <c r="AR5" s="9">
        <v>0.7</v>
      </c>
      <c r="AS5" s="9">
        <v>0.7</v>
      </c>
      <c r="AT5" s="9">
        <v>0.7</v>
      </c>
      <c r="AU5" s="9">
        <v>0.7</v>
      </c>
      <c r="AV5" s="9">
        <v>0.7</v>
      </c>
      <c r="AW5" s="9">
        <v>0.7</v>
      </c>
      <c r="AX5" s="9">
        <v>0.7</v>
      </c>
      <c r="AY5" s="9">
        <v>0.7</v>
      </c>
      <c r="AZ5" s="9">
        <v>0.7</v>
      </c>
      <c r="BA5" s="9">
        <v>0.7</v>
      </c>
      <c r="BB5" s="9">
        <v>0.7</v>
      </c>
      <c r="BC5" s="9">
        <v>0.7</v>
      </c>
      <c r="BD5" s="9">
        <v>0.7</v>
      </c>
      <c r="BE5" s="9">
        <v>0.7</v>
      </c>
      <c r="BF5" s="9">
        <v>0.7</v>
      </c>
      <c r="BG5" s="9">
        <v>0.7</v>
      </c>
      <c r="BH5" s="9">
        <v>0.7</v>
      </c>
      <c r="BI5" s="9">
        <v>0.7</v>
      </c>
      <c r="BJ5" s="9">
        <v>0.7</v>
      </c>
    </row>
    <row r="6" spans="1:63" ht="14.25" customHeight="1" x14ac:dyDescent="0.3">
      <c r="A6" s="10">
        <v>336276</v>
      </c>
      <c r="B6" s="6" t="s">
        <v>19</v>
      </c>
      <c r="C6" s="7">
        <f t="shared" si="0"/>
        <v>23.555</v>
      </c>
      <c r="D6" s="6">
        <v>0.51200000000000001</v>
      </c>
      <c r="E6" s="6">
        <v>0.60699999999999998</v>
      </c>
      <c r="F6" s="7">
        <f>14.649+1.888+3.175+H6</f>
        <v>21.073999999999998</v>
      </c>
      <c r="G6" s="7"/>
      <c r="H6" s="7">
        <v>1.3620000000000001</v>
      </c>
      <c r="I6" s="8" t="s">
        <v>12</v>
      </c>
      <c r="J6" s="9">
        <v>0.63</v>
      </c>
      <c r="K6" s="9">
        <v>0.7</v>
      </c>
      <c r="L6" s="9">
        <v>0.7</v>
      </c>
      <c r="M6" s="9">
        <v>0.7</v>
      </c>
      <c r="N6" s="9">
        <v>0.7</v>
      </c>
      <c r="O6" s="9">
        <v>0.7</v>
      </c>
      <c r="P6" s="9">
        <v>0.7</v>
      </c>
      <c r="Q6" s="9">
        <v>0.7</v>
      </c>
      <c r="R6" s="9">
        <v>0.7</v>
      </c>
      <c r="S6" s="9">
        <v>0.7</v>
      </c>
      <c r="T6" s="9">
        <v>0.7</v>
      </c>
      <c r="U6" s="9">
        <v>0.7</v>
      </c>
      <c r="V6" s="9">
        <v>0.7</v>
      </c>
      <c r="W6" s="9">
        <v>0.7</v>
      </c>
      <c r="X6" s="9">
        <v>0.7</v>
      </c>
      <c r="Y6" s="9">
        <v>0.7</v>
      </c>
      <c r="Z6" s="9">
        <v>0.7</v>
      </c>
      <c r="AA6" s="9">
        <v>0.7</v>
      </c>
      <c r="AB6" s="9">
        <v>0.7</v>
      </c>
      <c r="AC6" s="9">
        <v>0.7</v>
      </c>
      <c r="AD6" s="9">
        <v>0.7</v>
      </c>
      <c r="AE6" s="9">
        <v>0.7</v>
      </c>
      <c r="AF6" s="9">
        <v>0.7</v>
      </c>
      <c r="AG6" s="9">
        <v>0.7</v>
      </c>
      <c r="AH6" s="9">
        <v>0.7</v>
      </c>
      <c r="AI6" s="9">
        <v>0.7</v>
      </c>
      <c r="AJ6" s="9">
        <v>0.7</v>
      </c>
      <c r="AK6" s="9">
        <v>0.7</v>
      </c>
      <c r="AL6" s="9">
        <v>0.7</v>
      </c>
      <c r="AM6" s="9">
        <v>0.7</v>
      </c>
      <c r="AN6" s="9">
        <v>0.7</v>
      </c>
      <c r="AO6" s="9">
        <v>0.7</v>
      </c>
      <c r="AP6" s="9">
        <v>0.7</v>
      </c>
      <c r="AQ6" s="9">
        <v>0.7</v>
      </c>
      <c r="AR6" s="9">
        <v>0.7</v>
      </c>
      <c r="AS6" s="9">
        <v>0.7</v>
      </c>
      <c r="AT6" s="9">
        <v>0.7</v>
      </c>
      <c r="AU6" s="9">
        <v>0.7</v>
      </c>
      <c r="AV6" s="9">
        <v>0.7</v>
      </c>
      <c r="AW6" s="9">
        <v>0.7</v>
      </c>
      <c r="AX6" s="9">
        <v>0.7</v>
      </c>
      <c r="AY6" s="9">
        <v>0.7</v>
      </c>
      <c r="AZ6" s="9">
        <v>0.7</v>
      </c>
      <c r="BA6" s="9">
        <v>0.7</v>
      </c>
      <c r="BB6" s="9">
        <v>0.7</v>
      </c>
      <c r="BC6" s="9">
        <v>0.7</v>
      </c>
      <c r="BD6" s="9">
        <v>0.7</v>
      </c>
      <c r="BE6" s="9">
        <v>0.7</v>
      </c>
      <c r="BF6" s="9">
        <v>0.7</v>
      </c>
      <c r="BG6" s="9">
        <v>0.7</v>
      </c>
      <c r="BH6" s="9">
        <v>0.7</v>
      </c>
      <c r="BI6" s="9">
        <v>0.7</v>
      </c>
      <c r="BJ6" s="9">
        <v>0.7</v>
      </c>
      <c r="BK6" s="7"/>
    </row>
    <row r="7" spans="1:63" ht="14.25" customHeight="1" x14ac:dyDescent="0.3">
      <c r="A7" s="5">
        <v>342358</v>
      </c>
      <c r="B7" s="6" t="s">
        <v>20</v>
      </c>
      <c r="C7" s="7">
        <f t="shared" si="0"/>
        <v>3.7</v>
      </c>
      <c r="D7" s="6"/>
      <c r="E7" s="6"/>
      <c r="F7" s="7">
        <f>3.2+H7</f>
        <v>3.45</v>
      </c>
      <c r="G7" s="7"/>
      <c r="H7" s="7">
        <v>0.25</v>
      </c>
      <c r="I7" s="8" t="s">
        <v>12</v>
      </c>
      <c r="J7" s="9">
        <v>0.63</v>
      </c>
      <c r="K7" s="9">
        <v>0.7</v>
      </c>
      <c r="L7" s="9">
        <v>0.7</v>
      </c>
      <c r="M7" s="9">
        <v>0.7</v>
      </c>
      <c r="N7" s="9">
        <v>0.7</v>
      </c>
      <c r="O7" s="9">
        <v>0.7</v>
      </c>
      <c r="P7" s="9">
        <v>0.7</v>
      </c>
      <c r="Q7" s="9">
        <v>0.7</v>
      </c>
      <c r="R7" s="9">
        <v>0.7</v>
      </c>
      <c r="S7" s="9">
        <v>0.7</v>
      </c>
      <c r="T7" s="9">
        <v>0.7</v>
      </c>
      <c r="U7" s="9">
        <v>0.7</v>
      </c>
      <c r="V7" s="9">
        <v>0.7</v>
      </c>
      <c r="W7" s="9">
        <v>0.7</v>
      </c>
      <c r="X7" s="9">
        <v>0.7</v>
      </c>
      <c r="Y7" s="9">
        <v>0.7</v>
      </c>
      <c r="Z7" s="9">
        <v>0.7</v>
      </c>
      <c r="AA7" s="9">
        <v>0.7</v>
      </c>
      <c r="AB7" s="9">
        <v>0.7</v>
      </c>
      <c r="AC7" s="9">
        <v>0.7</v>
      </c>
      <c r="AD7" s="9">
        <v>0.7</v>
      </c>
      <c r="AE7" s="9">
        <v>0.7</v>
      </c>
      <c r="AF7" s="9">
        <v>0.7</v>
      </c>
      <c r="AG7" s="9">
        <v>0.7</v>
      </c>
      <c r="AH7" s="9">
        <v>0.7</v>
      </c>
      <c r="AI7" s="9">
        <v>0.7</v>
      </c>
      <c r="AJ7" s="9">
        <v>0.7</v>
      </c>
      <c r="AK7" s="9">
        <v>0.7</v>
      </c>
      <c r="AL7" s="9">
        <v>0.7</v>
      </c>
      <c r="AM7" s="9">
        <v>0.7</v>
      </c>
      <c r="AN7" s="9">
        <v>0.7</v>
      </c>
      <c r="AO7" s="9">
        <v>0.7</v>
      </c>
      <c r="AP7" s="9">
        <v>0.7</v>
      </c>
      <c r="AQ7" s="9">
        <v>0.7</v>
      </c>
      <c r="AR7" s="9">
        <v>0.7</v>
      </c>
      <c r="AS7" s="9">
        <v>0.7</v>
      </c>
      <c r="AT7" s="9">
        <v>0.7</v>
      </c>
      <c r="AU7" s="9">
        <v>0.7</v>
      </c>
      <c r="AV7" s="9">
        <v>0.7</v>
      </c>
      <c r="AW7" s="9">
        <v>0.7</v>
      </c>
      <c r="AX7" s="9">
        <v>0.7</v>
      </c>
      <c r="AY7" s="9">
        <v>0.7</v>
      </c>
      <c r="AZ7" s="9">
        <v>0.7</v>
      </c>
      <c r="BA7" s="9">
        <v>0.7</v>
      </c>
      <c r="BB7" s="9">
        <v>0.7</v>
      </c>
      <c r="BC7" s="9">
        <v>0.7</v>
      </c>
      <c r="BD7" s="9">
        <v>0.7</v>
      </c>
      <c r="BE7" s="9">
        <v>0.7</v>
      </c>
      <c r="BF7" s="9">
        <v>0.7</v>
      </c>
      <c r="BG7" s="9">
        <v>0.7</v>
      </c>
      <c r="BH7" s="9">
        <v>0.7</v>
      </c>
      <c r="BI7" s="9">
        <v>0.7</v>
      </c>
      <c r="BJ7" s="9">
        <v>0.7</v>
      </c>
    </row>
    <row r="8" spans="1:63" ht="14.25" customHeight="1" x14ac:dyDescent="0.3">
      <c r="A8" s="11">
        <v>122053</v>
      </c>
      <c r="B8" s="6" t="s">
        <v>21</v>
      </c>
      <c r="C8" s="7">
        <f t="shared" si="0"/>
        <v>122.837</v>
      </c>
      <c r="D8" s="6">
        <v>4.8869999999999996</v>
      </c>
      <c r="E8" s="6">
        <v>6.0519999999999996</v>
      </c>
      <c r="F8" s="7">
        <f>90.058+3.434+8.614+H8</f>
        <v>107.00200000000001</v>
      </c>
      <c r="G8" s="7"/>
      <c r="H8" s="7">
        <v>4.8959999999999999</v>
      </c>
      <c r="I8" s="8" t="s">
        <v>12</v>
      </c>
      <c r="J8" s="9">
        <v>0.63</v>
      </c>
      <c r="K8" s="9">
        <v>0.7</v>
      </c>
      <c r="L8" s="9">
        <v>0.7</v>
      </c>
      <c r="M8" s="9">
        <v>0.7</v>
      </c>
      <c r="N8" s="9">
        <v>0.7</v>
      </c>
      <c r="O8" s="9">
        <v>0.7</v>
      </c>
      <c r="P8" s="9">
        <v>0.7</v>
      </c>
      <c r="Q8" s="9">
        <v>0.7</v>
      </c>
      <c r="R8" s="9">
        <v>0.7</v>
      </c>
      <c r="S8" s="9">
        <v>0.7</v>
      </c>
      <c r="T8" s="9">
        <v>0.7</v>
      </c>
      <c r="U8" s="9">
        <v>0.7</v>
      </c>
      <c r="V8" s="9">
        <v>0.7</v>
      </c>
      <c r="W8" s="9">
        <v>0.7</v>
      </c>
      <c r="X8" s="9">
        <v>0.7</v>
      </c>
      <c r="Y8" s="9">
        <v>0.7</v>
      </c>
      <c r="Z8" s="9">
        <v>0.7</v>
      </c>
      <c r="AA8" s="9">
        <v>0.7</v>
      </c>
      <c r="AB8" s="9">
        <v>0.7</v>
      </c>
      <c r="AC8" s="9">
        <v>0.7</v>
      </c>
      <c r="AD8" s="9">
        <v>0.7</v>
      </c>
      <c r="AE8" s="9">
        <v>0.7</v>
      </c>
      <c r="AF8" s="9">
        <v>0.7</v>
      </c>
      <c r="AG8" s="9">
        <v>0.7</v>
      </c>
      <c r="AH8" s="9">
        <v>0.7</v>
      </c>
      <c r="AI8" s="9">
        <v>0.7</v>
      </c>
      <c r="AJ8" s="9">
        <v>0.7</v>
      </c>
      <c r="AK8" s="9">
        <v>0.7</v>
      </c>
      <c r="AL8" s="9">
        <v>0.7</v>
      </c>
      <c r="AM8" s="9">
        <v>0.7</v>
      </c>
      <c r="AN8" s="9">
        <v>0.7</v>
      </c>
      <c r="AO8" s="9">
        <v>0.7</v>
      </c>
      <c r="AP8" s="9">
        <v>0.7</v>
      </c>
      <c r="AQ8" s="9">
        <v>0.7</v>
      </c>
      <c r="AR8" s="9">
        <v>0.7</v>
      </c>
      <c r="AS8" s="9">
        <v>0.7</v>
      </c>
      <c r="AT8" s="9">
        <v>0.7</v>
      </c>
      <c r="AU8" s="9">
        <v>0.7</v>
      </c>
      <c r="AV8" s="9">
        <v>0.7</v>
      </c>
      <c r="AW8" s="9">
        <v>0.7</v>
      </c>
      <c r="AX8" s="9">
        <v>0.7</v>
      </c>
      <c r="AY8" s="9">
        <v>0.7</v>
      </c>
      <c r="AZ8" s="9">
        <v>0.7</v>
      </c>
      <c r="BA8" s="9">
        <v>0.7</v>
      </c>
      <c r="BB8" s="9">
        <v>0.7</v>
      </c>
      <c r="BC8" s="9">
        <v>0.7</v>
      </c>
      <c r="BD8" s="9">
        <v>0.7</v>
      </c>
      <c r="BE8" s="9">
        <v>0.7</v>
      </c>
      <c r="BF8" s="9">
        <v>0.7</v>
      </c>
      <c r="BG8" s="9">
        <v>0.7</v>
      </c>
      <c r="BH8" s="9">
        <v>0.7</v>
      </c>
      <c r="BI8" s="9">
        <v>0.7</v>
      </c>
      <c r="BJ8" s="9">
        <v>0.7</v>
      </c>
    </row>
    <row r="9" spans="1:63" ht="14.25" customHeight="1" x14ac:dyDescent="0.3">
      <c r="A9" s="12">
        <v>115936</v>
      </c>
      <c r="B9" s="6" t="s">
        <v>22</v>
      </c>
      <c r="C9" s="7">
        <f t="shared" si="0"/>
        <v>14.056999999999999</v>
      </c>
      <c r="D9" s="6">
        <v>0.96</v>
      </c>
      <c r="E9" s="6"/>
      <c r="F9" s="7">
        <f>10.597+0.5+H9</f>
        <v>11.597</v>
      </c>
      <c r="G9" s="7">
        <v>1</v>
      </c>
      <c r="H9" s="7">
        <v>0.5</v>
      </c>
      <c r="I9" s="8" t="s">
        <v>23</v>
      </c>
      <c r="J9" s="9">
        <v>0.73</v>
      </c>
      <c r="K9" s="9">
        <v>0.7</v>
      </c>
      <c r="L9" s="9">
        <v>0.7</v>
      </c>
      <c r="M9" s="9">
        <v>0.7</v>
      </c>
      <c r="N9" s="9">
        <v>0.7</v>
      </c>
      <c r="O9" s="9">
        <v>0.7</v>
      </c>
      <c r="P9" s="9">
        <v>0.7</v>
      </c>
      <c r="Q9" s="9">
        <v>0.7</v>
      </c>
      <c r="R9" s="9">
        <v>0.7</v>
      </c>
      <c r="S9" s="9">
        <v>0.7</v>
      </c>
      <c r="T9" s="9">
        <v>0.7</v>
      </c>
      <c r="U9" s="9">
        <v>0.7</v>
      </c>
      <c r="V9" s="9">
        <v>0.7</v>
      </c>
      <c r="W9" s="9">
        <v>0.7</v>
      </c>
      <c r="X9" s="9">
        <v>0.7</v>
      </c>
      <c r="Y9" s="9">
        <v>0.7</v>
      </c>
      <c r="Z9" s="9">
        <v>0.7</v>
      </c>
      <c r="AA9" s="9">
        <v>0.7</v>
      </c>
      <c r="AB9" s="9">
        <v>0.7</v>
      </c>
      <c r="AC9" s="9">
        <v>0.7</v>
      </c>
      <c r="AD9" s="9">
        <v>0.7</v>
      </c>
      <c r="AE9" s="9">
        <v>0.7</v>
      </c>
      <c r="AF9" s="9">
        <v>0.7</v>
      </c>
      <c r="AG9" s="9">
        <v>0.7</v>
      </c>
      <c r="AH9" s="9">
        <v>0.7</v>
      </c>
      <c r="AI9" s="9">
        <v>0.7</v>
      </c>
      <c r="AJ9" s="9">
        <v>0.7</v>
      </c>
      <c r="AK9" s="9">
        <v>0.7</v>
      </c>
      <c r="AL9" s="9">
        <v>0.7</v>
      </c>
      <c r="AM9" s="9">
        <v>0.7</v>
      </c>
      <c r="AN9" s="9">
        <v>0.7</v>
      </c>
      <c r="AO9" s="9">
        <v>0.7</v>
      </c>
      <c r="AP9" s="9">
        <v>0.7</v>
      </c>
      <c r="AQ9" s="9">
        <v>0.7</v>
      </c>
      <c r="AR9" s="9">
        <v>0.7</v>
      </c>
      <c r="AS9" s="9">
        <v>0.7</v>
      </c>
      <c r="AT9" s="9">
        <v>0.7</v>
      </c>
      <c r="AU9" s="9">
        <v>0.7</v>
      </c>
      <c r="AV9" s="9">
        <v>0.7</v>
      </c>
      <c r="AW9" s="9">
        <v>0.7</v>
      </c>
      <c r="AX9" s="9">
        <v>0.7</v>
      </c>
      <c r="AY9" s="9">
        <v>0.7</v>
      </c>
      <c r="AZ9" s="9">
        <v>0.7</v>
      </c>
      <c r="BA9" s="9">
        <v>0.7</v>
      </c>
      <c r="BB9" s="9">
        <v>0.7</v>
      </c>
      <c r="BC9" s="9">
        <v>0.7</v>
      </c>
      <c r="BD9" s="9">
        <v>0.7</v>
      </c>
      <c r="BE9" s="9">
        <v>0.7</v>
      </c>
      <c r="BF9" s="9">
        <v>0.7</v>
      </c>
      <c r="BG9" s="9">
        <v>0.7</v>
      </c>
      <c r="BH9" s="9">
        <v>0.7</v>
      </c>
      <c r="BI9" s="9">
        <v>0.7</v>
      </c>
      <c r="BJ9" s="9">
        <v>0.7</v>
      </c>
    </row>
    <row r="10" spans="1:63" ht="14.25" customHeight="1" x14ac:dyDescent="0.3">
      <c r="A10" s="12">
        <v>112877</v>
      </c>
      <c r="B10" s="6" t="s">
        <v>24</v>
      </c>
      <c r="C10" s="7">
        <f>SUM(D10:H10)</f>
        <v>12.459999999999999</v>
      </c>
      <c r="D10" s="6">
        <v>0.95</v>
      </c>
      <c r="E10" s="6"/>
      <c r="F10" s="7">
        <f>10.51+H10</f>
        <v>11.01</v>
      </c>
      <c r="G10" s="7">
        <v>0</v>
      </c>
      <c r="H10" s="7">
        <v>0.5</v>
      </c>
      <c r="I10" s="8" t="s">
        <v>23</v>
      </c>
      <c r="J10" s="9">
        <v>0.73</v>
      </c>
      <c r="K10" s="9">
        <v>0.6</v>
      </c>
      <c r="L10" s="9">
        <v>0.6</v>
      </c>
      <c r="M10" s="9">
        <v>0.6</v>
      </c>
      <c r="N10" s="9">
        <v>0.6</v>
      </c>
      <c r="O10" s="9">
        <v>0.6</v>
      </c>
      <c r="P10" s="9">
        <v>0.6</v>
      </c>
      <c r="Q10" s="9">
        <v>0.6</v>
      </c>
      <c r="R10" s="9">
        <v>0.6</v>
      </c>
      <c r="S10" s="9">
        <v>0.6</v>
      </c>
      <c r="T10" s="9">
        <v>0.6</v>
      </c>
      <c r="U10" s="9">
        <v>0.6</v>
      </c>
      <c r="V10" s="9">
        <v>0.6</v>
      </c>
      <c r="W10" s="9">
        <v>0.6</v>
      </c>
      <c r="X10" s="9">
        <v>0.6</v>
      </c>
      <c r="Y10" s="9">
        <v>0.6</v>
      </c>
      <c r="Z10" s="9">
        <v>0.6</v>
      </c>
      <c r="AA10" s="9">
        <v>0.6</v>
      </c>
      <c r="AB10" s="9">
        <v>0.6</v>
      </c>
      <c r="AC10" s="9">
        <v>0.6</v>
      </c>
      <c r="AD10" s="9">
        <v>0.6</v>
      </c>
      <c r="AE10" s="9">
        <v>0.6</v>
      </c>
      <c r="AF10" s="9">
        <v>0.6</v>
      </c>
      <c r="AG10" s="9">
        <v>0.6</v>
      </c>
      <c r="AH10" s="9">
        <v>0.6</v>
      </c>
      <c r="AI10" s="9">
        <v>0.6</v>
      </c>
      <c r="AJ10" s="9">
        <v>0.6</v>
      </c>
      <c r="AK10" s="9">
        <v>0.6</v>
      </c>
      <c r="AL10" s="9">
        <v>0.6</v>
      </c>
      <c r="AM10" s="9">
        <v>0.6</v>
      </c>
      <c r="AN10" s="9">
        <v>0.6</v>
      </c>
      <c r="AO10" s="9">
        <v>0.6</v>
      </c>
      <c r="AP10" s="9">
        <v>0.6</v>
      </c>
      <c r="AQ10" s="9">
        <v>0.6</v>
      </c>
      <c r="AR10" s="9">
        <v>0.6</v>
      </c>
      <c r="AS10" s="9">
        <v>0.6</v>
      </c>
      <c r="AT10" s="9">
        <v>0.6</v>
      </c>
      <c r="AU10" s="9">
        <v>0.6</v>
      </c>
      <c r="AV10" s="9">
        <v>0.6</v>
      </c>
      <c r="AW10" s="9">
        <v>0.6</v>
      </c>
      <c r="AX10" s="9">
        <v>0.6</v>
      </c>
      <c r="AY10" s="9">
        <v>0.6</v>
      </c>
      <c r="AZ10" s="9">
        <v>0.6</v>
      </c>
      <c r="BA10" s="9">
        <v>0.6</v>
      </c>
      <c r="BB10" s="9">
        <v>0.6</v>
      </c>
      <c r="BC10" s="9">
        <v>0.6</v>
      </c>
      <c r="BD10" s="9">
        <v>0.6</v>
      </c>
      <c r="BE10" s="9">
        <v>0.6</v>
      </c>
      <c r="BF10" s="9">
        <v>0.6</v>
      </c>
      <c r="BG10" s="9">
        <v>0.6</v>
      </c>
      <c r="BH10" s="9">
        <v>0.6</v>
      </c>
      <c r="BI10" s="9">
        <v>0.6</v>
      </c>
      <c r="BJ10" s="9">
        <v>0.6</v>
      </c>
    </row>
    <row r="11" spans="1:63" ht="14.25" customHeight="1" x14ac:dyDescent="0.3">
      <c r="A11" s="13">
        <v>344147</v>
      </c>
      <c r="B11" s="6" t="s">
        <v>25</v>
      </c>
      <c r="C11" s="7">
        <f t="shared" si="0"/>
        <v>17.991</v>
      </c>
      <c r="D11" s="6">
        <v>1.456</v>
      </c>
      <c r="E11" s="6"/>
      <c r="F11" s="7">
        <f>14.935+0.6+H11</f>
        <v>16.035</v>
      </c>
      <c r="G11" s="7"/>
      <c r="H11" s="7">
        <v>0.5</v>
      </c>
      <c r="I11" s="8" t="s">
        <v>23</v>
      </c>
      <c r="J11" s="9">
        <v>0.73</v>
      </c>
      <c r="K11" s="9">
        <v>0.7</v>
      </c>
      <c r="L11" s="9">
        <v>0.7</v>
      </c>
      <c r="M11" s="9">
        <v>0.7</v>
      </c>
      <c r="N11" s="9">
        <v>0.7</v>
      </c>
      <c r="O11" s="9">
        <v>0.7</v>
      </c>
      <c r="P11" s="9">
        <v>0.7</v>
      </c>
      <c r="Q11" s="9">
        <v>0.7</v>
      </c>
      <c r="R11" s="9">
        <v>0.7</v>
      </c>
      <c r="S11" s="9">
        <v>0.7</v>
      </c>
      <c r="T11" s="9">
        <v>0.7</v>
      </c>
      <c r="U11" s="9">
        <v>0.7</v>
      </c>
      <c r="V11" s="9">
        <v>0.7</v>
      </c>
      <c r="W11" s="9">
        <v>0.7</v>
      </c>
      <c r="X11" s="9">
        <v>0.7</v>
      </c>
      <c r="Y11" s="9">
        <v>0.7</v>
      </c>
      <c r="Z11" s="9">
        <v>0.7</v>
      </c>
      <c r="AA11" s="9">
        <v>0.7</v>
      </c>
      <c r="AB11" s="9">
        <v>0.7</v>
      </c>
      <c r="AC11" s="9">
        <v>0.7</v>
      </c>
      <c r="AD11" s="9">
        <v>0.7</v>
      </c>
      <c r="AE11" s="9">
        <v>0.7</v>
      </c>
      <c r="AF11" s="9">
        <v>0.7</v>
      </c>
      <c r="AG11" s="9">
        <v>0.7</v>
      </c>
      <c r="AH11" s="9">
        <v>0.7</v>
      </c>
      <c r="AI11" s="9">
        <v>0.7</v>
      </c>
      <c r="AJ11" s="9">
        <v>0.7</v>
      </c>
      <c r="AK11" s="9">
        <v>0.7</v>
      </c>
      <c r="AL11" s="9">
        <v>0.7</v>
      </c>
      <c r="AM11" s="9">
        <v>0.7</v>
      </c>
      <c r="AN11" s="9">
        <v>0.7</v>
      </c>
      <c r="AO11" s="9">
        <v>0.7</v>
      </c>
      <c r="AP11" s="9">
        <v>0.7</v>
      </c>
      <c r="AQ11" s="9">
        <v>0.7</v>
      </c>
      <c r="AR11" s="9">
        <v>0.7</v>
      </c>
      <c r="AS11" s="9">
        <v>0.7</v>
      </c>
      <c r="AT11" s="9">
        <v>0.7</v>
      </c>
      <c r="AU11" s="9">
        <v>0.7</v>
      </c>
      <c r="AV11" s="9">
        <v>0.7</v>
      </c>
      <c r="AW11" s="9">
        <v>0.7</v>
      </c>
      <c r="AX11" s="9">
        <v>0.7</v>
      </c>
      <c r="AY11" s="9">
        <v>0.7</v>
      </c>
      <c r="AZ11" s="9">
        <v>0.7</v>
      </c>
      <c r="BA11" s="9">
        <v>0.7</v>
      </c>
      <c r="BB11" s="9">
        <v>0.7</v>
      </c>
      <c r="BC11" s="9">
        <v>0.7</v>
      </c>
      <c r="BD11" s="9">
        <v>0.7</v>
      </c>
      <c r="BE11" s="9">
        <v>0.7</v>
      </c>
      <c r="BF11" s="9">
        <v>0.7</v>
      </c>
      <c r="BG11" s="9">
        <v>0.7</v>
      </c>
      <c r="BH11" s="9">
        <v>0.7</v>
      </c>
      <c r="BI11" s="9">
        <v>0.7</v>
      </c>
      <c r="BJ11" s="9">
        <v>0.7</v>
      </c>
    </row>
    <row r="12" spans="1:63" ht="14.25" customHeight="1" x14ac:dyDescent="0.3">
      <c r="A12" s="11" t="s">
        <v>26</v>
      </c>
      <c r="B12" s="6" t="s">
        <v>27</v>
      </c>
      <c r="C12" s="7">
        <f t="shared" si="0"/>
        <v>60.829333333333331</v>
      </c>
      <c r="D12" s="6">
        <v>8.3789999999999996</v>
      </c>
      <c r="E12" s="6">
        <v>3.2320000000000002</v>
      </c>
      <c r="F12" s="7">
        <f>33.009+3.64+H12*1/3</f>
        <v>39.791333333333334</v>
      </c>
      <c r="G12" s="7"/>
      <c r="H12" s="7">
        <v>9.4269999999999996</v>
      </c>
      <c r="I12" s="8" t="s">
        <v>12</v>
      </c>
      <c r="J12" s="9">
        <v>0.63</v>
      </c>
      <c r="K12" s="9">
        <v>0.7</v>
      </c>
      <c r="L12" s="9">
        <v>0.7</v>
      </c>
      <c r="M12" s="9">
        <v>0.7</v>
      </c>
      <c r="N12" s="9">
        <v>0.7</v>
      </c>
      <c r="O12" s="9">
        <v>0.7</v>
      </c>
      <c r="P12" s="9">
        <v>0.7</v>
      </c>
      <c r="Q12" s="9">
        <v>0.7</v>
      </c>
      <c r="R12" s="9">
        <v>0.7</v>
      </c>
      <c r="S12" s="9">
        <v>0.7</v>
      </c>
      <c r="T12" s="9">
        <v>0.7</v>
      </c>
      <c r="U12" s="9">
        <v>0.7</v>
      </c>
      <c r="V12" s="9">
        <v>0.7</v>
      </c>
      <c r="W12" s="9">
        <v>0.7</v>
      </c>
      <c r="X12" s="9">
        <v>0.7</v>
      </c>
      <c r="Y12" s="9">
        <v>0.7</v>
      </c>
      <c r="Z12" s="9">
        <v>0.7</v>
      </c>
      <c r="AA12" s="9">
        <v>0.7</v>
      </c>
      <c r="AB12" s="9">
        <v>0.7</v>
      </c>
      <c r="AC12" s="9">
        <v>0.7</v>
      </c>
      <c r="AD12" s="9">
        <v>0.7</v>
      </c>
      <c r="AE12" s="9">
        <v>0.7</v>
      </c>
      <c r="AF12" s="9">
        <v>0.7</v>
      </c>
      <c r="AG12" s="9">
        <v>0.7</v>
      </c>
      <c r="AH12" s="9">
        <v>0.7</v>
      </c>
      <c r="AI12" s="9">
        <v>0.7</v>
      </c>
      <c r="AJ12" s="9">
        <v>0.7</v>
      </c>
      <c r="AK12" s="9">
        <v>0.7</v>
      </c>
      <c r="AL12" s="9">
        <v>0.7</v>
      </c>
      <c r="AM12" s="9">
        <v>0.7</v>
      </c>
      <c r="AN12" s="9">
        <v>0.7</v>
      </c>
      <c r="AO12" s="9">
        <v>0.7</v>
      </c>
      <c r="AP12" s="9">
        <v>0.7</v>
      </c>
      <c r="AQ12" s="9">
        <v>0.7</v>
      </c>
      <c r="AR12" s="9">
        <v>0.7</v>
      </c>
      <c r="AS12" s="9">
        <v>0.7</v>
      </c>
      <c r="AT12" s="9">
        <v>0.7</v>
      </c>
      <c r="AU12" s="9">
        <v>0.7</v>
      </c>
      <c r="AV12" s="9">
        <v>0.7</v>
      </c>
      <c r="AW12" s="9">
        <v>0.7</v>
      </c>
      <c r="AX12" s="9">
        <v>0.7</v>
      </c>
      <c r="AY12" s="9">
        <v>0.7</v>
      </c>
      <c r="AZ12" s="9">
        <v>0.7</v>
      </c>
      <c r="BA12" s="9">
        <v>0.7</v>
      </c>
      <c r="BB12" s="9">
        <v>0.7</v>
      </c>
      <c r="BC12" s="9">
        <v>0.7</v>
      </c>
      <c r="BD12" s="9">
        <v>0.7</v>
      </c>
      <c r="BE12" s="9">
        <v>0.7</v>
      </c>
      <c r="BF12" s="9">
        <v>0.7</v>
      </c>
      <c r="BG12" s="9">
        <v>0.7</v>
      </c>
      <c r="BH12" s="9">
        <v>0.7</v>
      </c>
      <c r="BI12" s="9">
        <v>0.7</v>
      </c>
      <c r="BJ12" s="9">
        <v>0.7</v>
      </c>
    </row>
    <row r="13" spans="1:63" ht="14.25" customHeight="1" x14ac:dyDescent="0.3">
      <c r="A13" s="11" t="s">
        <v>28</v>
      </c>
      <c r="B13" s="6" t="s">
        <v>29</v>
      </c>
      <c r="C13" s="7">
        <f t="shared" si="0"/>
        <v>121.77466666666666</v>
      </c>
      <c r="D13" s="6"/>
      <c r="E13" s="6"/>
      <c r="F13" s="7">
        <f>88.561+10.202+7.3+H13*2/3</f>
        <v>112.34766666666667</v>
      </c>
      <c r="G13" s="7"/>
      <c r="H13" s="7">
        <v>9.4269999999999996</v>
      </c>
      <c r="I13" s="8" t="s">
        <v>12</v>
      </c>
      <c r="J13" s="9">
        <v>0.63</v>
      </c>
      <c r="K13" s="9">
        <v>0.7</v>
      </c>
      <c r="L13" s="9">
        <v>0.7</v>
      </c>
      <c r="M13" s="9">
        <v>0.7</v>
      </c>
      <c r="N13" s="9">
        <v>0.7</v>
      </c>
      <c r="O13" s="9">
        <v>0.7</v>
      </c>
      <c r="P13" s="9">
        <v>0.7</v>
      </c>
      <c r="Q13" s="9">
        <v>0.7</v>
      </c>
      <c r="R13" s="9">
        <v>0.7</v>
      </c>
      <c r="S13" s="9">
        <v>0.7</v>
      </c>
      <c r="T13" s="9">
        <v>0.7</v>
      </c>
      <c r="U13" s="9">
        <v>0.7</v>
      </c>
      <c r="V13" s="9">
        <v>0.7</v>
      </c>
      <c r="W13" s="9">
        <v>0.7</v>
      </c>
      <c r="X13" s="9">
        <v>0.7</v>
      </c>
      <c r="Y13" s="9">
        <v>0.7</v>
      </c>
      <c r="Z13" s="9">
        <v>0.7</v>
      </c>
      <c r="AA13" s="9">
        <v>0.7</v>
      </c>
      <c r="AB13" s="9">
        <v>0.7</v>
      </c>
      <c r="AC13" s="9">
        <v>0.7</v>
      </c>
      <c r="AD13" s="9">
        <v>0.7</v>
      </c>
      <c r="AE13" s="9">
        <v>0.7</v>
      </c>
      <c r="AF13" s="9">
        <v>0.7</v>
      </c>
      <c r="AG13" s="9">
        <v>0.7</v>
      </c>
      <c r="AH13" s="9">
        <v>0.7</v>
      </c>
      <c r="AI13" s="9">
        <v>0.7</v>
      </c>
      <c r="AJ13" s="9">
        <v>0.7</v>
      </c>
      <c r="AK13" s="9">
        <v>0.7</v>
      </c>
      <c r="AL13" s="9">
        <v>0.7</v>
      </c>
      <c r="AM13" s="9">
        <v>0.7</v>
      </c>
      <c r="AN13" s="9">
        <v>0.7</v>
      </c>
      <c r="AO13" s="9">
        <v>0.7</v>
      </c>
      <c r="AP13" s="9">
        <v>0.7</v>
      </c>
      <c r="AQ13" s="9">
        <v>0.7</v>
      </c>
      <c r="AR13" s="9">
        <v>0.7</v>
      </c>
      <c r="AS13" s="9">
        <v>0.7</v>
      </c>
      <c r="AT13" s="9">
        <v>0.7</v>
      </c>
      <c r="AU13" s="9">
        <v>0.7</v>
      </c>
      <c r="AV13" s="9">
        <v>0.7</v>
      </c>
      <c r="AW13" s="9">
        <v>0.7</v>
      </c>
      <c r="AX13" s="9">
        <v>0.7</v>
      </c>
      <c r="AY13" s="9">
        <v>0.7</v>
      </c>
      <c r="AZ13" s="9">
        <v>0.7</v>
      </c>
      <c r="BA13" s="9">
        <v>0.7</v>
      </c>
      <c r="BB13" s="9">
        <v>0.7</v>
      </c>
      <c r="BC13" s="9">
        <v>0.7</v>
      </c>
      <c r="BD13" s="9">
        <v>0.7</v>
      </c>
      <c r="BE13" s="9">
        <v>0.7</v>
      </c>
      <c r="BF13" s="9">
        <v>0.7</v>
      </c>
      <c r="BG13" s="9">
        <v>0.7</v>
      </c>
      <c r="BH13" s="9">
        <v>0.7</v>
      </c>
      <c r="BI13" s="9">
        <v>0.7</v>
      </c>
      <c r="BJ13" s="9">
        <v>0.7</v>
      </c>
    </row>
    <row r="14" spans="1:63" ht="14.25" customHeight="1" x14ac:dyDescent="0.3">
      <c r="A14" s="10">
        <v>331437</v>
      </c>
      <c r="B14" s="6" t="s">
        <v>30</v>
      </c>
      <c r="C14" s="7">
        <f>SUM(D14:H14)</f>
        <v>14.697000000000001</v>
      </c>
      <c r="D14" s="6">
        <v>1.06</v>
      </c>
      <c r="E14" s="6"/>
      <c r="F14" s="7">
        <f>10.637+1+H14</f>
        <v>12.637</v>
      </c>
      <c r="G14" s="7"/>
      <c r="H14" s="7">
        <v>1</v>
      </c>
      <c r="I14" s="8" t="s">
        <v>23</v>
      </c>
      <c r="J14" s="9">
        <v>0.73</v>
      </c>
      <c r="K14" s="9">
        <v>0.7</v>
      </c>
      <c r="L14" s="9">
        <v>0.7</v>
      </c>
      <c r="M14" s="9">
        <v>0.7</v>
      </c>
      <c r="N14" s="9">
        <v>0.7</v>
      </c>
      <c r="O14" s="9">
        <v>0.7</v>
      </c>
      <c r="P14" s="9">
        <v>0.7</v>
      </c>
      <c r="Q14" s="9">
        <v>0.7</v>
      </c>
      <c r="R14" s="9">
        <v>0.7</v>
      </c>
      <c r="S14" s="9">
        <v>0.7</v>
      </c>
      <c r="T14" s="9">
        <v>0.7</v>
      </c>
      <c r="U14" s="9">
        <v>0.7</v>
      </c>
      <c r="V14" s="9">
        <v>0.7</v>
      </c>
      <c r="W14" s="9">
        <v>0.7</v>
      </c>
      <c r="X14" s="9">
        <v>0.7</v>
      </c>
      <c r="Y14" s="9">
        <v>0.7</v>
      </c>
      <c r="Z14" s="9">
        <v>0.7</v>
      </c>
      <c r="AA14" s="9">
        <v>0.7</v>
      </c>
      <c r="AB14" s="9">
        <v>0.7</v>
      </c>
      <c r="AC14" s="9">
        <v>0.7</v>
      </c>
      <c r="AD14" s="9">
        <v>0.7</v>
      </c>
      <c r="AE14" s="9">
        <v>0.7</v>
      </c>
      <c r="AF14" s="9">
        <v>0.7</v>
      </c>
      <c r="AG14" s="9">
        <v>0.7</v>
      </c>
      <c r="AH14" s="9">
        <v>0.7</v>
      </c>
      <c r="AI14" s="9">
        <v>0.7</v>
      </c>
      <c r="AJ14" s="9">
        <v>0.7</v>
      </c>
      <c r="AK14" s="9">
        <v>0.7</v>
      </c>
      <c r="AL14" s="9">
        <v>0.7</v>
      </c>
      <c r="AM14" s="9">
        <v>0.7</v>
      </c>
      <c r="AN14" s="9">
        <v>0.7</v>
      </c>
      <c r="AO14" s="9">
        <v>0.7</v>
      </c>
      <c r="AP14" s="9">
        <v>0.7</v>
      </c>
      <c r="AQ14" s="9">
        <v>0.7</v>
      </c>
      <c r="AR14" s="9">
        <v>0.7</v>
      </c>
      <c r="AS14" s="9">
        <v>0.7</v>
      </c>
      <c r="AT14" s="9">
        <v>0.7</v>
      </c>
      <c r="AU14" s="9">
        <v>0.7</v>
      </c>
      <c r="AV14" s="9">
        <v>0.7</v>
      </c>
      <c r="AW14" s="9">
        <v>0.7</v>
      </c>
      <c r="AX14" s="9">
        <v>0.7</v>
      </c>
      <c r="AY14" s="9">
        <v>0.7</v>
      </c>
      <c r="AZ14" s="9">
        <v>0.7</v>
      </c>
      <c r="BA14" s="9">
        <v>0.7</v>
      </c>
      <c r="BB14" s="9">
        <v>0.7</v>
      </c>
      <c r="BC14" s="9">
        <v>0.7</v>
      </c>
      <c r="BD14" s="9">
        <v>0.7</v>
      </c>
      <c r="BE14" s="9">
        <v>0.7</v>
      </c>
      <c r="BF14" s="9">
        <v>0.7</v>
      </c>
      <c r="BG14" s="9">
        <v>0.7</v>
      </c>
      <c r="BH14" s="9">
        <v>0.7</v>
      </c>
      <c r="BI14" s="9">
        <v>0.7</v>
      </c>
      <c r="BJ14" s="9">
        <v>0.7</v>
      </c>
    </row>
    <row r="15" spans="1:63" ht="14.25" customHeight="1" x14ac:dyDescent="0.3">
      <c r="A15" s="11">
        <v>122199</v>
      </c>
      <c r="B15" s="6" t="s">
        <v>31</v>
      </c>
      <c r="C15" s="7">
        <f t="shared" si="0"/>
        <v>33.01</v>
      </c>
      <c r="D15" s="6">
        <v>2.73</v>
      </c>
      <c r="E15" s="6"/>
      <c r="F15" s="7">
        <f>27.28+1+H15</f>
        <v>29.28</v>
      </c>
      <c r="G15" s="7"/>
      <c r="H15" s="7">
        <v>1</v>
      </c>
      <c r="I15" s="8" t="s">
        <v>23</v>
      </c>
      <c r="J15" s="9">
        <v>0.73</v>
      </c>
      <c r="K15" s="9">
        <v>0.7</v>
      </c>
      <c r="L15" s="9">
        <v>0.7</v>
      </c>
      <c r="M15" s="9">
        <v>0.7</v>
      </c>
      <c r="N15" s="9">
        <v>0.7</v>
      </c>
      <c r="O15" s="9">
        <v>0.7</v>
      </c>
      <c r="P15" s="9">
        <v>0.7</v>
      </c>
      <c r="Q15" s="9">
        <v>0.7</v>
      </c>
      <c r="R15" s="9">
        <v>0.7</v>
      </c>
      <c r="S15" s="9">
        <v>0.7</v>
      </c>
      <c r="T15" s="9">
        <v>0.7</v>
      </c>
      <c r="U15" s="9">
        <v>0.7</v>
      </c>
      <c r="V15" s="9">
        <v>0.7</v>
      </c>
      <c r="W15" s="9">
        <v>0.7</v>
      </c>
      <c r="X15" s="9">
        <v>0.7</v>
      </c>
      <c r="Y15" s="9">
        <v>0.7</v>
      </c>
      <c r="Z15" s="9">
        <v>0.7</v>
      </c>
      <c r="AA15" s="9">
        <v>0.7</v>
      </c>
      <c r="AB15" s="9">
        <v>0.7</v>
      </c>
      <c r="AC15" s="9">
        <v>0.7</v>
      </c>
      <c r="AD15" s="9">
        <v>0.7</v>
      </c>
      <c r="AE15" s="9">
        <v>0.7</v>
      </c>
      <c r="AF15" s="9">
        <v>0.7</v>
      </c>
      <c r="AG15" s="9">
        <v>0.7</v>
      </c>
      <c r="AH15" s="9">
        <v>0.7</v>
      </c>
      <c r="AI15" s="9">
        <v>0.7</v>
      </c>
      <c r="AJ15" s="9">
        <v>0.7</v>
      </c>
      <c r="AK15" s="9">
        <v>0.7</v>
      </c>
      <c r="AL15" s="9">
        <v>0.7</v>
      </c>
      <c r="AM15" s="9">
        <v>0.7</v>
      </c>
      <c r="AN15" s="9">
        <v>0.7</v>
      </c>
      <c r="AO15" s="9">
        <v>0.7</v>
      </c>
      <c r="AP15" s="9">
        <v>0.7</v>
      </c>
      <c r="AQ15" s="9">
        <v>0.7</v>
      </c>
      <c r="AR15" s="9">
        <v>0.7</v>
      </c>
      <c r="AS15" s="9">
        <v>0.7</v>
      </c>
      <c r="AT15" s="9">
        <v>0.7</v>
      </c>
      <c r="AU15" s="9">
        <v>0.7</v>
      </c>
      <c r="AV15" s="9">
        <v>0.7</v>
      </c>
      <c r="AW15" s="9">
        <v>0.7</v>
      </c>
      <c r="AX15" s="9">
        <v>0.7</v>
      </c>
      <c r="AY15" s="9">
        <v>0.7</v>
      </c>
      <c r="AZ15" s="9">
        <v>0.7</v>
      </c>
      <c r="BA15" s="9">
        <v>0.7</v>
      </c>
      <c r="BB15" s="9">
        <v>0.7</v>
      </c>
      <c r="BC15" s="9">
        <v>0.7</v>
      </c>
      <c r="BD15" s="9">
        <v>0.7</v>
      </c>
      <c r="BE15" s="9">
        <v>0.7</v>
      </c>
      <c r="BF15" s="9">
        <v>0.7</v>
      </c>
      <c r="BG15" s="9">
        <v>0.7</v>
      </c>
      <c r="BH15" s="9">
        <v>0.7</v>
      </c>
      <c r="BI15" s="9">
        <v>0.7</v>
      </c>
      <c r="BJ15" s="9">
        <v>0.7</v>
      </c>
    </row>
    <row r="16" spans="1:63" ht="14.25" customHeight="1" x14ac:dyDescent="0.3">
      <c r="A16" s="11" t="s">
        <v>32</v>
      </c>
      <c r="B16" s="6" t="s">
        <v>33</v>
      </c>
      <c r="C16" s="7">
        <f t="shared" si="0"/>
        <v>65.829333333333324</v>
      </c>
      <c r="D16" s="6">
        <v>8.3789999999999996</v>
      </c>
      <c r="E16" s="6">
        <v>3.2320000000000002</v>
      </c>
      <c r="F16" s="7">
        <f>38.009+3.64+H16*1/3</f>
        <v>44.791333333333334</v>
      </c>
      <c r="G16" s="7"/>
      <c r="H16" s="7">
        <v>9.4269999999999996</v>
      </c>
      <c r="I16" s="8" t="s">
        <v>12</v>
      </c>
      <c r="J16" s="9">
        <v>0.63</v>
      </c>
      <c r="K16" s="9">
        <v>0.6</v>
      </c>
      <c r="L16" s="9">
        <v>0.6</v>
      </c>
      <c r="M16" s="9">
        <v>0.6</v>
      </c>
      <c r="N16" s="9">
        <v>0.6</v>
      </c>
      <c r="O16" s="9">
        <v>0.6</v>
      </c>
      <c r="P16" s="9">
        <v>0.6</v>
      </c>
      <c r="Q16" s="9">
        <v>0.6</v>
      </c>
      <c r="R16" s="9">
        <v>0.6</v>
      </c>
      <c r="S16" s="9">
        <v>0.6</v>
      </c>
      <c r="T16" s="9">
        <v>0.6</v>
      </c>
      <c r="U16" s="9">
        <v>0.6</v>
      </c>
      <c r="V16" s="9">
        <v>0.6</v>
      </c>
      <c r="W16" s="9">
        <v>0.6</v>
      </c>
      <c r="X16" s="9">
        <v>0.6</v>
      </c>
      <c r="Y16" s="9">
        <v>0.6</v>
      </c>
      <c r="Z16" s="9">
        <v>0.6</v>
      </c>
      <c r="AA16" s="9">
        <v>0.6</v>
      </c>
      <c r="AB16" s="9">
        <v>0.6</v>
      </c>
      <c r="AC16" s="9">
        <v>0.6</v>
      </c>
      <c r="AD16" s="9">
        <v>0.6</v>
      </c>
      <c r="AE16" s="9">
        <v>0.6</v>
      </c>
      <c r="AF16" s="9">
        <v>0.6</v>
      </c>
      <c r="AG16" s="9">
        <v>0.6</v>
      </c>
      <c r="AH16" s="9">
        <v>0.6</v>
      </c>
      <c r="AI16" s="9">
        <v>0.6</v>
      </c>
      <c r="AJ16" s="9">
        <v>0.6</v>
      </c>
      <c r="AK16" s="9">
        <v>0.6</v>
      </c>
      <c r="AL16" s="9">
        <v>0.6</v>
      </c>
      <c r="AM16" s="9">
        <v>0.6</v>
      </c>
      <c r="AN16" s="9">
        <v>0.6</v>
      </c>
      <c r="AO16" s="9">
        <v>0.6</v>
      </c>
      <c r="AP16" s="9">
        <v>0.6</v>
      </c>
      <c r="AQ16" s="9">
        <v>0.6</v>
      </c>
      <c r="AR16" s="9">
        <v>0.6</v>
      </c>
      <c r="AS16" s="9">
        <v>0.6</v>
      </c>
      <c r="AT16" s="9">
        <v>0.6</v>
      </c>
      <c r="AU16" s="9">
        <v>0.6</v>
      </c>
      <c r="AV16" s="9">
        <v>0.6</v>
      </c>
      <c r="AW16" s="9">
        <v>0.6</v>
      </c>
      <c r="AX16" s="9">
        <v>0.6</v>
      </c>
      <c r="AY16" s="9">
        <v>0.6</v>
      </c>
      <c r="AZ16" s="9">
        <v>0.6</v>
      </c>
      <c r="BA16" s="9">
        <v>0.6</v>
      </c>
      <c r="BB16" s="9">
        <v>0.6</v>
      </c>
      <c r="BC16" s="9">
        <v>0.6</v>
      </c>
      <c r="BD16" s="9">
        <v>0.6</v>
      </c>
      <c r="BE16" s="9">
        <v>0.6</v>
      </c>
      <c r="BF16" s="9">
        <v>0.6</v>
      </c>
      <c r="BG16" s="9">
        <v>0.6</v>
      </c>
      <c r="BH16" s="9">
        <v>0.6</v>
      </c>
      <c r="BI16" s="9">
        <v>0.6</v>
      </c>
      <c r="BJ16" s="9">
        <v>0.6</v>
      </c>
    </row>
    <row r="17" spans="1:62" ht="14.25" customHeight="1" x14ac:dyDescent="0.3">
      <c r="A17" s="11" t="s">
        <v>34</v>
      </c>
      <c r="B17" s="6" t="s">
        <v>35</v>
      </c>
      <c r="C17" s="7">
        <f t="shared" si="0"/>
        <v>121.77466666666666</v>
      </c>
      <c r="D17" s="6"/>
      <c r="E17" s="6"/>
      <c r="F17" s="7">
        <f>88.561+10.202+7.3+H17*2/3</f>
        <v>112.34766666666667</v>
      </c>
      <c r="G17" s="7"/>
      <c r="H17" s="7">
        <v>9.4269999999999996</v>
      </c>
      <c r="I17" s="8" t="s">
        <v>12</v>
      </c>
      <c r="J17" s="9">
        <v>0.63</v>
      </c>
      <c r="K17" s="9">
        <v>0.6</v>
      </c>
      <c r="L17" s="9">
        <v>0.6</v>
      </c>
      <c r="M17" s="9">
        <v>0.6</v>
      </c>
      <c r="N17" s="9">
        <v>0.6</v>
      </c>
      <c r="O17" s="9">
        <v>0.6</v>
      </c>
      <c r="P17" s="9">
        <v>0.6</v>
      </c>
      <c r="Q17" s="9">
        <v>0.6</v>
      </c>
      <c r="R17" s="9">
        <v>0.6</v>
      </c>
      <c r="S17" s="9">
        <v>0.6</v>
      </c>
      <c r="T17" s="9">
        <v>0.6</v>
      </c>
      <c r="U17" s="9">
        <v>0.6</v>
      </c>
      <c r="V17" s="9">
        <v>0.6</v>
      </c>
      <c r="W17" s="9">
        <v>0.6</v>
      </c>
      <c r="X17" s="9">
        <v>0.6</v>
      </c>
      <c r="Y17" s="9">
        <v>0.6</v>
      </c>
      <c r="Z17" s="9">
        <v>0.6</v>
      </c>
      <c r="AA17" s="9">
        <v>0.6</v>
      </c>
      <c r="AB17" s="9">
        <v>0.6</v>
      </c>
      <c r="AC17" s="9">
        <v>0.6</v>
      </c>
      <c r="AD17" s="9">
        <v>0.6</v>
      </c>
      <c r="AE17" s="9">
        <v>0.6</v>
      </c>
      <c r="AF17" s="9">
        <v>0.6</v>
      </c>
      <c r="AG17" s="9">
        <v>0.6</v>
      </c>
      <c r="AH17" s="9">
        <v>0.6</v>
      </c>
      <c r="AI17" s="9">
        <v>0.6</v>
      </c>
      <c r="AJ17" s="9">
        <v>0.6</v>
      </c>
      <c r="AK17" s="9">
        <v>0.6</v>
      </c>
      <c r="AL17" s="9">
        <v>0.6</v>
      </c>
      <c r="AM17" s="9">
        <v>0.6</v>
      </c>
      <c r="AN17" s="9">
        <v>0.6</v>
      </c>
      <c r="AO17" s="9">
        <v>0.6</v>
      </c>
      <c r="AP17" s="9">
        <v>0.6</v>
      </c>
      <c r="AQ17" s="9">
        <v>0.6</v>
      </c>
      <c r="AR17" s="9">
        <v>0.6</v>
      </c>
      <c r="AS17" s="9">
        <v>0.6</v>
      </c>
      <c r="AT17" s="9">
        <v>0.6</v>
      </c>
      <c r="AU17" s="9">
        <v>0.6</v>
      </c>
      <c r="AV17" s="9">
        <v>0.6</v>
      </c>
      <c r="AW17" s="9">
        <v>0.6</v>
      </c>
      <c r="AX17" s="9">
        <v>0.6</v>
      </c>
      <c r="AY17" s="9">
        <v>0.6</v>
      </c>
      <c r="AZ17" s="9">
        <v>0.6</v>
      </c>
      <c r="BA17" s="9">
        <v>0.6</v>
      </c>
      <c r="BB17" s="9">
        <v>0.6</v>
      </c>
      <c r="BC17" s="9">
        <v>0.6</v>
      </c>
      <c r="BD17" s="9">
        <v>0.6</v>
      </c>
      <c r="BE17" s="9">
        <v>0.6</v>
      </c>
      <c r="BF17" s="9">
        <v>0.6</v>
      </c>
      <c r="BG17" s="9">
        <v>0.6</v>
      </c>
      <c r="BH17" s="9">
        <v>0.6</v>
      </c>
      <c r="BI17" s="9">
        <v>0.6</v>
      </c>
      <c r="BJ17" s="9">
        <v>0.6</v>
      </c>
    </row>
    <row r="18" spans="1:62" ht="14.25" customHeight="1" x14ac:dyDescent="0.3">
      <c r="A18" s="12" t="s">
        <v>36</v>
      </c>
      <c r="B18" s="6" t="s">
        <v>37</v>
      </c>
      <c r="C18" s="7">
        <f t="shared" si="0"/>
        <v>28.43</v>
      </c>
      <c r="D18" s="6"/>
      <c r="E18" s="6"/>
      <c r="F18" s="7">
        <f>24.43+H18</f>
        <v>26.43</v>
      </c>
      <c r="G18" s="7"/>
      <c r="H18" s="7">
        <v>2</v>
      </c>
      <c r="I18" s="8" t="s">
        <v>12</v>
      </c>
      <c r="J18" s="9">
        <v>0.63</v>
      </c>
      <c r="K18" s="9">
        <v>0.7</v>
      </c>
      <c r="L18" s="9">
        <v>0.7</v>
      </c>
      <c r="M18" s="9">
        <v>0.7</v>
      </c>
      <c r="N18" s="9">
        <v>0.7</v>
      </c>
      <c r="O18" s="9">
        <v>0.7</v>
      </c>
      <c r="P18" s="9">
        <v>0.7</v>
      </c>
      <c r="Q18" s="9">
        <v>0.7</v>
      </c>
      <c r="R18" s="9">
        <v>0.7</v>
      </c>
      <c r="S18" s="9">
        <v>0.7</v>
      </c>
      <c r="T18" s="9">
        <v>0.7</v>
      </c>
      <c r="U18" s="9">
        <v>0.7</v>
      </c>
      <c r="V18" s="9">
        <v>0.7</v>
      </c>
      <c r="W18" s="9">
        <v>0.7</v>
      </c>
      <c r="X18" s="9">
        <v>0.7</v>
      </c>
      <c r="Y18" s="9">
        <v>0.7</v>
      </c>
      <c r="Z18" s="9">
        <v>0.7</v>
      </c>
      <c r="AA18" s="9">
        <v>0.7</v>
      </c>
      <c r="AB18" s="9">
        <v>0.7</v>
      </c>
      <c r="AC18" s="9">
        <v>0.7</v>
      </c>
      <c r="AD18" s="9">
        <v>0.7</v>
      </c>
      <c r="AE18" s="9">
        <v>0.7</v>
      </c>
      <c r="AF18" s="9">
        <v>0.7</v>
      </c>
      <c r="AG18" s="9">
        <v>0.7</v>
      </c>
      <c r="AH18" s="9">
        <v>0.7</v>
      </c>
      <c r="AI18" s="9">
        <v>0.7</v>
      </c>
      <c r="AJ18" s="9">
        <v>0.7</v>
      </c>
      <c r="AK18" s="9">
        <v>0.7</v>
      </c>
      <c r="AL18" s="9">
        <v>0.7</v>
      </c>
      <c r="AM18" s="9">
        <v>0.7</v>
      </c>
      <c r="AN18" s="9">
        <v>0.7</v>
      </c>
      <c r="AO18" s="9">
        <v>0.7</v>
      </c>
      <c r="AP18" s="9">
        <v>0.7</v>
      </c>
      <c r="AQ18" s="9">
        <v>0.7</v>
      </c>
      <c r="AR18" s="9">
        <v>0.7</v>
      </c>
      <c r="AS18" s="9">
        <v>0.7</v>
      </c>
      <c r="AT18" s="9">
        <v>0.7</v>
      </c>
      <c r="AU18" s="9">
        <v>0.7</v>
      </c>
      <c r="AV18" s="9">
        <v>0.7</v>
      </c>
      <c r="AW18" s="9">
        <v>0.7</v>
      </c>
      <c r="AX18" s="9">
        <v>0.7</v>
      </c>
      <c r="AY18" s="9">
        <v>0.7</v>
      </c>
      <c r="AZ18" s="9">
        <v>0.7</v>
      </c>
      <c r="BA18" s="9">
        <v>0.7</v>
      </c>
      <c r="BB18" s="9">
        <v>0.7</v>
      </c>
      <c r="BC18" s="9">
        <v>0.7</v>
      </c>
      <c r="BD18" s="9">
        <v>0.7</v>
      </c>
      <c r="BE18" s="9">
        <v>0.7</v>
      </c>
      <c r="BF18" s="9">
        <v>0.7</v>
      </c>
      <c r="BG18" s="9">
        <v>0.7</v>
      </c>
      <c r="BH18" s="9">
        <v>0.7</v>
      </c>
      <c r="BI18" s="9">
        <v>0.7</v>
      </c>
      <c r="BJ18" s="9">
        <v>0.7</v>
      </c>
    </row>
    <row r="19" spans="1:62" ht="14.25" customHeight="1" x14ac:dyDescent="0.3">
      <c r="A19" s="12">
        <v>334334</v>
      </c>
      <c r="B19" s="6" t="s">
        <v>38</v>
      </c>
      <c r="C19" s="7">
        <f>SUM(D19:H19)</f>
        <v>109.241</v>
      </c>
      <c r="D19" s="6">
        <v>9.2829999999999995</v>
      </c>
      <c r="E19" s="6"/>
      <c r="F19" s="7">
        <f>96.015+1+H19</f>
        <v>98.015000000000001</v>
      </c>
      <c r="G19" s="7">
        <v>0.94299999999999995</v>
      </c>
      <c r="H19" s="7">
        <v>1</v>
      </c>
      <c r="I19" s="8" t="s">
        <v>23</v>
      </c>
      <c r="J19" s="9">
        <v>0.73</v>
      </c>
      <c r="K19" s="9">
        <v>0.7</v>
      </c>
      <c r="L19" s="9">
        <v>0.7</v>
      </c>
      <c r="M19" s="9">
        <v>0.7</v>
      </c>
      <c r="N19" s="9">
        <v>0.7</v>
      </c>
      <c r="O19" s="9">
        <v>0.7</v>
      </c>
      <c r="P19" s="9">
        <v>0.7</v>
      </c>
      <c r="Q19" s="9">
        <v>0.7</v>
      </c>
      <c r="R19" s="9">
        <v>0.7</v>
      </c>
      <c r="S19" s="9">
        <v>0.7</v>
      </c>
      <c r="T19" s="9">
        <v>0.7</v>
      </c>
      <c r="U19" s="9">
        <v>0.7</v>
      </c>
      <c r="V19" s="9">
        <v>0.7</v>
      </c>
      <c r="W19" s="9">
        <v>0.7</v>
      </c>
      <c r="X19" s="9">
        <v>0.7</v>
      </c>
      <c r="Y19" s="9">
        <v>0.7</v>
      </c>
      <c r="Z19" s="9">
        <v>0.7</v>
      </c>
      <c r="AA19" s="9">
        <v>0.7</v>
      </c>
      <c r="AB19" s="9">
        <v>0.7</v>
      </c>
      <c r="AC19" s="9">
        <v>0.7</v>
      </c>
      <c r="AD19" s="9">
        <v>0.7</v>
      </c>
      <c r="AE19" s="9">
        <v>0.7</v>
      </c>
      <c r="AF19" s="9">
        <v>0.7</v>
      </c>
      <c r="AG19" s="9">
        <v>0.7</v>
      </c>
      <c r="AH19" s="9">
        <v>0.7</v>
      </c>
      <c r="AI19" s="9">
        <v>0.7</v>
      </c>
      <c r="AJ19" s="9">
        <v>0.7</v>
      </c>
      <c r="AK19" s="9">
        <v>0.7</v>
      </c>
      <c r="AL19" s="9">
        <v>0.7</v>
      </c>
      <c r="AM19" s="9">
        <v>0.7</v>
      </c>
      <c r="AN19" s="9">
        <v>0.7</v>
      </c>
      <c r="AO19" s="9">
        <v>0.7</v>
      </c>
      <c r="AP19" s="9">
        <v>0.7</v>
      </c>
      <c r="AQ19" s="9">
        <v>0.7</v>
      </c>
      <c r="AR19" s="9">
        <v>0.7</v>
      </c>
      <c r="AS19" s="9">
        <v>0.7</v>
      </c>
      <c r="AT19" s="9">
        <v>0.7</v>
      </c>
      <c r="AU19" s="9">
        <v>0.7</v>
      </c>
      <c r="AV19" s="9">
        <v>0.7</v>
      </c>
      <c r="AW19" s="9">
        <v>0.7</v>
      </c>
      <c r="AX19" s="9">
        <v>0.7</v>
      </c>
      <c r="AY19" s="9">
        <v>0.7</v>
      </c>
      <c r="AZ19" s="9">
        <v>0.7</v>
      </c>
      <c r="BA19" s="9">
        <v>0.7</v>
      </c>
      <c r="BB19" s="9">
        <v>0.7</v>
      </c>
      <c r="BC19" s="9">
        <v>0.7</v>
      </c>
      <c r="BD19" s="9">
        <v>0.7</v>
      </c>
      <c r="BE19" s="9">
        <v>0.7</v>
      </c>
      <c r="BF19" s="9">
        <v>0.7</v>
      </c>
      <c r="BG19" s="9">
        <v>0.7</v>
      </c>
      <c r="BH19" s="9">
        <v>0.7</v>
      </c>
      <c r="BI19" s="9">
        <v>0.7</v>
      </c>
      <c r="BJ19" s="9">
        <v>0.7</v>
      </c>
    </row>
    <row r="20" spans="1:62" ht="14.25" customHeight="1" x14ac:dyDescent="0.3">
      <c r="A20" s="12" t="s">
        <v>39</v>
      </c>
      <c r="B20" s="6" t="s">
        <v>40</v>
      </c>
      <c r="C20" s="7">
        <f>SUM(D20:H20)</f>
        <v>97.687999999999988</v>
      </c>
      <c r="D20" s="6">
        <v>8.2490000000000006</v>
      </c>
      <c r="E20" s="6"/>
      <c r="F20" s="7">
        <f>86.496+H20</f>
        <v>87.495999999999995</v>
      </c>
      <c r="G20" s="7">
        <v>0.94299999999999995</v>
      </c>
      <c r="H20" s="7">
        <v>1</v>
      </c>
      <c r="I20" s="8" t="s">
        <v>23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</row>
    <row r="21" spans="1:62" ht="14.25" customHeight="1" x14ac:dyDescent="0.3">
      <c r="A21" s="12" t="s">
        <v>41</v>
      </c>
      <c r="B21" s="6" t="s">
        <v>42</v>
      </c>
      <c r="C21" s="7">
        <f>SUM(D21:H21)</f>
        <v>91.096999999999994</v>
      </c>
      <c r="D21" s="6">
        <v>7.9119999999999999</v>
      </c>
      <c r="E21" s="6"/>
      <c r="F21" s="7">
        <f>79.178+1+H21</f>
        <v>81.209999999999994</v>
      </c>
      <c r="G21" s="7">
        <v>0.94299999999999995</v>
      </c>
      <c r="H21" s="7">
        <v>1.032</v>
      </c>
      <c r="I21" s="8" t="s">
        <v>23</v>
      </c>
      <c r="J21" s="9">
        <v>0.73</v>
      </c>
      <c r="K21" s="9">
        <v>0.7</v>
      </c>
      <c r="L21" s="9">
        <v>0.7</v>
      </c>
      <c r="M21" s="9">
        <v>0.7</v>
      </c>
      <c r="N21" s="9">
        <v>0.7</v>
      </c>
      <c r="O21" s="9">
        <v>0.7</v>
      </c>
      <c r="P21" s="9">
        <v>0.7</v>
      </c>
      <c r="Q21" s="9">
        <v>0.7</v>
      </c>
      <c r="R21" s="9">
        <v>0.7</v>
      </c>
      <c r="S21" s="9">
        <v>0.7</v>
      </c>
      <c r="T21" s="9">
        <v>0.7</v>
      </c>
      <c r="U21" s="9">
        <v>0.7</v>
      </c>
      <c r="V21" s="9">
        <v>0.7</v>
      </c>
      <c r="W21" s="9">
        <v>0.7</v>
      </c>
      <c r="X21" s="9">
        <v>0.7</v>
      </c>
      <c r="Y21" s="9">
        <v>0.7</v>
      </c>
      <c r="Z21" s="9">
        <v>0.7</v>
      </c>
      <c r="AA21" s="9">
        <v>0.7</v>
      </c>
      <c r="AB21" s="9">
        <v>0.7</v>
      </c>
      <c r="AC21" s="9">
        <v>0.7</v>
      </c>
      <c r="AD21" s="9">
        <v>0.7</v>
      </c>
      <c r="AE21" s="9">
        <v>0.7</v>
      </c>
      <c r="AF21" s="9">
        <v>0.7</v>
      </c>
      <c r="AG21" s="9">
        <v>0.7</v>
      </c>
      <c r="AH21" s="9">
        <v>0.7</v>
      </c>
      <c r="AI21" s="9">
        <v>0.7</v>
      </c>
      <c r="AJ21" s="9">
        <v>0.7</v>
      </c>
      <c r="AK21" s="9">
        <v>0.7</v>
      </c>
      <c r="AL21" s="9">
        <v>0.7</v>
      </c>
      <c r="AM21" s="9">
        <v>0.7</v>
      </c>
      <c r="AN21" s="9">
        <v>0.7</v>
      </c>
      <c r="AO21" s="9">
        <v>0.7</v>
      </c>
      <c r="AP21" s="9">
        <v>0.7</v>
      </c>
      <c r="AQ21" s="9">
        <v>0.7</v>
      </c>
      <c r="AR21" s="9">
        <v>0.7</v>
      </c>
      <c r="AS21" s="9">
        <v>0.7</v>
      </c>
      <c r="AT21" s="9">
        <v>0.7</v>
      </c>
      <c r="AU21" s="9">
        <v>0.7</v>
      </c>
      <c r="AV21" s="9">
        <v>0.7</v>
      </c>
      <c r="AW21" s="9">
        <v>0.7</v>
      </c>
      <c r="AX21" s="9">
        <v>0.7</v>
      </c>
      <c r="AY21" s="9">
        <v>0.7</v>
      </c>
      <c r="AZ21" s="9">
        <v>0.7</v>
      </c>
      <c r="BA21" s="9">
        <v>0.7</v>
      </c>
      <c r="BB21" s="9">
        <v>0.7</v>
      </c>
      <c r="BC21" s="9">
        <v>0.7</v>
      </c>
      <c r="BD21" s="9">
        <v>0.7</v>
      </c>
      <c r="BE21" s="9">
        <v>0.7</v>
      </c>
      <c r="BF21" s="9">
        <v>0.7</v>
      </c>
      <c r="BG21" s="9">
        <v>0.7</v>
      </c>
      <c r="BH21" s="9">
        <v>0.7</v>
      </c>
      <c r="BI21" s="9">
        <v>0.7</v>
      </c>
      <c r="BJ21" s="9">
        <v>0.7</v>
      </c>
    </row>
    <row r="22" spans="1:62" ht="14.25" customHeight="1" x14ac:dyDescent="0.3">
      <c r="A22" s="12">
        <v>127162</v>
      </c>
      <c r="B22" s="6" t="s">
        <v>43</v>
      </c>
      <c r="C22" s="7">
        <f t="shared" si="0"/>
        <v>21.676000000000002</v>
      </c>
      <c r="D22" s="6">
        <v>1.83</v>
      </c>
      <c r="E22" s="6"/>
      <c r="F22" s="7">
        <f>18.846+H22</f>
        <v>19.346</v>
      </c>
      <c r="G22" s="7"/>
      <c r="H22" s="7">
        <v>0.5</v>
      </c>
      <c r="I22" s="8" t="s">
        <v>23</v>
      </c>
      <c r="J22" s="9">
        <v>0.73</v>
      </c>
      <c r="K22" s="9">
        <v>0.7</v>
      </c>
      <c r="L22" s="9">
        <v>0.7</v>
      </c>
      <c r="M22" s="9">
        <v>0.7</v>
      </c>
      <c r="N22" s="9">
        <v>0.7</v>
      </c>
      <c r="O22" s="9">
        <v>0.7</v>
      </c>
      <c r="P22" s="9">
        <v>0.7</v>
      </c>
      <c r="Q22" s="9">
        <v>0.7</v>
      </c>
      <c r="R22" s="9">
        <v>0.7</v>
      </c>
      <c r="S22" s="9">
        <v>0.7</v>
      </c>
      <c r="T22" s="9">
        <v>0.7</v>
      </c>
      <c r="U22" s="9">
        <v>0.7</v>
      </c>
      <c r="V22" s="9">
        <v>0.7</v>
      </c>
      <c r="W22" s="9">
        <v>0.7</v>
      </c>
      <c r="X22" s="9">
        <v>0.7</v>
      </c>
      <c r="Y22" s="9">
        <v>0.7</v>
      </c>
      <c r="Z22" s="9">
        <v>0.7</v>
      </c>
      <c r="AA22" s="9">
        <v>0.7</v>
      </c>
      <c r="AB22" s="9">
        <v>0.7</v>
      </c>
      <c r="AC22" s="9">
        <v>0.7</v>
      </c>
      <c r="AD22" s="9">
        <v>0.7</v>
      </c>
      <c r="AE22" s="9">
        <v>0.7</v>
      </c>
      <c r="AF22" s="9">
        <v>0.7</v>
      </c>
      <c r="AG22" s="9">
        <v>0.7</v>
      </c>
      <c r="AH22" s="9">
        <v>0.7</v>
      </c>
      <c r="AI22" s="9">
        <v>0.7</v>
      </c>
      <c r="AJ22" s="9">
        <v>0.7</v>
      </c>
      <c r="AK22" s="9">
        <v>0.7</v>
      </c>
      <c r="AL22" s="9">
        <v>0.7</v>
      </c>
      <c r="AM22" s="9">
        <v>0.7</v>
      </c>
      <c r="AN22" s="9">
        <v>0.7</v>
      </c>
      <c r="AO22" s="9">
        <v>0.7</v>
      </c>
      <c r="AP22" s="9">
        <v>0.7</v>
      </c>
      <c r="AQ22" s="9">
        <v>0.7</v>
      </c>
      <c r="AR22" s="9">
        <v>0.7</v>
      </c>
      <c r="AS22" s="9">
        <v>0.7</v>
      </c>
      <c r="AT22" s="9">
        <v>0.7</v>
      </c>
      <c r="AU22" s="9">
        <v>0.7</v>
      </c>
      <c r="AV22" s="9">
        <v>0.7</v>
      </c>
      <c r="AW22" s="9">
        <v>0.7</v>
      </c>
      <c r="AX22" s="9">
        <v>0.7</v>
      </c>
      <c r="AY22" s="9">
        <v>0.7</v>
      </c>
      <c r="AZ22" s="9">
        <v>0.7</v>
      </c>
      <c r="BA22" s="9">
        <v>0.7</v>
      </c>
      <c r="BB22" s="9">
        <v>0.7</v>
      </c>
      <c r="BC22" s="9">
        <v>0.7</v>
      </c>
      <c r="BD22" s="9">
        <v>0.7</v>
      </c>
      <c r="BE22" s="9">
        <v>0.7</v>
      </c>
      <c r="BF22" s="9">
        <v>0.7</v>
      </c>
      <c r="BG22" s="9">
        <v>0.7</v>
      </c>
      <c r="BH22" s="9">
        <v>0.7</v>
      </c>
      <c r="BI22" s="9">
        <v>0.7</v>
      </c>
      <c r="BJ22" s="9">
        <v>0.7</v>
      </c>
    </row>
    <row r="23" spans="1:62" ht="14.25" customHeight="1" x14ac:dyDescent="0.3">
      <c r="A23" s="12">
        <v>112456</v>
      </c>
      <c r="B23" s="6" t="s">
        <v>44</v>
      </c>
      <c r="C23" s="7">
        <f t="shared" si="0"/>
        <v>7.278999999999999</v>
      </c>
      <c r="D23" s="6">
        <v>0.52</v>
      </c>
      <c r="E23" s="6"/>
      <c r="F23" s="7">
        <f>6.159+H23</f>
        <v>6.4589999999999996</v>
      </c>
      <c r="G23" s="7"/>
      <c r="H23" s="7">
        <v>0.3</v>
      </c>
      <c r="I23" s="8" t="s">
        <v>23</v>
      </c>
      <c r="J23" s="9">
        <v>0.73</v>
      </c>
      <c r="K23" s="9">
        <v>0.7</v>
      </c>
      <c r="L23" s="9">
        <v>0.7</v>
      </c>
      <c r="M23" s="9">
        <v>0.7</v>
      </c>
      <c r="N23" s="9">
        <v>0.7</v>
      </c>
      <c r="O23" s="9">
        <v>0.7</v>
      </c>
      <c r="P23" s="9">
        <v>0.7</v>
      </c>
      <c r="Q23" s="9">
        <v>0.7</v>
      </c>
      <c r="R23" s="9">
        <v>0.7</v>
      </c>
      <c r="S23" s="9">
        <v>0.7</v>
      </c>
      <c r="T23" s="9">
        <v>0.7</v>
      </c>
      <c r="U23" s="9">
        <v>0.7</v>
      </c>
      <c r="V23" s="9">
        <v>0.7</v>
      </c>
      <c r="W23" s="9">
        <v>0.7</v>
      </c>
      <c r="X23" s="9">
        <v>0.7</v>
      </c>
      <c r="Y23" s="9">
        <v>0.7</v>
      </c>
      <c r="Z23" s="9">
        <v>0.7</v>
      </c>
      <c r="AA23" s="9">
        <v>0.7</v>
      </c>
      <c r="AB23" s="9">
        <v>0.7</v>
      </c>
      <c r="AC23" s="9">
        <v>0.7</v>
      </c>
      <c r="AD23" s="9">
        <v>0.7</v>
      </c>
      <c r="AE23" s="9">
        <v>0.7</v>
      </c>
      <c r="AF23" s="9">
        <v>0.7</v>
      </c>
      <c r="AG23" s="9">
        <v>0.7</v>
      </c>
      <c r="AH23" s="9">
        <v>0.7</v>
      </c>
      <c r="AI23" s="9">
        <v>0.7</v>
      </c>
      <c r="AJ23" s="9">
        <v>0.7</v>
      </c>
      <c r="AK23" s="9">
        <v>0.7</v>
      </c>
      <c r="AL23" s="9">
        <v>0.7</v>
      </c>
      <c r="AM23" s="9">
        <v>0.7</v>
      </c>
      <c r="AN23" s="9">
        <v>0.7</v>
      </c>
      <c r="AO23" s="9">
        <v>0.7</v>
      </c>
      <c r="AP23" s="9">
        <v>0.7</v>
      </c>
      <c r="AQ23" s="9">
        <v>0.7</v>
      </c>
      <c r="AR23" s="9">
        <v>0.7</v>
      </c>
      <c r="AS23" s="9">
        <v>0.7</v>
      </c>
      <c r="AT23" s="9">
        <v>0.7</v>
      </c>
      <c r="AU23" s="9">
        <v>0.7</v>
      </c>
      <c r="AV23" s="9">
        <v>0.7</v>
      </c>
      <c r="AW23" s="9">
        <v>0.7</v>
      </c>
      <c r="AX23" s="9">
        <v>0.7</v>
      </c>
      <c r="AY23" s="9">
        <v>0.7</v>
      </c>
      <c r="AZ23" s="9">
        <v>0.7</v>
      </c>
      <c r="BA23" s="9">
        <v>0.7</v>
      </c>
      <c r="BB23" s="9">
        <v>0.7</v>
      </c>
      <c r="BC23" s="9">
        <v>0.7</v>
      </c>
      <c r="BD23" s="9">
        <v>0.7</v>
      </c>
      <c r="BE23" s="9">
        <v>0.7</v>
      </c>
      <c r="BF23" s="9">
        <v>0.7</v>
      </c>
      <c r="BG23" s="9">
        <v>0.7</v>
      </c>
      <c r="BH23" s="9">
        <v>0.7</v>
      </c>
      <c r="BI23" s="9">
        <v>0.7</v>
      </c>
      <c r="BJ23" s="9">
        <v>0.7</v>
      </c>
    </row>
    <row r="24" spans="1:62" ht="14.25" customHeight="1" x14ac:dyDescent="0.3">
      <c r="A24" s="12">
        <v>334382</v>
      </c>
      <c r="B24" s="6" t="s">
        <v>45</v>
      </c>
      <c r="C24" s="7">
        <f t="shared" si="0"/>
        <v>14.948</v>
      </c>
      <c r="D24" s="6">
        <v>1.22</v>
      </c>
      <c r="E24" s="6"/>
      <c r="F24" s="7">
        <f>12.228+0.5+H24</f>
        <v>13.228</v>
      </c>
      <c r="G24" s="7"/>
      <c r="H24" s="7">
        <v>0.5</v>
      </c>
      <c r="I24" s="8" t="s">
        <v>23</v>
      </c>
      <c r="J24" s="9">
        <v>0.73</v>
      </c>
      <c r="K24" s="9">
        <v>0.6</v>
      </c>
      <c r="L24" s="9">
        <v>0.6</v>
      </c>
      <c r="M24" s="9">
        <v>0.6</v>
      </c>
      <c r="N24" s="9">
        <v>0.6</v>
      </c>
      <c r="O24" s="9">
        <v>0.6</v>
      </c>
      <c r="P24" s="9">
        <v>0.6</v>
      </c>
      <c r="Q24" s="9">
        <v>0.6</v>
      </c>
      <c r="R24" s="9">
        <v>0.6</v>
      </c>
      <c r="S24" s="9">
        <v>0.6</v>
      </c>
      <c r="T24" s="9">
        <v>0.6</v>
      </c>
      <c r="U24" s="9">
        <v>0.6</v>
      </c>
      <c r="V24" s="9">
        <v>0.6</v>
      </c>
      <c r="W24" s="9">
        <v>0.6</v>
      </c>
      <c r="X24" s="9">
        <v>0.6</v>
      </c>
      <c r="Y24" s="9">
        <v>0.6</v>
      </c>
      <c r="Z24" s="9">
        <v>0.6</v>
      </c>
      <c r="AA24" s="9">
        <v>0.6</v>
      </c>
      <c r="AB24" s="9">
        <v>0.6</v>
      </c>
      <c r="AC24" s="9">
        <v>0.6</v>
      </c>
      <c r="AD24" s="9">
        <v>0.6</v>
      </c>
      <c r="AE24" s="9">
        <v>0.6</v>
      </c>
      <c r="AF24" s="9">
        <v>0.6</v>
      </c>
      <c r="AG24" s="9">
        <v>0.6</v>
      </c>
      <c r="AH24" s="9">
        <v>0.6</v>
      </c>
      <c r="AI24" s="9">
        <v>0.6</v>
      </c>
      <c r="AJ24" s="9">
        <v>0.6</v>
      </c>
      <c r="AK24" s="9">
        <v>0.6</v>
      </c>
      <c r="AL24" s="9">
        <v>0.6</v>
      </c>
      <c r="AM24" s="9">
        <v>0.6</v>
      </c>
      <c r="AN24" s="9">
        <v>0.6</v>
      </c>
      <c r="AO24" s="9">
        <v>0.6</v>
      </c>
      <c r="AP24" s="9">
        <v>0.6</v>
      </c>
      <c r="AQ24" s="9">
        <v>0.6</v>
      </c>
      <c r="AR24" s="9">
        <v>0.6</v>
      </c>
      <c r="AS24" s="9">
        <v>0.6</v>
      </c>
      <c r="AT24" s="9">
        <v>0.6</v>
      </c>
      <c r="AU24" s="9">
        <v>0.6</v>
      </c>
      <c r="AV24" s="9">
        <v>0.6</v>
      </c>
      <c r="AW24" s="9">
        <v>0.6</v>
      </c>
      <c r="AX24" s="9">
        <v>0.6</v>
      </c>
      <c r="AY24" s="9">
        <v>0.6</v>
      </c>
      <c r="AZ24" s="9">
        <v>0.6</v>
      </c>
      <c r="BA24" s="9">
        <v>0.6</v>
      </c>
      <c r="BB24" s="9">
        <v>0.6</v>
      </c>
      <c r="BC24" s="9">
        <v>0.6</v>
      </c>
      <c r="BD24" s="9">
        <v>0.6</v>
      </c>
      <c r="BE24" s="9">
        <v>0.6</v>
      </c>
      <c r="BF24" s="9">
        <v>0.6</v>
      </c>
      <c r="BG24" s="9">
        <v>0.6</v>
      </c>
      <c r="BH24" s="9">
        <v>0.6</v>
      </c>
      <c r="BI24" s="9">
        <v>0.6</v>
      </c>
      <c r="BJ24" s="9">
        <v>0.6</v>
      </c>
    </row>
    <row r="25" spans="1:62" ht="14.25" customHeight="1" x14ac:dyDescent="0.3">
      <c r="A25" s="14">
        <v>123400</v>
      </c>
      <c r="B25" s="6" t="s">
        <v>46</v>
      </c>
      <c r="C25" s="7">
        <f t="shared" si="0"/>
        <v>6.6999999999999993</v>
      </c>
      <c r="D25" s="6">
        <v>0.52400000000000002</v>
      </c>
      <c r="E25" s="6"/>
      <c r="F25" s="7">
        <f>5.236+0.5+H25</f>
        <v>5.9559999999999995</v>
      </c>
      <c r="G25" s="7"/>
      <c r="H25" s="7">
        <v>0.22</v>
      </c>
      <c r="I25" s="8" t="s">
        <v>23</v>
      </c>
      <c r="J25" s="9">
        <v>0.73</v>
      </c>
      <c r="K25" s="9">
        <v>0.7</v>
      </c>
      <c r="L25" s="9">
        <v>0.7</v>
      </c>
      <c r="M25" s="9">
        <v>0.7</v>
      </c>
      <c r="N25" s="9">
        <v>0.7</v>
      </c>
      <c r="O25" s="9">
        <v>0.7</v>
      </c>
      <c r="P25" s="9">
        <v>0.7</v>
      </c>
      <c r="Q25" s="9">
        <v>0.7</v>
      </c>
      <c r="R25" s="9">
        <v>0.7</v>
      </c>
      <c r="S25" s="9">
        <v>0.7</v>
      </c>
      <c r="T25" s="9">
        <v>0.7</v>
      </c>
      <c r="U25" s="9">
        <v>0.7</v>
      </c>
      <c r="V25" s="9">
        <v>0.7</v>
      </c>
      <c r="W25" s="9">
        <v>0.7</v>
      </c>
      <c r="X25" s="9">
        <v>0.7</v>
      </c>
      <c r="Y25" s="9">
        <v>0.7</v>
      </c>
      <c r="Z25" s="9">
        <v>0.7</v>
      </c>
      <c r="AA25" s="9">
        <v>0.7</v>
      </c>
      <c r="AB25" s="9">
        <v>0.7</v>
      </c>
      <c r="AC25" s="9">
        <v>0.7</v>
      </c>
      <c r="AD25" s="9">
        <v>0.7</v>
      </c>
      <c r="AE25" s="9">
        <v>0.7</v>
      </c>
      <c r="AF25" s="9">
        <v>0.7</v>
      </c>
      <c r="AG25" s="9">
        <v>0.7</v>
      </c>
      <c r="AH25" s="9">
        <v>0.7</v>
      </c>
      <c r="AI25" s="9">
        <v>0.7</v>
      </c>
      <c r="AJ25" s="9">
        <v>0.7</v>
      </c>
      <c r="AK25" s="9">
        <v>0.7</v>
      </c>
      <c r="AL25" s="9">
        <v>0.7</v>
      </c>
      <c r="AM25" s="9">
        <v>0.7</v>
      </c>
      <c r="AN25" s="9">
        <v>0.7</v>
      </c>
      <c r="AO25" s="9">
        <v>0.7</v>
      </c>
      <c r="AP25" s="9">
        <v>0.7</v>
      </c>
      <c r="AQ25" s="9">
        <v>0.7</v>
      </c>
      <c r="AR25" s="9">
        <v>0.7</v>
      </c>
      <c r="AS25" s="9">
        <v>0.7</v>
      </c>
      <c r="AT25" s="9">
        <v>0.7</v>
      </c>
      <c r="AU25" s="9">
        <v>0.7</v>
      </c>
      <c r="AV25" s="9">
        <v>0.7</v>
      </c>
      <c r="AW25" s="9">
        <v>0.7</v>
      </c>
      <c r="AX25" s="9">
        <v>0.7</v>
      </c>
      <c r="AY25" s="9">
        <v>0.7</v>
      </c>
      <c r="AZ25" s="9">
        <v>0.7</v>
      </c>
      <c r="BA25" s="9">
        <v>0.7</v>
      </c>
      <c r="BB25" s="9">
        <v>0.7</v>
      </c>
      <c r="BC25" s="9">
        <v>0.7</v>
      </c>
      <c r="BD25" s="9">
        <v>0.7</v>
      </c>
      <c r="BE25" s="9">
        <v>0.7</v>
      </c>
      <c r="BF25" s="9">
        <v>0.7</v>
      </c>
      <c r="BG25" s="9">
        <v>0.7</v>
      </c>
      <c r="BH25" s="9">
        <v>0.7</v>
      </c>
      <c r="BI25" s="9">
        <v>0.7</v>
      </c>
      <c r="BJ25" s="9">
        <v>0.7</v>
      </c>
    </row>
    <row r="26" spans="1:62" ht="14.25" customHeight="1" x14ac:dyDescent="0.3">
      <c r="A26" s="10">
        <v>307422</v>
      </c>
      <c r="B26" s="6" t="s">
        <v>47</v>
      </c>
      <c r="C26" s="7">
        <v>23.257000000000001</v>
      </c>
      <c r="D26" s="6">
        <v>0.34300000000000003</v>
      </c>
      <c r="E26" s="6">
        <v>2.1030000000000002</v>
      </c>
      <c r="F26" s="7">
        <f>18.867+H26</f>
        <v>20.811</v>
      </c>
      <c r="G26" s="7"/>
      <c r="H26" s="7">
        <v>1.944</v>
      </c>
      <c r="I26" s="8" t="s">
        <v>12</v>
      </c>
      <c r="J26" s="9">
        <v>0.63</v>
      </c>
      <c r="K26" s="9">
        <v>0.7</v>
      </c>
      <c r="L26" s="9">
        <v>0.7</v>
      </c>
      <c r="M26" s="9">
        <v>0.7</v>
      </c>
      <c r="N26" s="9">
        <v>0.7</v>
      </c>
      <c r="O26" s="9">
        <v>0.7</v>
      </c>
      <c r="P26" s="9">
        <v>0.7</v>
      </c>
      <c r="Q26" s="9">
        <v>0.7</v>
      </c>
      <c r="R26" s="9">
        <v>0.7</v>
      </c>
      <c r="S26" s="9">
        <v>0.7</v>
      </c>
      <c r="T26" s="9">
        <v>0.7</v>
      </c>
      <c r="U26" s="9">
        <v>0.7</v>
      </c>
      <c r="V26" s="9">
        <v>0.7</v>
      </c>
      <c r="W26" s="9">
        <v>0.7</v>
      </c>
      <c r="X26" s="9">
        <v>0.7</v>
      </c>
      <c r="Y26" s="9">
        <v>0.7</v>
      </c>
      <c r="Z26" s="9">
        <v>0.7</v>
      </c>
      <c r="AA26" s="9">
        <v>0.7</v>
      </c>
      <c r="AB26" s="9">
        <v>0.7</v>
      </c>
      <c r="AC26" s="9">
        <v>0.7</v>
      </c>
      <c r="AD26" s="9">
        <v>0.7</v>
      </c>
      <c r="AE26" s="9">
        <v>0.7</v>
      </c>
      <c r="AF26" s="9">
        <v>0.7</v>
      </c>
      <c r="AG26" s="9">
        <v>0.7</v>
      </c>
      <c r="AH26" s="9">
        <v>0.7</v>
      </c>
      <c r="AI26" s="9">
        <v>0.7</v>
      </c>
      <c r="AJ26" s="9">
        <v>0.7</v>
      </c>
      <c r="AK26" s="9">
        <v>0.7</v>
      </c>
      <c r="AL26" s="9">
        <v>0.7</v>
      </c>
      <c r="AM26" s="9">
        <v>0.7</v>
      </c>
      <c r="AN26" s="9">
        <v>0.7</v>
      </c>
      <c r="AO26" s="9">
        <v>0.7</v>
      </c>
      <c r="AP26" s="9">
        <v>0.7</v>
      </c>
      <c r="AQ26" s="9">
        <v>0.7</v>
      </c>
      <c r="AR26" s="9">
        <v>0.7</v>
      </c>
      <c r="AS26" s="9">
        <v>0.7</v>
      </c>
      <c r="AT26" s="9">
        <v>0.7</v>
      </c>
      <c r="AU26" s="9">
        <v>0.7</v>
      </c>
      <c r="AV26" s="9">
        <v>0.7</v>
      </c>
      <c r="AW26" s="9">
        <v>0.7</v>
      </c>
      <c r="AX26" s="9">
        <v>0.7</v>
      </c>
      <c r="AY26" s="9">
        <v>0.7</v>
      </c>
      <c r="AZ26" s="9">
        <v>0.7</v>
      </c>
      <c r="BA26" s="9">
        <v>0.7</v>
      </c>
      <c r="BB26" s="9">
        <v>0.7</v>
      </c>
      <c r="BC26" s="9">
        <v>0.7</v>
      </c>
      <c r="BD26" s="9">
        <v>0.7</v>
      </c>
      <c r="BE26" s="9">
        <v>0.7</v>
      </c>
      <c r="BF26" s="9">
        <v>0.7</v>
      </c>
      <c r="BG26" s="9">
        <v>0.7</v>
      </c>
      <c r="BH26" s="9">
        <v>0.7</v>
      </c>
      <c r="BI26" s="9">
        <v>0.7</v>
      </c>
      <c r="BJ26" s="9">
        <v>0.7</v>
      </c>
    </row>
    <row r="27" spans="1:62" ht="14.25" customHeight="1" x14ac:dyDescent="0.3">
      <c r="A27" s="5">
        <v>131414</v>
      </c>
      <c r="B27" s="6" t="s">
        <v>48</v>
      </c>
      <c r="C27" s="7">
        <f t="shared" si="0"/>
        <v>48.832999999999998</v>
      </c>
      <c r="D27" s="6">
        <v>4.17</v>
      </c>
      <c r="E27" s="6"/>
      <c r="F27" s="7">
        <f>41.663+1+H27</f>
        <v>43.662999999999997</v>
      </c>
      <c r="G27" s="7"/>
      <c r="H27" s="7">
        <v>1</v>
      </c>
      <c r="I27" s="8" t="s">
        <v>23</v>
      </c>
      <c r="J27" s="9">
        <v>0.73</v>
      </c>
      <c r="K27" s="9">
        <v>0.6</v>
      </c>
      <c r="L27" s="9">
        <v>0.6</v>
      </c>
      <c r="M27" s="9">
        <v>0.6</v>
      </c>
      <c r="N27" s="9">
        <v>0.6</v>
      </c>
      <c r="O27" s="9">
        <v>0.6</v>
      </c>
      <c r="P27" s="9">
        <v>0.6</v>
      </c>
      <c r="Q27" s="9">
        <v>0.6</v>
      </c>
      <c r="R27" s="9">
        <v>0.6</v>
      </c>
      <c r="S27" s="9">
        <v>0.6</v>
      </c>
      <c r="T27" s="9">
        <v>0.6</v>
      </c>
      <c r="U27" s="9">
        <v>0.6</v>
      </c>
      <c r="V27" s="9">
        <v>0.6</v>
      </c>
      <c r="W27" s="9">
        <v>0.6</v>
      </c>
      <c r="X27" s="9">
        <v>0.6</v>
      </c>
      <c r="Y27" s="9">
        <v>0.6</v>
      </c>
      <c r="Z27" s="9">
        <v>0.6</v>
      </c>
      <c r="AA27" s="9">
        <v>0.6</v>
      </c>
      <c r="AB27" s="9">
        <v>0.6</v>
      </c>
      <c r="AC27" s="9">
        <v>0.6</v>
      </c>
      <c r="AD27" s="9">
        <v>0.6</v>
      </c>
      <c r="AE27" s="9">
        <v>0.6</v>
      </c>
      <c r="AF27" s="9">
        <v>0.6</v>
      </c>
      <c r="AG27" s="9">
        <v>0.6</v>
      </c>
      <c r="AH27" s="9">
        <v>0.6</v>
      </c>
      <c r="AI27" s="9">
        <v>0.6</v>
      </c>
      <c r="AJ27" s="9">
        <v>0.6</v>
      </c>
      <c r="AK27" s="9">
        <v>0.6</v>
      </c>
      <c r="AL27" s="9">
        <v>0.6</v>
      </c>
      <c r="AM27" s="9">
        <v>0.6</v>
      </c>
      <c r="AN27" s="9">
        <v>0.6</v>
      </c>
      <c r="AO27" s="9">
        <v>0.6</v>
      </c>
      <c r="AP27" s="9">
        <v>0.6</v>
      </c>
      <c r="AQ27" s="9">
        <v>0.6</v>
      </c>
      <c r="AR27" s="9">
        <v>0.6</v>
      </c>
      <c r="AS27" s="9">
        <v>0.6</v>
      </c>
      <c r="AT27" s="9">
        <v>0.6</v>
      </c>
      <c r="AU27" s="9">
        <v>0.6</v>
      </c>
      <c r="AV27" s="9">
        <v>0.6</v>
      </c>
      <c r="AW27" s="9">
        <v>0.6</v>
      </c>
      <c r="AX27" s="9">
        <v>0.6</v>
      </c>
      <c r="AY27" s="9">
        <v>0.6</v>
      </c>
      <c r="AZ27" s="9">
        <v>0.6</v>
      </c>
      <c r="BA27" s="9">
        <v>0.6</v>
      </c>
      <c r="BB27" s="9">
        <v>0.6</v>
      </c>
      <c r="BC27" s="9">
        <v>0.6</v>
      </c>
      <c r="BD27" s="9">
        <v>0.6</v>
      </c>
      <c r="BE27" s="9">
        <v>0.6</v>
      </c>
      <c r="BF27" s="9">
        <v>0.6</v>
      </c>
      <c r="BG27" s="9">
        <v>0.6</v>
      </c>
      <c r="BH27" s="9">
        <v>0.6</v>
      </c>
      <c r="BI27" s="9">
        <v>0.6</v>
      </c>
      <c r="BJ27" s="9">
        <v>0.6</v>
      </c>
    </row>
    <row r="28" spans="1:62" ht="14.25" customHeight="1" x14ac:dyDescent="0.3">
      <c r="A28" s="12">
        <v>309210</v>
      </c>
      <c r="B28" s="6" t="s">
        <v>49</v>
      </c>
      <c r="C28" s="7">
        <f t="shared" si="0"/>
        <v>68.190000000000012</v>
      </c>
      <c r="D28" s="6">
        <v>5.8639999999999999</v>
      </c>
      <c r="E28" s="6"/>
      <c r="F28" s="7">
        <f>60.426+1</f>
        <v>61.426000000000002</v>
      </c>
      <c r="G28" s="7"/>
      <c r="H28" s="7">
        <v>0.9</v>
      </c>
      <c r="I28" s="8" t="s">
        <v>23</v>
      </c>
      <c r="J28" s="9">
        <v>0.73</v>
      </c>
      <c r="K28" s="9">
        <v>0.7</v>
      </c>
      <c r="L28" s="9">
        <v>0.7</v>
      </c>
      <c r="M28" s="9">
        <v>0.7</v>
      </c>
      <c r="N28" s="9">
        <v>0.7</v>
      </c>
      <c r="O28" s="9">
        <v>0.7</v>
      </c>
      <c r="P28" s="9">
        <v>0.7</v>
      </c>
      <c r="Q28" s="9">
        <v>0.7</v>
      </c>
      <c r="R28" s="9">
        <v>0.7</v>
      </c>
      <c r="S28" s="9">
        <v>0.7</v>
      </c>
      <c r="T28" s="9">
        <v>0.7</v>
      </c>
      <c r="U28" s="9">
        <v>0.7</v>
      </c>
      <c r="V28" s="9">
        <v>0.7</v>
      </c>
      <c r="W28" s="9">
        <v>0.7</v>
      </c>
      <c r="X28" s="9">
        <v>0.7</v>
      </c>
      <c r="Y28" s="9">
        <v>0.7</v>
      </c>
      <c r="Z28" s="9">
        <v>0.7</v>
      </c>
      <c r="AA28" s="9">
        <v>0.7</v>
      </c>
      <c r="AB28" s="9">
        <v>0.7</v>
      </c>
      <c r="AC28" s="9">
        <v>0.7</v>
      </c>
      <c r="AD28" s="9">
        <v>0.7</v>
      </c>
      <c r="AE28" s="9">
        <v>0.7</v>
      </c>
      <c r="AF28" s="9">
        <v>0.7</v>
      </c>
      <c r="AG28" s="9">
        <v>0.7</v>
      </c>
      <c r="AH28" s="9">
        <v>0.7</v>
      </c>
      <c r="AI28" s="9">
        <v>0.7</v>
      </c>
      <c r="AJ28" s="9">
        <v>0.7</v>
      </c>
      <c r="AK28" s="9">
        <v>0.7</v>
      </c>
      <c r="AL28" s="9">
        <v>0.7</v>
      </c>
      <c r="AM28" s="9">
        <v>0.7</v>
      </c>
      <c r="AN28" s="9">
        <v>0.7</v>
      </c>
      <c r="AO28" s="9">
        <v>0.7</v>
      </c>
      <c r="AP28" s="9">
        <v>0.7</v>
      </c>
      <c r="AQ28" s="9">
        <v>0.7</v>
      </c>
      <c r="AR28" s="9">
        <v>0.7</v>
      </c>
      <c r="AS28" s="9">
        <v>0.7</v>
      </c>
      <c r="AT28" s="9">
        <v>0.7</v>
      </c>
      <c r="AU28" s="9">
        <v>0.7</v>
      </c>
      <c r="AV28" s="9">
        <v>0.7</v>
      </c>
      <c r="AW28" s="9">
        <v>0.7</v>
      </c>
      <c r="AX28" s="9">
        <v>0.7</v>
      </c>
      <c r="AY28" s="9">
        <v>0.7</v>
      </c>
      <c r="AZ28" s="9">
        <v>0.7</v>
      </c>
      <c r="BA28" s="9">
        <v>0.7</v>
      </c>
      <c r="BB28" s="9">
        <v>0.7</v>
      </c>
      <c r="BC28" s="9">
        <v>0.7</v>
      </c>
      <c r="BD28" s="9">
        <v>0.7</v>
      </c>
      <c r="BE28" s="9">
        <v>0.7</v>
      </c>
      <c r="BF28" s="9">
        <v>0.7</v>
      </c>
      <c r="BG28" s="9">
        <v>0.7</v>
      </c>
      <c r="BH28" s="9">
        <v>0.7</v>
      </c>
      <c r="BI28" s="9">
        <v>0.7</v>
      </c>
      <c r="BJ28" s="9">
        <v>0.7</v>
      </c>
    </row>
    <row r="29" spans="1:62" ht="14.25" customHeight="1" x14ac:dyDescent="0.3">
      <c r="A29" s="13">
        <v>334065</v>
      </c>
      <c r="B29" s="6" t="s">
        <v>50</v>
      </c>
      <c r="C29" s="7">
        <f t="shared" si="0"/>
        <v>72.687999999999988</v>
      </c>
      <c r="D29" s="6">
        <v>1.0509999999999999</v>
      </c>
      <c r="E29" s="6">
        <v>6.0369999999999999</v>
      </c>
      <c r="F29">
        <v>63.302999999999997</v>
      </c>
      <c r="G29" s="7"/>
      <c r="H29" s="7">
        <v>2.2970000000000002</v>
      </c>
      <c r="I29" s="8" t="s">
        <v>12</v>
      </c>
      <c r="J29" s="9">
        <v>0.63</v>
      </c>
      <c r="K29" s="9">
        <v>0.6</v>
      </c>
      <c r="L29" s="9">
        <v>0.6</v>
      </c>
      <c r="M29" s="9">
        <v>0.6</v>
      </c>
      <c r="N29" s="9">
        <v>0.6</v>
      </c>
      <c r="O29" s="9">
        <v>0.6</v>
      </c>
      <c r="P29" s="9">
        <v>0.6</v>
      </c>
      <c r="Q29" s="9">
        <v>0.6</v>
      </c>
      <c r="R29" s="9">
        <v>0.6</v>
      </c>
      <c r="S29" s="9">
        <v>0.6</v>
      </c>
      <c r="T29" s="9">
        <v>0.6</v>
      </c>
      <c r="U29" s="9">
        <v>0.6</v>
      </c>
      <c r="V29" s="9">
        <v>0.6</v>
      </c>
      <c r="W29" s="9">
        <v>0.6</v>
      </c>
      <c r="X29" s="9">
        <v>0.6</v>
      </c>
      <c r="Y29" s="9">
        <v>0.6</v>
      </c>
      <c r="Z29" s="9">
        <v>0.6</v>
      </c>
      <c r="AA29" s="9">
        <v>0.6</v>
      </c>
      <c r="AB29" s="9">
        <v>0.6</v>
      </c>
      <c r="AC29" s="9">
        <v>0.6</v>
      </c>
      <c r="AD29" s="9">
        <v>0.6</v>
      </c>
      <c r="AE29" s="9">
        <v>0.6</v>
      </c>
      <c r="AF29" s="9">
        <v>0.6</v>
      </c>
      <c r="AG29" s="9">
        <v>0.6</v>
      </c>
      <c r="AH29" s="9">
        <v>0.6</v>
      </c>
      <c r="AI29" s="9">
        <v>0.6</v>
      </c>
      <c r="AJ29" s="9">
        <v>0.6</v>
      </c>
      <c r="AK29" s="9">
        <v>0.6</v>
      </c>
      <c r="AL29" s="9">
        <v>0.6</v>
      </c>
      <c r="AM29" s="9">
        <v>0.6</v>
      </c>
      <c r="AN29" s="9">
        <v>0.6</v>
      </c>
      <c r="AO29" s="9">
        <v>0.6</v>
      </c>
      <c r="AP29" s="9">
        <v>0.6</v>
      </c>
      <c r="AQ29" s="9">
        <v>0.6</v>
      </c>
      <c r="AR29" s="9">
        <v>0.6</v>
      </c>
      <c r="AS29" s="9">
        <v>0.6</v>
      </c>
      <c r="AT29" s="9">
        <v>0.6</v>
      </c>
      <c r="AU29" s="9">
        <v>0.6</v>
      </c>
      <c r="AV29" s="9">
        <v>0.6</v>
      </c>
      <c r="AW29" s="9">
        <v>0.6</v>
      </c>
      <c r="AX29" s="9">
        <v>0.6</v>
      </c>
      <c r="AY29" s="9">
        <v>0.6</v>
      </c>
      <c r="AZ29" s="9">
        <v>0.6</v>
      </c>
      <c r="BA29" s="9">
        <v>0.6</v>
      </c>
      <c r="BB29" s="9">
        <v>0.6</v>
      </c>
      <c r="BC29" s="9">
        <v>0.6</v>
      </c>
      <c r="BD29" s="9">
        <v>0.6</v>
      </c>
      <c r="BE29" s="9">
        <v>0.6</v>
      </c>
      <c r="BF29" s="9">
        <v>0.6</v>
      </c>
      <c r="BG29" s="9">
        <v>0.6</v>
      </c>
      <c r="BH29" s="9">
        <v>0.6</v>
      </c>
      <c r="BI29" s="9">
        <v>0.6</v>
      </c>
      <c r="BJ29" s="9">
        <v>0.6</v>
      </c>
    </row>
    <row r="30" spans="1:62" ht="14.25" customHeight="1" x14ac:dyDescent="0.3">
      <c r="A30" s="12">
        <v>309903</v>
      </c>
      <c r="B30" s="6" t="s">
        <v>51</v>
      </c>
      <c r="C30" s="7">
        <f t="shared" si="0"/>
        <v>35.44</v>
      </c>
      <c r="D30" s="6">
        <v>2.5499999999999998</v>
      </c>
      <c r="E30" s="6"/>
      <c r="F30" s="7">
        <f>30.49+1+H30</f>
        <v>32.19</v>
      </c>
      <c r="G30" s="7"/>
      <c r="H30" s="7">
        <v>0.7</v>
      </c>
      <c r="I30" s="8" t="s">
        <v>23</v>
      </c>
      <c r="J30" s="9">
        <v>0.73</v>
      </c>
      <c r="K30" s="9">
        <v>0.7</v>
      </c>
      <c r="L30" s="9">
        <v>0.7</v>
      </c>
      <c r="M30" s="9">
        <v>0.7</v>
      </c>
      <c r="N30" s="9">
        <v>0.7</v>
      </c>
      <c r="O30" s="9">
        <v>0.7</v>
      </c>
      <c r="P30" s="9">
        <v>0.7</v>
      </c>
      <c r="Q30" s="9">
        <v>0.7</v>
      </c>
      <c r="R30" s="9">
        <v>0.7</v>
      </c>
      <c r="S30" s="9">
        <v>0.7</v>
      </c>
      <c r="T30" s="9">
        <v>0.7</v>
      </c>
      <c r="U30" s="9">
        <v>0.7</v>
      </c>
      <c r="V30" s="9">
        <v>0.7</v>
      </c>
      <c r="W30" s="9">
        <v>0.7</v>
      </c>
      <c r="X30" s="9">
        <v>0.7</v>
      </c>
      <c r="Y30" s="9">
        <v>0.7</v>
      </c>
      <c r="Z30" s="9">
        <v>0.7</v>
      </c>
      <c r="AA30" s="9">
        <v>0.7</v>
      </c>
      <c r="AB30" s="9">
        <v>0.7</v>
      </c>
      <c r="AC30" s="9">
        <v>0.7</v>
      </c>
      <c r="AD30" s="9">
        <v>0.7</v>
      </c>
      <c r="AE30" s="9">
        <v>0.7</v>
      </c>
      <c r="AF30" s="9">
        <v>0.7</v>
      </c>
      <c r="AG30" s="9">
        <v>0.7</v>
      </c>
      <c r="AH30" s="9">
        <v>0.7</v>
      </c>
      <c r="AI30" s="9">
        <v>0.7</v>
      </c>
      <c r="AJ30" s="9">
        <v>0.7</v>
      </c>
      <c r="AK30" s="9">
        <v>0.7</v>
      </c>
      <c r="AL30" s="9">
        <v>0.7</v>
      </c>
      <c r="AM30" s="9">
        <v>0.7</v>
      </c>
      <c r="AN30" s="9">
        <v>0.7</v>
      </c>
      <c r="AO30" s="9">
        <v>0.7</v>
      </c>
      <c r="AP30" s="9">
        <v>0.7</v>
      </c>
      <c r="AQ30" s="9">
        <v>0.7</v>
      </c>
      <c r="AR30" s="9">
        <v>0.7</v>
      </c>
      <c r="AS30" s="9">
        <v>0.7</v>
      </c>
      <c r="AT30" s="9">
        <v>0.7</v>
      </c>
      <c r="AU30" s="9">
        <v>0.7</v>
      </c>
      <c r="AV30" s="9">
        <v>0.7</v>
      </c>
      <c r="AW30" s="9">
        <v>0.7</v>
      </c>
      <c r="AX30" s="9">
        <v>0.7</v>
      </c>
      <c r="AY30" s="9">
        <v>0.7</v>
      </c>
      <c r="AZ30" s="9">
        <v>0.7</v>
      </c>
      <c r="BA30" s="9">
        <v>0.7</v>
      </c>
      <c r="BB30" s="9">
        <v>0.7</v>
      </c>
      <c r="BC30" s="9">
        <v>0.7</v>
      </c>
      <c r="BD30" s="9">
        <v>0.7</v>
      </c>
      <c r="BE30" s="9">
        <v>0.7</v>
      </c>
      <c r="BF30" s="9">
        <v>0.7</v>
      </c>
      <c r="BG30" s="9">
        <v>0.7</v>
      </c>
      <c r="BH30" s="9">
        <v>0.7</v>
      </c>
      <c r="BI30" s="9">
        <v>0.7</v>
      </c>
      <c r="BJ30" s="9">
        <v>0.7</v>
      </c>
    </row>
    <row r="31" spans="1:62" ht="14.25" customHeight="1" x14ac:dyDescent="0.3">
      <c r="A31" s="11" t="s">
        <v>52</v>
      </c>
      <c r="B31" s="6" t="s">
        <v>53</v>
      </c>
      <c r="C31" s="7">
        <f t="shared" si="0"/>
        <v>94.74733333333333</v>
      </c>
      <c r="D31" s="6">
        <v>3.1379999999999999</v>
      </c>
      <c r="E31" s="6">
        <v>14.553000000000001</v>
      </c>
      <c r="F31" s="7">
        <f>61.367+6.88+H31*1/3</f>
        <v>70.449333333333328</v>
      </c>
      <c r="G31" s="7"/>
      <c r="H31" s="7">
        <v>6.6070000000000002</v>
      </c>
      <c r="I31" s="8" t="s">
        <v>12</v>
      </c>
      <c r="J31" s="9">
        <v>0.63</v>
      </c>
      <c r="K31" s="9">
        <v>0.7</v>
      </c>
      <c r="L31" s="9">
        <v>0.7</v>
      </c>
      <c r="M31" s="9">
        <v>0.7</v>
      </c>
      <c r="N31" s="9">
        <v>0.7</v>
      </c>
      <c r="O31" s="9">
        <v>0.7</v>
      </c>
      <c r="P31" s="9">
        <v>0.7</v>
      </c>
      <c r="Q31" s="9">
        <v>0.7</v>
      </c>
      <c r="R31" s="9">
        <v>0.7</v>
      </c>
      <c r="S31" s="9">
        <v>0.7</v>
      </c>
      <c r="T31" s="9">
        <v>0.7</v>
      </c>
      <c r="U31" s="9">
        <v>0.7</v>
      </c>
      <c r="V31" s="9">
        <v>0.7</v>
      </c>
      <c r="W31" s="9">
        <v>0.7</v>
      </c>
      <c r="X31" s="9">
        <v>0.7</v>
      </c>
      <c r="Y31" s="9">
        <v>0.7</v>
      </c>
      <c r="Z31" s="9">
        <v>0.7</v>
      </c>
      <c r="AA31" s="9">
        <v>0.7</v>
      </c>
      <c r="AB31" s="9">
        <v>0.7</v>
      </c>
      <c r="AC31" s="9">
        <v>0.7</v>
      </c>
      <c r="AD31" s="9">
        <v>0.7</v>
      </c>
      <c r="AE31" s="9">
        <v>0.7</v>
      </c>
      <c r="AF31" s="9">
        <v>0.7</v>
      </c>
      <c r="AG31" s="9">
        <v>0.7</v>
      </c>
      <c r="AH31" s="9">
        <v>0.7</v>
      </c>
      <c r="AI31" s="9">
        <v>0.7</v>
      </c>
      <c r="AJ31" s="9">
        <v>0.7</v>
      </c>
      <c r="AK31" s="9">
        <v>0.7</v>
      </c>
      <c r="AL31" s="9">
        <v>0.7</v>
      </c>
      <c r="AM31" s="9">
        <v>0.7</v>
      </c>
      <c r="AN31" s="9">
        <v>0.7</v>
      </c>
      <c r="AO31" s="9">
        <v>0.7</v>
      </c>
      <c r="AP31" s="9">
        <v>0.7</v>
      </c>
      <c r="AQ31" s="9">
        <v>0.7</v>
      </c>
      <c r="AR31" s="9">
        <v>0.7</v>
      </c>
      <c r="AS31" s="9">
        <v>0.7</v>
      </c>
      <c r="AT31" s="9">
        <v>0.7</v>
      </c>
      <c r="AU31" s="9">
        <v>0.7</v>
      </c>
      <c r="AV31" s="9">
        <v>0.7</v>
      </c>
      <c r="AW31" s="9">
        <v>0.7</v>
      </c>
      <c r="AX31" s="9">
        <v>0.7</v>
      </c>
      <c r="AY31" s="9">
        <v>0.7</v>
      </c>
      <c r="AZ31" s="9">
        <v>0.7</v>
      </c>
      <c r="BA31" s="9">
        <v>0.7</v>
      </c>
      <c r="BB31" s="9">
        <v>0.7</v>
      </c>
      <c r="BC31" s="9">
        <v>0.7</v>
      </c>
      <c r="BD31" s="9">
        <v>0.7</v>
      </c>
      <c r="BE31" s="9">
        <v>0.7</v>
      </c>
      <c r="BF31" s="9">
        <v>0.7</v>
      </c>
      <c r="BG31" s="9">
        <v>0.7</v>
      </c>
      <c r="BH31" s="9">
        <v>0.7</v>
      </c>
      <c r="BI31" s="9">
        <v>0.7</v>
      </c>
      <c r="BJ31" s="9">
        <v>0.7</v>
      </c>
    </row>
    <row r="32" spans="1:62" ht="14.25" customHeight="1" x14ac:dyDescent="0.3">
      <c r="A32" s="11" t="s">
        <v>54</v>
      </c>
      <c r="B32" s="6" t="s">
        <v>55</v>
      </c>
      <c r="C32" s="7">
        <f t="shared" si="0"/>
        <v>127.81066666666668</v>
      </c>
      <c r="D32" s="6"/>
      <c r="E32" s="6"/>
      <c r="F32" s="7">
        <f>80.584+22.455+13.76+H32*2/3</f>
        <v>121.20366666666668</v>
      </c>
      <c r="G32" s="7"/>
      <c r="H32" s="7">
        <v>6.6070000000000002</v>
      </c>
      <c r="I32" s="8" t="s">
        <v>12</v>
      </c>
      <c r="J32" s="9">
        <v>0.63</v>
      </c>
      <c r="K32" s="9">
        <v>0.7</v>
      </c>
      <c r="L32" s="9">
        <v>0.7</v>
      </c>
      <c r="M32" s="9">
        <v>0.7</v>
      </c>
      <c r="N32" s="9">
        <v>0.7</v>
      </c>
      <c r="O32" s="9">
        <v>0.7</v>
      </c>
      <c r="P32" s="9">
        <v>0.7</v>
      </c>
      <c r="Q32" s="9">
        <v>0.7</v>
      </c>
      <c r="R32" s="9">
        <v>0.7</v>
      </c>
      <c r="S32" s="9">
        <v>0.7</v>
      </c>
      <c r="T32" s="9">
        <v>0.7</v>
      </c>
      <c r="U32" s="9">
        <v>0.7</v>
      </c>
      <c r="V32" s="9">
        <v>0.7</v>
      </c>
      <c r="W32" s="9">
        <v>0.7</v>
      </c>
      <c r="X32" s="9">
        <v>0.7</v>
      </c>
      <c r="Y32" s="9">
        <v>0.7</v>
      </c>
      <c r="Z32" s="9">
        <v>0.7</v>
      </c>
      <c r="AA32" s="9">
        <v>0.7</v>
      </c>
      <c r="AB32" s="9">
        <v>0.7</v>
      </c>
      <c r="AC32" s="9">
        <v>0.7</v>
      </c>
      <c r="AD32" s="9">
        <v>0.7</v>
      </c>
      <c r="AE32" s="9">
        <v>0.7</v>
      </c>
      <c r="AF32" s="9">
        <v>0.7</v>
      </c>
      <c r="AG32" s="9">
        <v>0.7</v>
      </c>
      <c r="AH32" s="9">
        <v>0.7</v>
      </c>
      <c r="AI32" s="9">
        <v>0.7</v>
      </c>
      <c r="AJ32" s="9">
        <v>0.7</v>
      </c>
      <c r="AK32" s="9">
        <v>0.7</v>
      </c>
      <c r="AL32" s="9">
        <v>0.7</v>
      </c>
      <c r="AM32" s="9">
        <v>0.7</v>
      </c>
      <c r="AN32" s="9">
        <v>0.7</v>
      </c>
      <c r="AO32" s="9">
        <v>0.7</v>
      </c>
      <c r="AP32" s="9">
        <v>0.7</v>
      </c>
      <c r="AQ32" s="9">
        <v>0.7</v>
      </c>
      <c r="AR32" s="9">
        <v>0.7</v>
      </c>
      <c r="AS32" s="9">
        <v>0.7</v>
      </c>
      <c r="AT32" s="9">
        <v>0.7</v>
      </c>
      <c r="AU32" s="9">
        <v>0.7</v>
      </c>
      <c r="AV32" s="9">
        <v>0.7</v>
      </c>
      <c r="AW32" s="9">
        <v>0.7</v>
      </c>
      <c r="AX32" s="9">
        <v>0.7</v>
      </c>
      <c r="AY32" s="9">
        <v>0.7</v>
      </c>
      <c r="AZ32" s="9">
        <v>0.7</v>
      </c>
      <c r="BA32" s="9">
        <v>0.7</v>
      </c>
      <c r="BB32" s="9">
        <v>0.7</v>
      </c>
      <c r="BC32" s="9">
        <v>0.7</v>
      </c>
      <c r="BD32" s="9">
        <v>0.7</v>
      </c>
      <c r="BE32" s="9">
        <v>0.7</v>
      </c>
      <c r="BF32" s="9">
        <v>0.7</v>
      </c>
      <c r="BG32" s="9">
        <v>0.7</v>
      </c>
      <c r="BH32" s="9">
        <v>0.7</v>
      </c>
      <c r="BI32" s="9">
        <v>0.7</v>
      </c>
      <c r="BJ32" s="9">
        <v>0.7</v>
      </c>
    </row>
    <row r="33" spans="1:62" ht="14.25" customHeight="1" x14ac:dyDescent="0.3">
      <c r="A33" s="14">
        <v>114190</v>
      </c>
      <c r="B33" s="6" t="s">
        <v>56</v>
      </c>
      <c r="C33" s="7">
        <f t="shared" si="0"/>
        <v>16.603000000000002</v>
      </c>
      <c r="D33" s="6">
        <v>1.103</v>
      </c>
      <c r="E33" s="6"/>
      <c r="F33" s="7">
        <f>14+0.5+H33</f>
        <v>15</v>
      </c>
      <c r="G33" s="7"/>
      <c r="H33" s="7">
        <v>0.5</v>
      </c>
      <c r="I33" s="8" t="s">
        <v>23</v>
      </c>
      <c r="J33" s="9">
        <v>0.73</v>
      </c>
      <c r="K33" s="9">
        <v>0.6</v>
      </c>
      <c r="L33" s="9">
        <v>0.6</v>
      </c>
      <c r="M33" s="9">
        <v>0.6</v>
      </c>
      <c r="N33" s="9">
        <v>0.6</v>
      </c>
      <c r="O33" s="9">
        <v>0.6</v>
      </c>
      <c r="P33" s="9">
        <v>0.6</v>
      </c>
      <c r="Q33" s="9">
        <v>0.6</v>
      </c>
      <c r="R33" s="9">
        <v>0.6</v>
      </c>
      <c r="S33" s="9">
        <v>0.6</v>
      </c>
      <c r="T33" s="9">
        <v>0.6</v>
      </c>
      <c r="U33" s="9">
        <v>0.6</v>
      </c>
      <c r="V33" s="9">
        <v>0.6</v>
      </c>
      <c r="W33" s="9">
        <v>0.6</v>
      </c>
      <c r="X33" s="9">
        <v>0.6</v>
      </c>
      <c r="Y33" s="9">
        <v>0.6</v>
      </c>
      <c r="Z33" s="9">
        <v>0.6</v>
      </c>
      <c r="AA33" s="9">
        <v>0.6</v>
      </c>
      <c r="AB33" s="9">
        <v>0.6</v>
      </c>
      <c r="AC33" s="9">
        <v>0.6</v>
      </c>
      <c r="AD33" s="9">
        <v>0.6</v>
      </c>
      <c r="AE33" s="9">
        <v>0.6</v>
      </c>
      <c r="AF33" s="9">
        <v>0.6</v>
      </c>
      <c r="AG33" s="9">
        <v>0.6</v>
      </c>
      <c r="AH33" s="9">
        <v>0.6</v>
      </c>
      <c r="AI33" s="9">
        <v>0.6</v>
      </c>
      <c r="AJ33" s="9">
        <v>0.6</v>
      </c>
      <c r="AK33" s="9">
        <v>0.6</v>
      </c>
      <c r="AL33" s="9">
        <v>0.6</v>
      </c>
      <c r="AM33" s="9">
        <v>0.6</v>
      </c>
      <c r="AN33" s="9">
        <v>0.6</v>
      </c>
      <c r="AO33" s="9">
        <v>0.6</v>
      </c>
      <c r="AP33" s="9">
        <v>0.6</v>
      </c>
      <c r="AQ33" s="9">
        <v>0.6</v>
      </c>
      <c r="AR33" s="9">
        <v>0.6</v>
      </c>
      <c r="AS33" s="9">
        <v>0.6</v>
      </c>
      <c r="AT33" s="9">
        <v>0.6</v>
      </c>
      <c r="AU33" s="9">
        <v>0.6</v>
      </c>
      <c r="AV33" s="9">
        <v>0.6</v>
      </c>
      <c r="AW33" s="9">
        <v>0.6</v>
      </c>
      <c r="AX33" s="9">
        <v>0.6</v>
      </c>
      <c r="AY33" s="9">
        <v>0.6</v>
      </c>
      <c r="AZ33" s="9">
        <v>0.6</v>
      </c>
      <c r="BA33" s="9">
        <v>0.6</v>
      </c>
      <c r="BB33" s="9">
        <v>0.6</v>
      </c>
      <c r="BC33" s="9">
        <v>0.6</v>
      </c>
      <c r="BD33" s="9">
        <v>0.6</v>
      </c>
      <c r="BE33" s="9">
        <v>0.6</v>
      </c>
      <c r="BF33" s="9">
        <v>0.6</v>
      </c>
      <c r="BG33" s="9">
        <v>0.6</v>
      </c>
      <c r="BH33" s="9">
        <v>0.6</v>
      </c>
      <c r="BI33" s="9">
        <v>0.6</v>
      </c>
      <c r="BJ33" s="9">
        <v>0.6</v>
      </c>
    </row>
    <row r="34" spans="1:62" ht="14.25" customHeight="1" x14ac:dyDescent="0.3">
      <c r="A34" s="5" t="s">
        <v>57</v>
      </c>
      <c r="B34" s="6" t="s">
        <v>58</v>
      </c>
      <c r="C34" s="7">
        <f t="shared" si="0"/>
        <v>15.282</v>
      </c>
      <c r="D34" s="6">
        <v>1.1200000000000001</v>
      </c>
      <c r="E34" s="6"/>
      <c r="F34" s="7">
        <f>11.162+1+H34</f>
        <v>13.162000000000001</v>
      </c>
      <c r="G34" s="7"/>
      <c r="H34" s="7">
        <v>1</v>
      </c>
      <c r="I34" s="8" t="s">
        <v>23</v>
      </c>
      <c r="J34" s="9">
        <v>0.73</v>
      </c>
      <c r="K34" s="9">
        <v>0.6</v>
      </c>
      <c r="L34" s="9">
        <v>0.6</v>
      </c>
      <c r="M34" s="9">
        <v>0.6</v>
      </c>
      <c r="N34" s="9">
        <v>0.6</v>
      </c>
      <c r="O34" s="9">
        <v>0.6</v>
      </c>
      <c r="P34" s="9">
        <v>0.6</v>
      </c>
      <c r="Q34" s="9">
        <v>0.6</v>
      </c>
      <c r="R34" s="9">
        <v>0.6</v>
      </c>
      <c r="S34" s="9">
        <v>0.6</v>
      </c>
      <c r="T34" s="9">
        <v>0.6</v>
      </c>
      <c r="U34" s="9">
        <v>0.6</v>
      </c>
      <c r="V34" s="9">
        <v>0.6</v>
      </c>
      <c r="W34" s="9">
        <v>0.6</v>
      </c>
      <c r="X34" s="9">
        <v>0.6</v>
      </c>
      <c r="Y34" s="9">
        <v>0.6</v>
      </c>
      <c r="Z34" s="9">
        <v>0.6</v>
      </c>
      <c r="AA34" s="9">
        <v>0.6</v>
      </c>
      <c r="AB34" s="9">
        <v>0.6</v>
      </c>
      <c r="AC34" s="9">
        <v>0.6</v>
      </c>
      <c r="AD34" s="9">
        <v>0.6</v>
      </c>
      <c r="AE34" s="9">
        <v>0.6</v>
      </c>
      <c r="AF34" s="9">
        <v>0.6</v>
      </c>
      <c r="AG34" s="9">
        <v>0.6</v>
      </c>
      <c r="AH34" s="9">
        <v>0.6</v>
      </c>
      <c r="AI34" s="9">
        <v>0.6</v>
      </c>
      <c r="AJ34" s="9">
        <v>0.6</v>
      </c>
      <c r="AK34" s="9">
        <v>0.6</v>
      </c>
      <c r="AL34" s="9">
        <v>0.6</v>
      </c>
      <c r="AM34" s="9">
        <v>0.6</v>
      </c>
      <c r="AN34" s="9">
        <v>0.6</v>
      </c>
      <c r="AO34" s="9">
        <v>0.6</v>
      </c>
      <c r="AP34" s="9">
        <v>0.6</v>
      </c>
      <c r="AQ34" s="9">
        <v>0.6</v>
      </c>
      <c r="AR34" s="9">
        <v>0.6</v>
      </c>
      <c r="AS34" s="9">
        <v>0.6</v>
      </c>
      <c r="AT34" s="9">
        <v>0.6</v>
      </c>
      <c r="AU34" s="9">
        <v>0.6</v>
      </c>
      <c r="AV34" s="9">
        <v>0.6</v>
      </c>
      <c r="AW34" s="9">
        <v>0.6</v>
      </c>
      <c r="AX34" s="9">
        <v>0.6</v>
      </c>
      <c r="AY34" s="9">
        <v>0.6</v>
      </c>
      <c r="AZ34" s="9">
        <v>0.6</v>
      </c>
      <c r="BA34" s="9">
        <v>0.6</v>
      </c>
      <c r="BB34" s="9">
        <v>0.6</v>
      </c>
      <c r="BC34" s="9">
        <v>0.6</v>
      </c>
      <c r="BD34" s="9">
        <v>0.6</v>
      </c>
      <c r="BE34" s="9">
        <v>0.6</v>
      </c>
      <c r="BF34" s="9">
        <v>0.6</v>
      </c>
      <c r="BG34" s="9">
        <v>0.6</v>
      </c>
      <c r="BH34" s="9">
        <v>0.6</v>
      </c>
      <c r="BI34" s="9">
        <v>0.6</v>
      </c>
      <c r="BJ34" s="9">
        <v>0.6</v>
      </c>
    </row>
    <row r="35" spans="1:62" ht="14.25" customHeight="1" x14ac:dyDescent="0.3">
      <c r="A35" s="12" t="s">
        <v>59</v>
      </c>
      <c r="B35" s="6" t="s">
        <v>60</v>
      </c>
      <c r="C35" s="7">
        <f t="shared" si="0"/>
        <v>35.56</v>
      </c>
      <c r="D35" s="6">
        <v>1.139</v>
      </c>
      <c r="E35" s="6">
        <v>5.7960000000000003</v>
      </c>
      <c r="F35" s="7">
        <f>21.19+3.925+H35*1/2</f>
        <v>26.285000000000004</v>
      </c>
      <c r="G35" s="7"/>
      <c r="H35" s="7">
        <v>2.34</v>
      </c>
      <c r="I35" s="8" t="s">
        <v>12</v>
      </c>
      <c r="J35" s="9">
        <v>0.63</v>
      </c>
      <c r="K35" s="9">
        <v>0.7</v>
      </c>
      <c r="L35" s="9">
        <v>0.7</v>
      </c>
      <c r="M35" s="9">
        <v>0.7</v>
      </c>
      <c r="N35" s="9">
        <v>0.7</v>
      </c>
      <c r="O35" s="9">
        <v>0.7</v>
      </c>
      <c r="P35" s="9">
        <v>0.7</v>
      </c>
      <c r="Q35" s="9">
        <v>0.7</v>
      </c>
      <c r="R35" s="9">
        <v>0.7</v>
      </c>
      <c r="S35" s="9">
        <v>0.7</v>
      </c>
      <c r="T35" s="9">
        <v>0.7</v>
      </c>
      <c r="U35" s="9">
        <v>0.7</v>
      </c>
      <c r="V35" s="9">
        <v>0.7</v>
      </c>
      <c r="W35" s="9">
        <v>0.7</v>
      </c>
      <c r="X35" s="9">
        <v>0.7</v>
      </c>
      <c r="Y35" s="9">
        <v>0.7</v>
      </c>
      <c r="Z35" s="9">
        <v>0.7</v>
      </c>
      <c r="AA35" s="9">
        <v>0.7</v>
      </c>
      <c r="AB35" s="9">
        <v>0.7</v>
      </c>
      <c r="AC35" s="9">
        <v>0.7</v>
      </c>
      <c r="AD35" s="9">
        <v>0.7</v>
      </c>
      <c r="AE35" s="9">
        <v>0.7</v>
      </c>
      <c r="AF35" s="9">
        <v>0.7</v>
      </c>
      <c r="AG35" s="9">
        <v>0.7</v>
      </c>
      <c r="AH35" s="9">
        <v>0.7</v>
      </c>
      <c r="AI35" s="9">
        <v>0.7</v>
      </c>
      <c r="AJ35" s="9">
        <v>0.7</v>
      </c>
      <c r="AK35" s="9">
        <v>0.7</v>
      </c>
      <c r="AL35" s="9">
        <v>0.7</v>
      </c>
      <c r="AM35" s="9">
        <v>0.7</v>
      </c>
      <c r="AN35" s="9">
        <v>0.7</v>
      </c>
      <c r="AO35" s="9">
        <v>0.7</v>
      </c>
      <c r="AP35" s="9">
        <v>0.7</v>
      </c>
      <c r="AQ35" s="9">
        <v>0.7</v>
      </c>
      <c r="AR35" s="9">
        <v>0.7</v>
      </c>
      <c r="AS35" s="9">
        <v>0.7</v>
      </c>
      <c r="AT35" s="9">
        <v>0.7</v>
      </c>
      <c r="AU35" s="9">
        <v>0.7</v>
      </c>
      <c r="AV35" s="9">
        <v>0.7</v>
      </c>
      <c r="AW35" s="9">
        <v>0.7</v>
      </c>
      <c r="AX35" s="9">
        <v>0.7</v>
      </c>
      <c r="AY35" s="9">
        <v>0.7</v>
      </c>
      <c r="AZ35" s="9">
        <v>0.7</v>
      </c>
      <c r="BA35" s="9">
        <v>0.7</v>
      </c>
      <c r="BB35" s="9">
        <v>0.7</v>
      </c>
      <c r="BC35" s="9">
        <v>0.7</v>
      </c>
      <c r="BD35" s="9">
        <v>0.7</v>
      </c>
      <c r="BE35" s="9">
        <v>0.7</v>
      </c>
      <c r="BF35" s="9">
        <v>0.7</v>
      </c>
      <c r="BG35" s="9">
        <v>0.7</v>
      </c>
      <c r="BH35" s="9">
        <v>0.7</v>
      </c>
      <c r="BI35" s="9">
        <v>0.7</v>
      </c>
      <c r="BJ35" s="9">
        <v>0.7</v>
      </c>
    </row>
    <row r="36" spans="1:62" ht="14.25" customHeight="1" x14ac:dyDescent="0.3">
      <c r="A36" s="12" t="s">
        <v>61</v>
      </c>
      <c r="B36" s="6" t="s">
        <v>62</v>
      </c>
      <c r="C36" s="7">
        <f t="shared" si="0"/>
        <v>27.269000000000002</v>
      </c>
      <c r="D36" s="6"/>
      <c r="E36" s="6"/>
      <c r="F36" s="7">
        <f>14.832+5.002+3.925+H36*1/2</f>
        <v>24.929000000000002</v>
      </c>
      <c r="G36" s="7"/>
      <c r="H36" s="7">
        <v>2.34</v>
      </c>
      <c r="I36" s="8" t="s">
        <v>12</v>
      </c>
      <c r="J36" s="9">
        <v>0.63</v>
      </c>
      <c r="K36" s="9">
        <v>0.6</v>
      </c>
      <c r="L36" s="9">
        <v>0.6</v>
      </c>
      <c r="M36" s="9">
        <v>0.6</v>
      </c>
      <c r="N36" s="9">
        <v>0.6</v>
      </c>
      <c r="O36" s="9">
        <v>0.6</v>
      </c>
      <c r="P36" s="9">
        <v>0.6</v>
      </c>
      <c r="Q36" s="9">
        <v>0.6</v>
      </c>
      <c r="R36" s="9">
        <v>0.6</v>
      </c>
      <c r="S36" s="9">
        <v>0.6</v>
      </c>
      <c r="T36" s="9">
        <v>0.6</v>
      </c>
      <c r="U36" s="9">
        <v>0.6</v>
      </c>
      <c r="V36" s="9">
        <v>0.6</v>
      </c>
      <c r="W36" s="9">
        <v>0.6</v>
      </c>
      <c r="X36" s="9">
        <v>0.6</v>
      </c>
      <c r="Y36" s="9">
        <v>0.6</v>
      </c>
      <c r="Z36" s="9">
        <v>0.6</v>
      </c>
      <c r="AA36" s="9">
        <v>0.6</v>
      </c>
      <c r="AB36" s="9">
        <v>0.6</v>
      </c>
      <c r="AC36" s="9">
        <v>0.6</v>
      </c>
      <c r="AD36" s="9">
        <v>0.6</v>
      </c>
      <c r="AE36" s="9">
        <v>0.6</v>
      </c>
      <c r="AF36" s="9">
        <v>0.6</v>
      </c>
      <c r="AG36" s="9">
        <v>0.6</v>
      </c>
      <c r="AH36" s="9">
        <v>0.6</v>
      </c>
      <c r="AI36" s="9">
        <v>0.6</v>
      </c>
      <c r="AJ36" s="9">
        <v>0.6</v>
      </c>
      <c r="AK36" s="9">
        <v>0.6</v>
      </c>
      <c r="AL36" s="9">
        <v>0.6</v>
      </c>
      <c r="AM36" s="9">
        <v>0.6</v>
      </c>
      <c r="AN36" s="9">
        <v>0.6</v>
      </c>
      <c r="AO36" s="9">
        <v>0.6</v>
      </c>
      <c r="AP36" s="9">
        <v>0.6</v>
      </c>
      <c r="AQ36" s="9">
        <v>0.6</v>
      </c>
      <c r="AR36" s="9">
        <v>0.6</v>
      </c>
      <c r="AS36" s="9">
        <v>0.6</v>
      </c>
      <c r="AT36" s="9">
        <v>0.6</v>
      </c>
      <c r="AU36" s="9">
        <v>0.6</v>
      </c>
      <c r="AV36" s="9">
        <v>0.6</v>
      </c>
      <c r="AW36" s="9">
        <v>0.6</v>
      </c>
      <c r="AX36" s="9">
        <v>0.6</v>
      </c>
      <c r="AY36" s="9">
        <v>0.6</v>
      </c>
      <c r="AZ36" s="9">
        <v>0.6</v>
      </c>
      <c r="BA36" s="9">
        <v>0.6</v>
      </c>
      <c r="BB36" s="9">
        <v>0.6</v>
      </c>
      <c r="BC36" s="9">
        <v>0.6</v>
      </c>
      <c r="BD36" s="9">
        <v>0.6</v>
      </c>
      <c r="BE36" s="9">
        <v>0.6</v>
      </c>
      <c r="BF36" s="9">
        <v>0.6</v>
      </c>
      <c r="BG36" s="9">
        <v>0.6</v>
      </c>
      <c r="BH36" s="9">
        <v>0.6</v>
      </c>
      <c r="BI36" s="9">
        <v>0.6</v>
      </c>
      <c r="BJ36" s="9">
        <v>0.6</v>
      </c>
    </row>
    <row r="37" spans="1:62" ht="14.25" customHeight="1" x14ac:dyDescent="0.3">
      <c r="A37" s="11">
        <v>308715</v>
      </c>
      <c r="B37" s="6" t="s">
        <v>63</v>
      </c>
      <c r="C37" s="7">
        <f t="shared" si="0"/>
        <v>15.03</v>
      </c>
      <c r="D37" s="6">
        <v>1.0900000000000001</v>
      </c>
      <c r="E37" s="6"/>
      <c r="F37" s="7">
        <f>10.94+1+H37</f>
        <v>12.94</v>
      </c>
      <c r="G37" s="7"/>
      <c r="H37" s="7">
        <v>1</v>
      </c>
      <c r="I37" s="8" t="s">
        <v>23</v>
      </c>
      <c r="J37" s="9">
        <v>0.73</v>
      </c>
      <c r="K37" s="9">
        <v>0.7</v>
      </c>
      <c r="L37" s="9">
        <v>0.7</v>
      </c>
      <c r="M37" s="9">
        <v>0.7</v>
      </c>
      <c r="N37" s="9">
        <v>0.7</v>
      </c>
      <c r="O37" s="9">
        <v>0.7</v>
      </c>
      <c r="P37" s="9">
        <v>0.7</v>
      </c>
      <c r="Q37" s="9">
        <v>0.7</v>
      </c>
      <c r="R37" s="9">
        <v>0.7</v>
      </c>
      <c r="S37" s="9">
        <v>0.7</v>
      </c>
      <c r="T37" s="9">
        <v>0.7</v>
      </c>
      <c r="U37" s="9">
        <v>0.7</v>
      </c>
      <c r="V37" s="9">
        <v>0.7</v>
      </c>
      <c r="W37" s="9">
        <v>0.7</v>
      </c>
      <c r="X37" s="9">
        <v>0.7</v>
      </c>
      <c r="Y37" s="9">
        <v>0.7</v>
      </c>
      <c r="Z37" s="9">
        <v>0.7</v>
      </c>
      <c r="AA37" s="9">
        <v>0.7</v>
      </c>
      <c r="AB37" s="9">
        <v>0.7</v>
      </c>
      <c r="AC37" s="9">
        <v>0.7</v>
      </c>
      <c r="AD37" s="9">
        <v>0.7</v>
      </c>
      <c r="AE37" s="9">
        <v>0.7</v>
      </c>
      <c r="AF37" s="9">
        <v>0.7</v>
      </c>
      <c r="AG37" s="9">
        <v>0.7</v>
      </c>
      <c r="AH37" s="9">
        <v>0.7</v>
      </c>
      <c r="AI37" s="9">
        <v>0.7</v>
      </c>
      <c r="AJ37" s="9">
        <v>0.7</v>
      </c>
      <c r="AK37" s="9">
        <v>0.7</v>
      </c>
      <c r="AL37" s="9">
        <v>0.7</v>
      </c>
      <c r="AM37" s="9">
        <v>0.7</v>
      </c>
      <c r="AN37" s="9">
        <v>0.7</v>
      </c>
      <c r="AO37" s="9">
        <v>0.7</v>
      </c>
      <c r="AP37" s="9">
        <v>0.7</v>
      </c>
      <c r="AQ37" s="9">
        <v>0.7</v>
      </c>
      <c r="AR37" s="9">
        <v>0.7</v>
      </c>
      <c r="AS37" s="9">
        <v>0.7</v>
      </c>
      <c r="AT37" s="9">
        <v>0.7</v>
      </c>
      <c r="AU37" s="9">
        <v>0.7</v>
      </c>
      <c r="AV37" s="9">
        <v>0.7</v>
      </c>
      <c r="AW37" s="9">
        <v>0.7</v>
      </c>
      <c r="AX37" s="9">
        <v>0.7</v>
      </c>
      <c r="AY37" s="9">
        <v>0.7</v>
      </c>
      <c r="AZ37" s="9">
        <v>0.7</v>
      </c>
      <c r="BA37" s="9">
        <v>0.7</v>
      </c>
      <c r="BB37" s="9">
        <v>0.7</v>
      </c>
      <c r="BC37" s="9">
        <v>0.7</v>
      </c>
      <c r="BD37" s="9">
        <v>0.7</v>
      </c>
      <c r="BE37" s="9">
        <v>0.7</v>
      </c>
      <c r="BF37" s="9">
        <v>0.7</v>
      </c>
      <c r="BG37" s="9">
        <v>0.7</v>
      </c>
      <c r="BH37" s="9">
        <v>0.7</v>
      </c>
      <c r="BI37" s="9">
        <v>0.7</v>
      </c>
      <c r="BJ37" s="9">
        <v>0.7</v>
      </c>
    </row>
    <row r="38" spans="1:62" ht="14.25" customHeight="1" x14ac:dyDescent="0.3">
      <c r="A38" s="14">
        <v>127161</v>
      </c>
      <c r="B38" s="6" t="s">
        <v>64</v>
      </c>
      <c r="C38" s="7">
        <f t="shared" si="0"/>
        <v>21.300999999999998</v>
      </c>
      <c r="D38" s="6">
        <v>1.79</v>
      </c>
      <c r="E38" s="6"/>
      <c r="F38" s="7">
        <f>18.011+0.5+H38</f>
        <v>19.010999999999999</v>
      </c>
      <c r="G38" s="7"/>
      <c r="H38" s="7">
        <v>0.5</v>
      </c>
      <c r="I38" s="8" t="s">
        <v>23</v>
      </c>
      <c r="J38" s="9">
        <v>0.73</v>
      </c>
      <c r="K38" s="9">
        <v>0.7</v>
      </c>
      <c r="L38" s="9">
        <v>0.7</v>
      </c>
      <c r="M38" s="9">
        <v>0.7</v>
      </c>
      <c r="N38" s="9">
        <v>0.7</v>
      </c>
      <c r="O38" s="9">
        <v>0.7</v>
      </c>
      <c r="P38" s="9">
        <v>0.7</v>
      </c>
      <c r="Q38" s="9">
        <v>0.7</v>
      </c>
      <c r="R38" s="9">
        <v>0.7</v>
      </c>
      <c r="S38" s="9">
        <v>0.7</v>
      </c>
      <c r="T38" s="9">
        <v>0.7</v>
      </c>
      <c r="U38" s="9">
        <v>0.7</v>
      </c>
      <c r="V38" s="9">
        <v>0.7</v>
      </c>
      <c r="W38" s="9">
        <v>0.7</v>
      </c>
      <c r="X38" s="9">
        <v>0.7</v>
      </c>
      <c r="Y38" s="9">
        <v>0.7</v>
      </c>
      <c r="Z38" s="9">
        <v>0.7</v>
      </c>
      <c r="AA38" s="9">
        <v>0.7</v>
      </c>
      <c r="AB38" s="9">
        <v>0.7</v>
      </c>
      <c r="AC38" s="9">
        <v>0.7</v>
      </c>
      <c r="AD38" s="9">
        <v>0.7</v>
      </c>
      <c r="AE38" s="9">
        <v>0.7</v>
      </c>
      <c r="AF38" s="9">
        <v>0.7</v>
      </c>
      <c r="AG38" s="9">
        <v>0.7</v>
      </c>
      <c r="AH38" s="9">
        <v>0.7</v>
      </c>
      <c r="AI38" s="9">
        <v>0.7</v>
      </c>
      <c r="AJ38" s="9">
        <v>0.7</v>
      </c>
      <c r="AK38" s="9">
        <v>0.7</v>
      </c>
      <c r="AL38" s="9">
        <v>0.7</v>
      </c>
      <c r="AM38" s="9">
        <v>0.7</v>
      </c>
      <c r="AN38" s="9">
        <v>0.7</v>
      </c>
      <c r="AO38" s="9">
        <v>0.7</v>
      </c>
      <c r="AP38" s="9">
        <v>0.7</v>
      </c>
      <c r="AQ38" s="9">
        <v>0.7</v>
      </c>
      <c r="AR38" s="9">
        <v>0.7</v>
      </c>
      <c r="AS38" s="9">
        <v>0.7</v>
      </c>
      <c r="AT38" s="9">
        <v>0.7</v>
      </c>
      <c r="AU38" s="9">
        <v>0.7</v>
      </c>
      <c r="AV38" s="9">
        <v>0.7</v>
      </c>
      <c r="AW38" s="9">
        <v>0.7</v>
      </c>
      <c r="AX38" s="9">
        <v>0.7</v>
      </c>
      <c r="AY38" s="9">
        <v>0.7</v>
      </c>
      <c r="AZ38" s="9">
        <v>0.7</v>
      </c>
      <c r="BA38" s="9">
        <v>0.7</v>
      </c>
      <c r="BB38" s="9">
        <v>0.7</v>
      </c>
      <c r="BC38" s="9">
        <v>0.7</v>
      </c>
      <c r="BD38" s="9">
        <v>0.7</v>
      </c>
      <c r="BE38" s="9">
        <v>0.7</v>
      </c>
      <c r="BF38" s="9">
        <v>0.7</v>
      </c>
      <c r="BG38" s="9">
        <v>0.7</v>
      </c>
      <c r="BH38" s="9">
        <v>0.7</v>
      </c>
      <c r="BI38" s="9">
        <v>0.7</v>
      </c>
      <c r="BJ38" s="9">
        <v>0.7</v>
      </c>
    </row>
    <row r="39" spans="1:62" ht="14.25" customHeight="1" x14ac:dyDescent="0.3">
      <c r="A39" s="10">
        <v>312174</v>
      </c>
      <c r="B39" s="6" t="s">
        <v>65</v>
      </c>
      <c r="C39" s="7">
        <f t="shared" si="0"/>
        <v>40.86</v>
      </c>
      <c r="D39" s="6">
        <v>3.2</v>
      </c>
      <c r="E39" s="6">
        <v>3.8</v>
      </c>
      <c r="F39" s="7">
        <f>14.846+4.014+5+H39</f>
        <v>28.86</v>
      </c>
      <c r="G39" s="7"/>
      <c r="H39" s="7">
        <v>5</v>
      </c>
      <c r="I39" s="8" t="s">
        <v>12</v>
      </c>
      <c r="J39" s="9">
        <v>0.63</v>
      </c>
      <c r="K39" s="9">
        <v>0.7</v>
      </c>
      <c r="L39" s="9">
        <v>0.7</v>
      </c>
      <c r="M39" s="9">
        <v>0.7</v>
      </c>
      <c r="N39" s="9">
        <v>0.7</v>
      </c>
      <c r="O39" s="9">
        <v>0.7</v>
      </c>
      <c r="P39" s="9">
        <v>0.7</v>
      </c>
      <c r="Q39" s="9">
        <v>0.7</v>
      </c>
      <c r="R39" s="9">
        <v>0.7</v>
      </c>
      <c r="S39" s="9">
        <v>0.7</v>
      </c>
      <c r="T39" s="9">
        <v>0.7</v>
      </c>
      <c r="U39" s="9">
        <v>0.7</v>
      </c>
      <c r="V39" s="9">
        <v>0.7</v>
      </c>
      <c r="W39" s="9">
        <v>0.7</v>
      </c>
      <c r="X39" s="9">
        <v>0.7</v>
      </c>
      <c r="Y39" s="9">
        <v>0.7</v>
      </c>
      <c r="Z39" s="9">
        <v>0.7</v>
      </c>
      <c r="AA39" s="9">
        <v>0.7</v>
      </c>
      <c r="AB39" s="9">
        <v>0.7</v>
      </c>
      <c r="AC39" s="9">
        <v>0.7</v>
      </c>
      <c r="AD39" s="9">
        <v>0.7</v>
      </c>
      <c r="AE39" s="9">
        <v>0.7</v>
      </c>
      <c r="AF39" s="9">
        <v>0.7</v>
      </c>
      <c r="AG39" s="9">
        <v>0.7</v>
      </c>
      <c r="AH39" s="9">
        <v>0.7</v>
      </c>
      <c r="AI39" s="9">
        <v>0.7</v>
      </c>
      <c r="AJ39" s="9">
        <v>0.7</v>
      </c>
      <c r="AK39" s="9">
        <v>0.7</v>
      </c>
      <c r="AL39" s="9">
        <v>0.7</v>
      </c>
      <c r="AM39" s="9">
        <v>0.7</v>
      </c>
      <c r="AN39" s="9">
        <v>0.7</v>
      </c>
      <c r="AO39" s="9">
        <v>0.7</v>
      </c>
      <c r="AP39" s="9">
        <v>0.7</v>
      </c>
      <c r="AQ39" s="9">
        <v>0.7</v>
      </c>
      <c r="AR39" s="9">
        <v>0.7</v>
      </c>
      <c r="AS39" s="9">
        <v>0.7</v>
      </c>
      <c r="AT39" s="9">
        <v>0.7</v>
      </c>
      <c r="AU39" s="9">
        <v>0.7</v>
      </c>
      <c r="AV39" s="9">
        <v>0.7</v>
      </c>
      <c r="AW39" s="9">
        <v>0.7</v>
      </c>
      <c r="AX39" s="9">
        <v>0.7</v>
      </c>
      <c r="AY39" s="9">
        <v>0.7</v>
      </c>
      <c r="AZ39" s="9">
        <v>0.7</v>
      </c>
      <c r="BA39" s="9">
        <v>0.7</v>
      </c>
      <c r="BB39" s="9">
        <v>0.7</v>
      </c>
      <c r="BC39" s="9">
        <v>0.7</v>
      </c>
      <c r="BD39" s="9">
        <v>0.7</v>
      </c>
      <c r="BE39" s="9">
        <v>0.7</v>
      </c>
      <c r="BF39" s="9">
        <v>0.7</v>
      </c>
      <c r="BG39" s="9">
        <v>0.7</v>
      </c>
      <c r="BH39" s="9">
        <v>0.7</v>
      </c>
      <c r="BI39" s="9">
        <v>0.7</v>
      </c>
      <c r="BJ39" s="9">
        <v>0.7</v>
      </c>
    </row>
    <row r="40" spans="1:62" ht="14.25" customHeight="1" x14ac:dyDescent="0.3">
      <c r="A40" s="10">
        <v>313089</v>
      </c>
      <c r="B40" s="6" t="s">
        <v>66</v>
      </c>
      <c r="C40" s="7">
        <f t="shared" si="0"/>
        <v>43.417999999999999</v>
      </c>
      <c r="D40" s="6"/>
      <c r="E40" s="6"/>
      <c r="F40" s="7">
        <f>28.57+4.033+3.131+H40</f>
        <v>39.576000000000001</v>
      </c>
      <c r="G40" s="7"/>
      <c r="H40" s="7">
        <v>3.8420000000000001</v>
      </c>
      <c r="I40" s="8" t="s">
        <v>12</v>
      </c>
      <c r="J40" s="9">
        <v>0.63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</row>
    <row r="41" spans="1:62" ht="14.25" customHeight="1" x14ac:dyDescent="0.3">
      <c r="A41" s="10">
        <v>312607</v>
      </c>
      <c r="B41" s="6" t="s">
        <v>67</v>
      </c>
      <c r="C41" s="7">
        <f>SUM(D41:H41)</f>
        <v>12.488000000000001</v>
      </c>
      <c r="D41" s="6">
        <v>1.0049999999999999</v>
      </c>
      <c r="E41" s="6"/>
      <c r="F41" s="7">
        <f>10.049+0.5+H41</f>
        <v>11.016</v>
      </c>
      <c r="G41" s="7"/>
      <c r="H41" s="7">
        <v>0.46700000000000003</v>
      </c>
      <c r="I41" s="8" t="s">
        <v>23</v>
      </c>
      <c r="J41" s="9">
        <v>0.73</v>
      </c>
      <c r="K41" s="9">
        <v>0.7</v>
      </c>
      <c r="L41" s="9">
        <v>0.7</v>
      </c>
      <c r="M41" s="9">
        <v>0.7</v>
      </c>
      <c r="N41" s="9">
        <v>0.7</v>
      </c>
      <c r="O41" s="9">
        <v>0.7</v>
      </c>
      <c r="P41" s="9">
        <v>0.7</v>
      </c>
      <c r="Q41" s="9">
        <v>0.7</v>
      </c>
      <c r="R41" s="9">
        <v>0.7</v>
      </c>
      <c r="S41" s="9">
        <v>0.7</v>
      </c>
      <c r="T41" s="9">
        <v>0.7</v>
      </c>
      <c r="U41" s="9">
        <v>0.7</v>
      </c>
      <c r="V41" s="9">
        <v>0.7</v>
      </c>
      <c r="W41" s="9">
        <v>0.7</v>
      </c>
      <c r="X41" s="9">
        <v>0.7</v>
      </c>
      <c r="Y41" s="9">
        <v>0.7</v>
      </c>
      <c r="Z41" s="9">
        <v>0.7</v>
      </c>
      <c r="AA41" s="9">
        <v>0.7</v>
      </c>
      <c r="AB41" s="9">
        <v>0.7</v>
      </c>
      <c r="AC41" s="9">
        <v>0.7</v>
      </c>
      <c r="AD41" s="9">
        <v>0.7</v>
      </c>
      <c r="AE41" s="9">
        <v>0.7</v>
      </c>
      <c r="AF41" s="9">
        <v>0.7</v>
      </c>
      <c r="AG41" s="9">
        <v>0.7</v>
      </c>
      <c r="AH41" s="9">
        <v>0.7</v>
      </c>
      <c r="AI41" s="9">
        <v>0.7</v>
      </c>
      <c r="AJ41" s="9">
        <v>0.7</v>
      </c>
      <c r="AK41" s="9">
        <v>0.7</v>
      </c>
      <c r="AL41" s="9">
        <v>0.7</v>
      </c>
      <c r="AM41" s="9">
        <v>0.7</v>
      </c>
      <c r="AN41" s="9">
        <v>0.7</v>
      </c>
      <c r="AO41" s="9">
        <v>0.7</v>
      </c>
      <c r="AP41" s="9">
        <v>0.7</v>
      </c>
      <c r="AQ41" s="9">
        <v>0.7</v>
      </c>
      <c r="AR41" s="9">
        <v>0.7</v>
      </c>
      <c r="AS41" s="9">
        <v>0.7</v>
      </c>
      <c r="AT41" s="9">
        <v>0.7</v>
      </c>
      <c r="AU41" s="9">
        <v>0.7</v>
      </c>
      <c r="AV41" s="9">
        <v>0.7</v>
      </c>
      <c r="AW41" s="9">
        <v>0.7</v>
      </c>
      <c r="AX41" s="9">
        <v>0.7</v>
      </c>
      <c r="AY41" s="9">
        <v>0.7</v>
      </c>
      <c r="AZ41" s="9">
        <v>0.7</v>
      </c>
      <c r="BA41" s="9">
        <v>0.7</v>
      </c>
      <c r="BB41" s="9">
        <v>0.7</v>
      </c>
      <c r="BC41" s="9">
        <v>0.7</v>
      </c>
      <c r="BD41" s="9">
        <v>0.7</v>
      </c>
      <c r="BE41" s="9">
        <v>0.7</v>
      </c>
      <c r="BF41" s="9">
        <v>0.7</v>
      </c>
      <c r="BG41" s="9">
        <v>0.7</v>
      </c>
      <c r="BH41" s="9">
        <v>0.7</v>
      </c>
      <c r="BI41" s="9">
        <v>0.7</v>
      </c>
      <c r="BJ41" s="9">
        <v>0.7</v>
      </c>
    </row>
    <row r="42" spans="1:62" ht="14.25" customHeight="1" x14ac:dyDescent="0.3">
      <c r="A42" s="13">
        <v>325104</v>
      </c>
      <c r="B42" s="6" t="s">
        <v>68</v>
      </c>
      <c r="C42" s="7">
        <f t="shared" si="0"/>
        <v>38.690000000000005</v>
      </c>
      <c r="D42" s="6">
        <v>3.1509999999999998</v>
      </c>
      <c r="E42" s="6"/>
      <c r="F42" s="7">
        <f>30.353+1+H42</f>
        <v>32.353000000000002</v>
      </c>
      <c r="G42" s="7">
        <v>2.1859999999999999</v>
      </c>
      <c r="H42" s="7">
        <v>1</v>
      </c>
      <c r="I42" s="8" t="s">
        <v>23</v>
      </c>
      <c r="J42" s="9">
        <v>0.73</v>
      </c>
      <c r="K42" s="9">
        <v>0.7</v>
      </c>
      <c r="L42" s="9">
        <v>0.7</v>
      </c>
      <c r="M42" s="9">
        <v>0.7</v>
      </c>
      <c r="N42" s="9">
        <v>0.7</v>
      </c>
      <c r="O42" s="9">
        <v>0.7</v>
      </c>
      <c r="P42" s="9">
        <v>0.7</v>
      </c>
      <c r="Q42" s="9">
        <v>0.7</v>
      </c>
      <c r="R42" s="9">
        <v>0.7</v>
      </c>
      <c r="S42" s="9">
        <v>0.7</v>
      </c>
      <c r="T42" s="9">
        <v>0.7</v>
      </c>
      <c r="U42" s="9">
        <v>0.7</v>
      </c>
      <c r="V42" s="9">
        <v>0.7</v>
      </c>
      <c r="W42" s="9">
        <v>0.7</v>
      </c>
      <c r="X42" s="9">
        <v>0.7</v>
      </c>
      <c r="Y42" s="9">
        <v>0.7</v>
      </c>
      <c r="Z42" s="9">
        <v>0.7</v>
      </c>
      <c r="AA42" s="9">
        <v>0.7</v>
      </c>
      <c r="AB42" s="9">
        <v>0.7</v>
      </c>
      <c r="AC42" s="9">
        <v>0.7</v>
      </c>
      <c r="AD42" s="9">
        <v>0.7</v>
      </c>
      <c r="AE42" s="9">
        <v>0.7</v>
      </c>
      <c r="AF42" s="9">
        <v>0.7</v>
      </c>
      <c r="AG42" s="9">
        <v>0.7</v>
      </c>
      <c r="AH42" s="9">
        <v>0.7</v>
      </c>
      <c r="AI42" s="9">
        <v>0.7</v>
      </c>
      <c r="AJ42" s="9">
        <v>0.7</v>
      </c>
      <c r="AK42" s="9">
        <v>0.7</v>
      </c>
      <c r="AL42" s="9">
        <v>0.7</v>
      </c>
      <c r="AM42" s="9">
        <v>0.7</v>
      </c>
      <c r="AN42" s="9">
        <v>0.7</v>
      </c>
      <c r="AO42" s="9">
        <v>0.7</v>
      </c>
      <c r="AP42" s="9">
        <v>0.7</v>
      </c>
      <c r="AQ42" s="9">
        <v>0.7</v>
      </c>
      <c r="AR42" s="9">
        <v>0.7</v>
      </c>
      <c r="AS42" s="9">
        <v>0.7</v>
      </c>
      <c r="AT42" s="9">
        <v>0.7</v>
      </c>
      <c r="AU42" s="9">
        <v>0.7</v>
      </c>
      <c r="AV42" s="9">
        <v>0.7</v>
      </c>
      <c r="AW42" s="9">
        <v>0.7</v>
      </c>
      <c r="AX42" s="9">
        <v>0.7</v>
      </c>
      <c r="AY42" s="9">
        <v>0.7</v>
      </c>
      <c r="AZ42" s="9">
        <v>0.7</v>
      </c>
      <c r="BA42" s="9">
        <v>0.7</v>
      </c>
      <c r="BB42" s="9">
        <v>0.7</v>
      </c>
      <c r="BC42" s="9">
        <v>0.7</v>
      </c>
      <c r="BD42" s="9">
        <v>0.7</v>
      </c>
      <c r="BE42" s="9">
        <v>0.7</v>
      </c>
      <c r="BF42" s="9">
        <v>0.7</v>
      </c>
      <c r="BG42" s="9">
        <v>0.7</v>
      </c>
      <c r="BH42" s="9">
        <v>0.7</v>
      </c>
      <c r="BI42" s="9">
        <v>0.7</v>
      </c>
      <c r="BJ42" s="9">
        <v>0.7</v>
      </c>
    </row>
    <row r="43" spans="1:62" ht="14.25" customHeight="1" x14ac:dyDescent="0.3">
      <c r="A43" s="15">
        <v>127162</v>
      </c>
      <c r="B43" s="6" t="s">
        <v>43</v>
      </c>
      <c r="C43" s="7">
        <f t="shared" si="0"/>
        <v>21.676000000000002</v>
      </c>
      <c r="D43" s="6">
        <v>1.83</v>
      </c>
      <c r="E43" s="6"/>
      <c r="F43" s="7">
        <f>18.346+0.5+H43</f>
        <v>19.346</v>
      </c>
      <c r="G43" s="7"/>
      <c r="H43" s="7">
        <v>0.5</v>
      </c>
      <c r="I43" s="8" t="s">
        <v>23</v>
      </c>
      <c r="J43" s="9">
        <v>0.73</v>
      </c>
      <c r="K43" s="9">
        <v>0.7</v>
      </c>
      <c r="L43" s="9">
        <v>0.7</v>
      </c>
      <c r="M43" s="9">
        <v>0.7</v>
      </c>
      <c r="N43" s="9">
        <v>0.7</v>
      </c>
      <c r="O43" s="9">
        <v>0.7</v>
      </c>
      <c r="P43" s="9">
        <v>0.7</v>
      </c>
      <c r="Q43" s="9">
        <v>0.7</v>
      </c>
      <c r="R43" s="9">
        <v>0.7</v>
      </c>
      <c r="S43" s="9">
        <v>0.7</v>
      </c>
      <c r="T43" s="9">
        <v>0.7</v>
      </c>
      <c r="U43" s="9">
        <v>0.7</v>
      </c>
      <c r="V43" s="9">
        <v>0.7</v>
      </c>
      <c r="W43" s="9">
        <v>0.7</v>
      </c>
      <c r="X43" s="9">
        <v>0.7</v>
      </c>
      <c r="Y43" s="9">
        <v>0.7</v>
      </c>
      <c r="Z43" s="9">
        <v>0.7</v>
      </c>
      <c r="AA43" s="9">
        <v>0.7</v>
      </c>
      <c r="AB43" s="9">
        <v>0.7</v>
      </c>
      <c r="AC43" s="9">
        <v>0.7</v>
      </c>
      <c r="AD43" s="9">
        <v>0.7</v>
      </c>
      <c r="AE43" s="9">
        <v>0.7</v>
      </c>
      <c r="AF43" s="9">
        <v>0.7</v>
      </c>
      <c r="AG43" s="9">
        <v>0.7</v>
      </c>
      <c r="AH43" s="9">
        <v>0.7</v>
      </c>
      <c r="AI43" s="9">
        <v>0.7</v>
      </c>
      <c r="AJ43" s="9">
        <v>0.7</v>
      </c>
      <c r="AK43" s="9">
        <v>0.7</v>
      </c>
      <c r="AL43" s="9">
        <v>0.7</v>
      </c>
      <c r="AM43" s="9">
        <v>0.7</v>
      </c>
      <c r="AN43" s="9">
        <v>0.7</v>
      </c>
      <c r="AO43" s="9">
        <v>0.7</v>
      </c>
      <c r="AP43" s="9">
        <v>0.7</v>
      </c>
      <c r="AQ43" s="9">
        <v>0.7</v>
      </c>
      <c r="AR43" s="9">
        <v>0.7</v>
      </c>
      <c r="AS43" s="9">
        <v>0.7</v>
      </c>
      <c r="AT43" s="9">
        <v>0.7</v>
      </c>
      <c r="AU43" s="9">
        <v>0.7</v>
      </c>
      <c r="AV43" s="9">
        <v>0.7</v>
      </c>
      <c r="AW43" s="9">
        <v>0.7</v>
      </c>
      <c r="AX43" s="9">
        <v>0.7</v>
      </c>
      <c r="AY43" s="9">
        <v>0.7</v>
      </c>
      <c r="AZ43" s="9">
        <v>0.7</v>
      </c>
      <c r="BA43" s="9">
        <v>0.7</v>
      </c>
      <c r="BB43" s="9">
        <v>0.7</v>
      </c>
      <c r="BC43" s="9">
        <v>0.7</v>
      </c>
      <c r="BD43" s="9">
        <v>0.7</v>
      </c>
      <c r="BE43" s="9">
        <v>0.7</v>
      </c>
      <c r="BF43" s="9">
        <v>0.7</v>
      </c>
      <c r="BG43" s="9">
        <v>0.7</v>
      </c>
      <c r="BH43" s="9">
        <v>0.7</v>
      </c>
      <c r="BI43" s="9">
        <v>0.7</v>
      </c>
      <c r="BJ43" s="9">
        <v>0.7</v>
      </c>
    </row>
    <row r="44" spans="1:62" ht="14.25" customHeight="1" x14ac:dyDescent="0.3">
      <c r="A44" s="16">
        <v>309871</v>
      </c>
      <c r="B44" s="6" t="s">
        <v>69</v>
      </c>
      <c r="C44" s="7">
        <f>SUM(D44:H44)</f>
        <v>8.777000000000001</v>
      </c>
      <c r="D44" s="6">
        <v>0.66200000000000003</v>
      </c>
      <c r="E44" s="6"/>
      <c r="F44" s="7">
        <f>6.615+0.5+H44</f>
        <v>7.6150000000000002</v>
      </c>
      <c r="G44" s="7"/>
      <c r="H44" s="7">
        <v>0.5</v>
      </c>
      <c r="I44" s="8" t="s">
        <v>23</v>
      </c>
      <c r="J44" s="9">
        <v>0.73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</row>
    <row r="45" spans="1:62" ht="14.25" customHeight="1" x14ac:dyDescent="0.3">
      <c r="A45" s="16">
        <v>309889</v>
      </c>
      <c r="B45" s="6" t="s">
        <v>70</v>
      </c>
      <c r="C45" s="7">
        <f t="shared" si="0"/>
        <v>47.731000000000002</v>
      </c>
      <c r="D45" s="6">
        <v>3.5609999999999999</v>
      </c>
      <c r="E45" s="6"/>
      <c r="F45" s="7">
        <f>41.17+1+H45</f>
        <v>43.17</v>
      </c>
      <c r="G45" s="7"/>
      <c r="H45" s="7">
        <v>1</v>
      </c>
      <c r="I45" s="8" t="s">
        <v>23</v>
      </c>
      <c r="J45" s="9">
        <v>0.73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</row>
    <row r="46" spans="1:62" ht="14.25" customHeight="1" x14ac:dyDescent="0.3">
      <c r="A46" s="13">
        <v>324181</v>
      </c>
      <c r="B46" s="6" t="s">
        <v>71</v>
      </c>
      <c r="C46" s="7">
        <f t="shared" si="0"/>
        <v>15.478</v>
      </c>
      <c r="D46" s="6">
        <v>1.179</v>
      </c>
      <c r="E46" s="6"/>
      <c r="F46" s="7">
        <f>11.299+1+H46</f>
        <v>13.298999999999999</v>
      </c>
      <c r="G46" s="7"/>
      <c r="H46" s="7">
        <v>1</v>
      </c>
      <c r="I46" s="8" t="s">
        <v>23</v>
      </c>
      <c r="J46" s="9">
        <v>0.73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</row>
    <row r="47" spans="1:62" ht="14.25" customHeight="1" x14ac:dyDescent="0.3">
      <c r="A47" s="11">
        <v>117164</v>
      </c>
      <c r="B47" s="6" t="s">
        <v>72</v>
      </c>
      <c r="C47" s="7">
        <f t="shared" si="0"/>
        <v>4.4209999999999994</v>
      </c>
      <c r="D47" s="6">
        <v>0.311</v>
      </c>
      <c r="E47" s="6"/>
      <c r="F47" s="7">
        <f>3.11+0.5</f>
        <v>3.61</v>
      </c>
      <c r="G47" s="7"/>
      <c r="H47" s="7">
        <v>0.5</v>
      </c>
      <c r="I47" s="8" t="s">
        <v>23</v>
      </c>
      <c r="J47" s="9">
        <v>0.73</v>
      </c>
      <c r="K47" s="9">
        <v>0.6</v>
      </c>
      <c r="L47" s="9">
        <v>0.6</v>
      </c>
      <c r="M47" s="9">
        <v>0.6</v>
      </c>
      <c r="N47" s="9">
        <v>0.6</v>
      </c>
      <c r="O47" s="9">
        <v>0.6</v>
      </c>
      <c r="P47" s="9">
        <v>0.6</v>
      </c>
      <c r="Q47" s="9">
        <v>0.6</v>
      </c>
      <c r="R47" s="9">
        <v>0.6</v>
      </c>
      <c r="S47" s="9">
        <v>0.6</v>
      </c>
      <c r="T47" s="9">
        <v>0.6</v>
      </c>
      <c r="U47" s="9">
        <v>0.6</v>
      </c>
      <c r="V47" s="9">
        <v>0.6</v>
      </c>
      <c r="W47" s="9">
        <v>0.6</v>
      </c>
      <c r="X47" s="9">
        <v>0.6</v>
      </c>
      <c r="Y47" s="9">
        <v>0.6</v>
      </c>
      <c r="Z47" s="9">
        <v>0.6</v>
      </c>
      <c r="AA47" s="9">
        <v>0.6</v>
      </c>
      <c r="AB47" s="9">
        <v>0.6</v>
      </c>
      <c r="AC47" s="9">
        <v>0.6</v>
      </c>
      <c r="AD47" s="9">
        <v>0.6</v>
      </c>
      <c r="AE47" s="9">
        <v>0.6</v>
      </c>
      <c r="AF47" s="9">
        <v>0.6</v>
      </c>
      <c r="AG47" s="9">
        <v>0.6</v>
      </c>
      <c r="AH47" s="9">
        <v>0.6</v>
      </c>
      <c r="AI47" s="9">
        <v>0.6</v>
      </c>
      <c r="AJ47" s="9">
        <v>0.6</v>
      </c>
      <c r="AK47" s="9">
        <v>0.6</v>
      </c>
      <c r="AL47" s="9">
        <v>0.6</v>
      </c>
      <c r="AM47" s="9">
        <v>0.6</v>
      </c>
      <c r="AN47" s="9">
        <v>0.6</v>
      </c>
      <c r="AO47" s="9">
        <v>0.6</v>
      </c>
      <c r="AP47" s="9">
        <v>0.6</v>
      </c>
      <c r="AQ47" s="9">
        <v>0.6</v>
      </c>
      <c r="AR47" s="9">
        <v>0.6</v>
      </c>
      <c r="AS47" s="9">
        <v>0.6</v>
      </c>
      <c r="AT47" s="9">
        <v>0.6</v>
      </c>
      <c r="AU47" s="9">
        <v>0.6</v>
      </c>
      <c r="AV47" s="9">
        <v>0.6</v>
      </c>
      <c r="AW47" s="9">
        <v>0.6</v>
      </c>
      <c r="AX47" s="9">
        <v>0.6</v>
      </c>
      <c r="AY47" s="9">
        <v>0.6</v>
      </c>
      <c r="AZ47" s="9">
        <v>0.6</v>
      </c>
      <c r="BA47" s="9">
        <v>0.6</v>
      </c>
      <c r="BB47" s="9">
        <v>0.6</v>
      </c>
      <c r="BC47" s="9">
        <v>0.6</v>
      </c>
      <c r="BD47" s="9">
        <v>0.6</v>
      </c>
      <c r="BE47" s="9">
        <v>0.6</v>
      </c>
      <c r="BF47" s="9">
        <v>0.6</v>
      </c>
      <c r="BG47" s="9">
        <v>0.6</v>
      </c>
      <c r="BH47" s="9">
        <v>0.6</v>
      </c>
      <c r="BI47" s="9">
        <v>0.6</v>
      </c>
      <c r="BJ47" s="9">
        <v>0.6</v>
      </c>
    </row>
    <row r="48" spans="1:62" ht="14.25" customHeight="1" x14ac:dyDescent="0.3">
      <c r="A48" s="17" t="s">
        <v>73</v>
      </c>
      <c r="B48" s="6" t="s">
        <v>74</v>
      </c>
      <c r="C48" s="7">
        <f t="shared" si="0"/>
        <v>40.57</v>
      </c>
      <c r="D48" s="6">
        <v>2.4900000000000002</v>
      </c>
      <c r="E48" s="6">
        <v>2.8</v>
      </c>
      <c r="F48" s="7">
        <f>24.82+2.5+H48</f>
        <v>31.3</v>
      </c>
      <c r="G48" s="7"/>
      <c r="H48" s="7">
        <v>3.98</v>
      </c>
      <c r="I48" s="8" t="s">
        <v>12</v>
      </c>
      <c r="J48" s="9">
        <v>0.63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</row>
    <row r="49" spans="1:64" ht="14.25" customHeight="1" x14ac:dyDescent="0.3">
      <c r="A49" s="17" t="s">
        <v>75</v>
      </c>
      <c r="B49" s="6" t="s">
        <v>76</v>
      </c>
      <c r="C49" s="7">
        <f>SUM(D49:H49)</f>
        <v>38.473666666666666</v>
      </c>
      <c r="D49" s="6">
        <v>2.0259999999999998</v>
      </c>
      <c r="E49" s="6">
        <v>4.74</v>
      </c>
      <c r="F49" s="7">
        <f>26.219+2.37+H49*1/3</f>
        <v>29.36866666666667</v>
      </c>
      <c r="H49" s="7">
        <v>2.339</v>
      </c>
      <c r="I49" s="8" t="s">
        <v>12</v>
      </c>
      <c r="J49" s="9">
        <v>0.63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</row>
    <row r="50" spans="1:64" ht="14.25" customHeight="1" x14ac:dyDescent="0.3">
      <c r="A50" s="17" t="s">
        <v>77</v>
      </c>
      <c r="B50" s="6" t="s">
        <v>78</v>
      </c>
      <c r="C50" s="7">
        <f t="shared" ref="C50:C53" si="1">SUM(D50:H50)</f>
        <v>46.303333333333335</v>
      </c>
      <c r="D50" s="6"/>
      <c r="E50" s="6"/>
      <c r="F50" s="7">
        <f>29.643+8.022+4.74+H50*2/3</f>
        <v>43.964333333333336</v>
      </c>
      <c r="G50" s="7"/>
      <c r="H50" s="7">
        <v>2.339</v>
      </c>
      <c r="I50" s="8" t="s">
        <v>12</v>
      </c>
      <c r="J50" s="9">
        <v>0.63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</row>
    <row r="51" spans="1:64" ht="14.25" customHeight="1" x14ac:dyDescent="0.3">
      <c r="A51" s="10">
        <v>9810037128</v>
      </c>
      <c r="B51" s="6" t="s">
        <v>79</v>
      </c>
      <c r="C51" s="7">
        <f t="shared" si="1"/>
        <v>7.68</v>
      </c>
      <c r="D51" s="6"/>
      <c r="E51" s="6">
        <v>5</v>
      </c>
      <c r="F51" s="7">
        <f>2.18+H51</f>
        <v>2.4300000000000002</v>
      </c>
      <c r="G51" s="7"/>
      <c r="H51" s="7">
        <v>0.25</v>
      </c>
      <c r="I51" s="8" t="s">
        <v>23</v>
      </c>
      <c r="J51" s="9">
        <v>0.73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</row>
    <row r="52" spans="1:64" ht="14.25" customHeight="1" x14ac:dyDescent="0.3">
      <c r="A52" s="17" t="s">
        <v>80</v>
      </c>
      <c r="B52" s="6" t="s">
        <v>81</v>
      </c>
      <c r="C52" s="7">
        <f t="shared" si="1"/>
        <v>61.273333333333333</v>
      </c>
      <c r="D52" s="4"/>
      <c r="E52" s="4"/>
      <c r="F52" s="18">
        <f>47.307+17.002*2/3+H52*2/3</f>
        <v>59.694333333333333</v>
      </c>
      <c r="G52" s="18"/>
      <c r="H52" s="18">
        <v>1.579</v>
      </c>
      <c r="I52" s="8" t="s">
        <v>12</v>
      </c>
      <c r="J52" s="9">
        <v>0.63</v>
      </c>
    </row>
    <row r="53" spans="1:64" ht="14.25" customHeight="1" x14ac:dyDescent="0.3">
      <c r="A53" s="17" t="s">
        <v>82</v>
      </c>
      <c r="B53" s="6" t="s">
        <v>83</v>
      </c>
      <c r="C53" s="7">
        <f t="shared" si="1"/>
        <v>26.738666666666667</v>
      </c>
      <c r="D53" s="4"/>
      <c r="E53" s="4"/>
      <c r="F53" s="18">
        <f>12.816+6.15+17.002*1/3+H53*1/3</f>
        <v>25.159666666666666</v>
      </c>
      <c r="G53" s="18"/>
      <c r="H53" s="18">
        <v>1.579</v>
      </c>
      <c r="I53" s="8" t="s">
        <v>12</v>
      </c>
      <c r="J53" s="9">
        <v>0.63</v>
      </c>
    </row>
    <row r="54" spans="1:64" ht="14.25" customHeight="1" x14ac:dyDescent="0.3">
      <c r="A54" s="15">
        <v>309158</v>
      </c>
      <c r="B54" s="6" t="s">
        <v>84</v>
      </c>
      <c r="C54" s="7">
        <f>SUM(D54:H54)</f>
        <v>76.695000000000007</v>
      </c>
      <c r="D54" s="4">
        <v>6.6449999999999996</v>
      </c>
      <c r="E54" s="4"/>
      <c r="F54" s="18">
        <v>69.150000000000006</v>
      </c>
      <c r="G54" s="18"/>
      <c r="H54" s="18">
        <v>0.9</v>
      </c>
      <c r="I54" s="8" t="s">
        <v>23</v>
      </c>
      <c r="J54" s="9">
        <v>0.73</v>
      </c>
      <c r="BK54" t="s">
        <v>85</v>
      </c>
      <c r="BL54" s="4"/>
    </row>
    <row r="55" spans="1:64" ht="14.25" customHeight="1" x14ac:dyDescent="0.3">
      <c r="A55" s="15">
        <v>301684</v>
      </c>
      <c r="B55" s="6" t="s">
        <v>86</v>
      </c>
      <c r="C55" s="7">
        <f>SUM(D55:H55)</f>
        <v>8.7949999999999999</v>
      </c>
      <c r="D55" s="4">
        <v>1.095</v>
      </c>
      <c r="E55" s="4"/>
      <c r="F55" s="18">
        <f>6.2+0.5+H55</f>
        <v>7.2</v>
      </c>
      <c r="G55" s="18"/>
      <c r="H55" s="18">
        <v>0.5</v>
      </c>
      <c r="I55" s="8" t="s">
        <v>23</v>
      </c>
      <c r="J55" s="9">
        <v>0.73</v>
      </c>
      <c r="BK55" t="s">
        <v>85</v>
      </c>
    </row>
    <row r="56" spans="1:64" ht="14.25" customHeight="1" x14ac:dyDescent="0.3">
      <c r="A56" s="19" t="s">
        <v>87</v>
      </c>
      <c r="B56" s="6" t="s">
        <v>88</v>
      </c>
      <c r="C56" s="7">
        <f t="shared" ref="C56:C69" si="2">SUM(D56:H56)</f>
        <v>38.621333333333332</v>
      </c>
      <c r="F56" s="20">
        <f>22.009+3.091+H56*1/3</f>
        <v>28.480333333333334</v>
      </c>
      <c r="H56">
        <v>10.141</v>
      </c>
      <c r="I56" s="8" t="s">
        <v>12</v>
      </c>
      <c r="J56" s="9">
        <v>0.63</v>
      </c>
    </row>
    <row r="57" spans="1:64" ht="14.25" customHeight="1" x14ac:dyDescent="0.3">
      <c r="A57" s="19" t="s">
        <v>89</v>
      </c>
      <c r="B57" s="6" t="s">
        <v>90</v>
      </c>
      <c r="C57" s="7">
        <f t="shared" si="2"/>
        <v>73.304666666666662</v>
      </c>
      <c r="D57">
        <v>2.0680000000000001</v>
      </c>
      <c r="E57">
        <v>9.2729999999999997</v>
      </c>
      <c r="F57" s="20">
        <f>33.327+5.553+(3.091*2)+H57*2/3</f>
        <v>51.822666666666663</v>
      </c>
      <c r="H57">
        <v>10.141</v>
      </c>
      <c r="I57" s="8" t="s">
        <v>12</v>
      </c>
      <c r="J57" s="9">
        <v>0.63</v>
      </c>
    </row>
    <row r="58" spans="1:64" ht="14.25" customHeight="1" x14ac:dyDescent="0.3">
      <c r="A58" s="21" t="s">
        <v>91</v>
      </c>
      <c r="B58" s="6" t="s">
        <v>92</v>
      </c>
      <c r="C58" s="7">
        <f t="shared" si="2"/>
        <v>4.4163333333333332</v>
      </c>
      <c r="D58" s="22">
        <f>14.78/60</f>
        <v>0.24633333333333332</v>
      </c>
      <c r="F58" s="22">
        <f>3.17+H58</f>
        <v>3.67</v>
      </c>
      <c r="H58" s="7">
        <v>0.5</v>
      </c>
      <c r="I58" s="8" t="s">
        <v>23</v>
      </c>
      <c r="J58" s="9">
        <v>0.73</v>
      </c>
      <c r="BK58" t="s">
        <v>85</v>
      </c>
    </row>
    <row r="59" spans="1:64" ht="14.25" customHeight="1" x14ac:dyDescent="0.3">
      <c r="A59" s="13">
        <v>311195</v>
      </c>
      <c r="B59" s="6" t="s">
        <v>93</v>
      </c>
      <c r="C59" s="7">
        <f t="shared" si="2"/>
        <v>20.6</v>
      </c>
      <c r="D59">
        <v>2.8</v>
      </c>
      <c r="F59" s="22">
        <f>16.8+H59</f>
        <v>17.3</v>
      </c>
      <c r="H59" s="7">
        <v>0.5</v>
      </c>
      <c r="I59" s="8" t="s">
        <v>23</v>
      </c>
      <c r="J59" s="9">
        <v>0.73</v>
      </c>
    </row>
    <row r="60" spans="1:64" ht="14.25" customHeight="1" x14ac:dyDescent="0.3">
      <c r="A60" s="10" t="s">
        <v>94</v>
      </c>
      <c r="B60" s="6" t="s">
        <v>95</v>
      </c>
      <c r="C60" s="7">
        <f t="shared" si="2"/>
        <v>44.211666666666666</v>
      </c>
      <c r="F60" s="22">
        <f>28.94+5.145+3.46+H60*2/3</f>
        <v>40.211666666666666</v>
      </c>
      <c r="H60">
        <v>4</v>
      </c>
      <c r="I60" s="8" t="s">
        <v>12</v>
      </c>
      <c r="J60" s="9">
        <v>0.63</v>
      </c>
    </row>
    <row r="61" spans="1:64" ht="14.25" customHeight="1" x14ac:dyDescent="0.3">
      <c r="A61" s="10" t="s">
        <v>96</v>
      </c>
      <c r="B61" s="6" t="s">
        <v>97</v>
      </c>
      <c r="C61" s="7">
        <f t="shared" si="2"/>
        <v>30.123666666666665</v>
      </c>
      <c r="F61" s="22">
        <f>23.057+5.2/3+H61*1/3</f>
        <v>26.123666666666665</v>
      </c>
      <c r="H61">
        <v>4</v>
      </c>
      <c r="I61" s="8" t="s">
        <v>12</v>
      </c>
      <c r="J61" s="9">
        <v>0.63</v>
      </c>
    </row>
    <row r="62" spans="1:64" ht="14.25" customHeight="1" x14ac:dyDescent="0.3">
      <c r="A62" s="10">
        <v>128350</v>
      </c>
      <c r="B62" s="6" t="s">
        <v>98</v>
      </c>
      <c r="C62" s="7">
        <f t="shared" si="2"/>
        <v>16.22</v>
      </c>
      <c r="D62">
        <v>0.85</v>
      </c>
      <c r="F62">
        <f>13.87+0.5+H62</f>
        <v>14.87</v>
      </c>
      <c r="H62">
        <v>0.5</v>
      </c>
      <c r="I62" s="8" t="s">
        <v>23</v>
      </c>
      <c r="J62" s="9">
        <v>0.73</v>
      </c>
    </row>
    <row r="63" spans="1:64" ht="14.25" customHeight="1" x14ac:dyDescent="0.3">
      <c r="A63" s="13">
        <v>309970</v>
      </c>
      <c r="B63" s="6" t="s">
        <v>99</v>
      </c>
      <c r="C63" s="7">
        <f t="shared" si="2"/>
        <v>49.401000000000003</v>
      </c>
      <c r="F63">
        <f>46.401+1+H63</f>
        <v>48.401000000000003</v>
      </c>
      <c r="H63">
        <v>1</v>
      </c>
      <c r="I63" s="8" t="s">
        <v>23</v>
      </c>
      <c r="J63" s="9">
        <v>0.73</v>
      </c>
    </row>
    <row r="64" spans="1:64" ht="14.25" customHeight="1" x14ac:dyDescent="0.3">
      <c r="A64" s="10">
        <v>116241</v>
      </c>
      <c r="B64" s="4" t="s">
        <v>100</v>
      </c>
      <c r="C64" s="7">
        <f t="shared" si="2"/>
        <v>6.8059999999999992</v>
      </c>
      <c r="D64">
        <v>0.48</v>
      </c>
      <c r="F64">
        <f>4.826+0.5+H64</f>
        <v>5.8259999999999996</v>
      </c>
      <c r="H64">
        <v>0.5</v>
      </c>
      <c r="I64" s="8" t="s">
        <v>23</v>
      </c>
      <c r="J64" s="9">
        <v>0.73</v>
      </c>
    </row>
    <row r="65" spans="1:64" ht="14.25" customHeight="1" x14ac:dyDescent="0.3">
      <c r="A65" s="13">
        <v>309861</v>
      </c>
      <c r="B65" s="4" t="s">
        <v>101</v>
      </c>
      <c r="C65" s="7">
        <f t="shared" si="2"/>
        <v>10.645</v>
      </c>
      <c r="D65">
        <v>0.79</v>
      </c>
      <c r="F65">
        <f>7.855+1+H65</f>
        <v>9.3550000000000004</v>
      </c>
      <c r="H65">
        <v>0.5</v>
      </c>
      <c r="I65" s="8" t="s">
        <v>23</v>
      </c>
      <c r="J65" s="9">
        <v>0.73</v>
      </c>
    </row>
    <row r="66" spans="1:64" ht="14.25" customHeight="1" x14ac:dyDescent="0.3">
      <c r="A66" s="10" t="s">
        <v>102</v>
      </c>
      <c r="B66" s="6" t="s">
        <v>103</v>
      </c>
      <c r="C66" s="7">
        <f t="shared" si="2"/>
        <v>49.594666666666669</v>
      </c>
      <c r="D66">
        <v>1.5449999999999999</v>
      </c>
      <c r="E66">
        <v>5.5860000000000003</v>
      </c>
      <c r="F66">
        <f>27.532+7.385+3.87+H66*2/3</f>
        <v>40.257666666666665</v>
      </c>
      <c r="H66">
        <v>2.206</v>
      </c>
      <c r="I66" s="8" t="s">
        <v>12</v>
      </c>
      <c r="J66" s="9">
        <v>0.63</v>
      </c>
      <c r="K66" s="23"/>
      <c r="L66" s="23"/>
      <c r="M66" s="24"/>
      <c r="N66" s="25"/>
      <c r="Q66" s="26"/>
    </row>
    <row r="67" spans="1:64" ht="14.25" customHeight="1" x14ac:dyDescent="0.3">
      <c r="A67" s="10" t="s">
        <v>104</v>
      </c>
      <c r="B67" s="6" t="s">
        <v>105</v>
      </c>
      <c r="C67" s="7">
        <f t="shared" si="2"/>
        <v>27.653333333333332</v>
      </c>
      <c r="F67">
        <f>21.312+3.4+H67*1/3</f>
        <v>25.447333333333333</v>
      </c>
      <c r="H67">
        <v>2.206</v>
      </c>
      <c r="I67" s="8" t="s">
        <v>12</v>
      </c>
      <c r="J67" s="9">
        <v>0.63</v>
      </c>
      <c r="K67" s="23"/>
      <c r="L67" s="23"/>
      <c r="M67" s="24"/>
      <c r="N67" s="25"/>
      <c r="Q67" s="26"/>
    </row>
    <row r="68" spans="1:64" ht="14.25" customHeight="1" x14ac:dyDescent="0.3">
      <c r="A68" s="10" t="s">
        <v>106</v>
      </c>
      <c r="B68" s="6" t="s">
        <v>107</v>
      </c>
      <c r="C68" s="7">
        <f t="shared" si="2"/>
        <v>43.141666666666666</v>
      </c>
      <c r="F68">
        <f>24.928+7.557*1/3+H68*1/3</f>
        <v>31.370666666666668</v>
      </c>
      <c r="H68">
        <v>11.771000000000001</v>
      </c>
      <c r="I68" s="8" t="s">
        <v>12</v>
      </c>
      <c r="J68" s="9">
        <v>0.63</v>
      </c>
      <c r="K68" s="23"/>
      <c r="L68" s="23"/>
      <c r="M68" s="24"/>
      <c r="N68" s="25"/>
      <c r="Q68" s="26"/>
      <c r="BL68" s="27"/>
    </row>
    <row r="69" spans="1:64" ht="14.25" customHeight="1" x14ac:dyDescent="0.3">
      <c r="A69" s="10" t="s">
        <v>108</v>
      </c>
      <c r="B69" s="6" t="s">
        <v>109</v>
      </c>
      <c r="C69" s="7">
        <f t="shared" si="2"/>
        <v>79.794333333333327</v>
      </c>
      <c r="D69">
        <v>2.6869999999999998</v>
      </c>
      <c r="E69">
        <v>9.8230000000000004</v>
      </c>
      <c r="F69">
        <f>37.069+5.559+7.557*2/3+H69*2/3</f>
        <v>55.513333333333328</v>
      </c>
      <c r="H69">
        <v>11.771000000000001</v>
      </c>
      <c r="I69" s="8" t="s">
        <v>12</v>
      </c>
      <c r="J69" s="9">
        <v>0.63</v>
      </c>
      <c r="K69" s="23"/>
      <c r="L69" s="23"/>
      <c r="M69" s="24"/>
      <c r="N69" s="25"/>
      <c r="Q69" s="26"/>
    </row>
    <row r="70" spans="1:64" ht="14.25" customHeight="1" x14ac:dyDescent="0.3">
      <c r="A70" s="10">
        <v>301674</v>
      </c>
      <c r="B70" s="6" t="s">
        <v>110</v>
      </c>
      <c r="C70" s="7">
        <f t="shared" ref="C70:C77" si="3">SUM(D70:H70)</f>
        <v>25.916999999999998</v>
      </c>
      <c r="D70">
        <v>2.2519999999999998</v>
      </c>
      <c r="F70">
        <f>21.665+1</f>
        <v>22.664999999999999</v>
      </c>
      <c r="H70">
        <v>1</v>
      </c>
      <c r="I70" s="8" t="s">
        <v>23</v>
      </c>
      <c r="J70" s="9">
        <v>0.73</v>
      </c>
      <c r="K70" s="23"/>
      <c r="L70" s="23"/>
      <c r="M70" s="24"/>
      <c r="N70" s="25"/>
      <c r="Q70" s="26"/>
    </row>
    <row r="71" spans="1:64" ht="14.25" customHeight="1" x14ac:dyDescent="0.3">
      <c r="A71" s="28" t="s">
        <v>111</v>
      </c>
      <c r="B71" s="6" t="s">
        <v>112</v>
      </c>
      <c r="C71" s="7">
        <f t="shared" si="3"/>
        <v>102.05</v>
      </c>
      <c r="D71">
        <v>8.2799999999999994</v>
      </c>
      <c r="F71" s="23">
        <f>89.763+1+H71</f>
        <v>91.795000000000002</v>
      </c>
      <c r="G71">
        <v>0.94299999999999995</v>
      </c>
      <c r="H71">
        <v>1.032</v>
      </c>
      <c r="I71" s="8" t="s">
        <v>23</v>
      </c>
      <c r="J71" s="9">
        <v>0.73</v>
      </c>
      <c r="K71" s="23"/>
      <c r="L71" s="23"/>
      <c r="M71" s="24"/>
      <c r="N71" s="25"/>
      <c r="Q71" s="26"/>
      <c r="BK71" t="s">
        <v>113</v>
      </c>
    </row>
    <row r="72" spans="1:64" ht="14.25" customHeight="1" x14ac:dyDescent="0.3">
      <c r="A72" s="28">
        <v>121831</v>
      </c>
      <c r="B72" s="6" t="s">
        <v>114</v>
      </c>
      <c r="C72" s="7">
        <f t="shared" si="3"/>
        <v>63.5</v>
      </c>
      <c r="D72" s="29">
        <v>5.5</v>
      </c>
      <c r="F72" s="23">
        <f>55+1+H72</f>
        <v>57</v>
      </c>
      <c r="H72" s="30">
        <v>1</v>
      </c>
      <c r="I72" s="8" t="s">
        <v>23</v>
      </c>
      <c r="J72" s="9">
        <v>0.73</v>
      </c>
      <c r="K72" s="23"/>
      <c r="L72" s="23"/>
      <c r="M72" s="24"/>
      <c r="N72" s="25"/>
      <c r="Q72" s="26"/>
      <c r="BK72" t="s">
        <v>113</v>
      </c>
    </row>
    <row r="73" spans="1:64" ht="14.25" customHeight="1" x14ac:dyDescent="0.3">
      <c r="A73" s="28">
        <v>121983</v>
      </c>
      <c r="B73" s="6" t="s">
        <v>115</v>
      </c>
      <c r="C73" s="7">
        <f t="shared" si="3"/>
        <v>18.809999999999999</v>
      </c>
      <c r="D73" s="29">
        <v>1.48</v>
      </c>
      <c r="F73" s="23">
        <f>15.23+0.7+H73</f>
        <v>16.63</v>
      </c>
      <c r="H73" s="30">
        <v>0.7</v>
      </c>
      <c r="I73" s="8" t="s">
        <v>23</v>
      </c>
      <c r="J73" s="9">
        <v>0.73</v>
      </c>
      <c r="K73" s="23"/>
      <c r="L73" s="23"/>
      <c r="M73" s="24"/>
      <c r="N73" s="25"/>
      <c r="Q73" s="26"/>
    </row>
    <row r="74" spans="1:64" ht="14.25" customHeight="1" x14ac:dyDescent="0.3">
      <c r="A74" s="28" t="s">
        <v>116</v>
      </c>
      <c r="B74" s="6" t="s">
        <v>117</v>
      </c>
      <c r="C74" s="7">
        <f t="shared" si="3"/>
        <v>157.47133333333332</v>
      </c>
      <c r="D74" s="29">
        <v>3.5960000000000001</v>
      </c>
      <c r="E74">
        <v>26.891999999999999</v>
      </c>
      <c r="F74" s="23">
        <f>96.23+11.555+ 11.3+H74*2/3</f>
        <v>122.24433333333333</v>
      </c>
      <c r="H74" s="30">
        <v>4.7389999999999999</v>
      </c>
      <c r="I74" s="8" t="s">
        <v>12</v>
      </c>
      <c r="J74" s="9">
        <v>0.63</v>
      </c>
      <c r="K74" s="23"/>
      <c r="L74" s="23"/>
      <c r="M74" s="24"/>
      <c r="N74" s="25"/>
      <c r="Q74" s="26"/>
      <c r="BK74" s="4" t="s">
        <v>118</v>
      </c>
    </row>
    <row r="75" spans="1:64" ht="14.25" customHeight="1" x14ac:dyDescent="0.3">
      <c r="A75" s="28" t="s">
        <v>119</v>
      </c>
      <c r="B75" s="6" t="s">
        <v>120</v>
      </c>
      <c r="C75" s="7">
        <f t="shared" si="3"/>
        <v>54.788666666666664</v>
      </c>
      <c r="D75" s="29"/>
      <c r="F75" s="23">
        <f>42.82+5.65+H75*1/3</f>
        <v>50.049666666666667</v>
      </c>
      <c r="H75" s="30">
        <v>4.7389999999999999</v>
      </c>
      <c r="I75" s="8" t="s">
        <v>12</v>
      </c>
      <c r="J75" s="9">
        <v>0.63</v>
      </c>
      <c r="K75" s="23"/>
      <c r="L75" s="23"/>
      <c r="M75" s="24"/>
      <c r="N75" s="25"/>
      <c r="Q75" s="26"/>
    </row>
    <row r="76" spans="1:64" ht="14.25" customHeight="1" x14ac:dyDescent="0.3">
      <c r="A76" s="28" t="s">
        <v>121</v>
      </c>
      <c r="B76" s="28" t="s">
        <v>122</v>
      </c>
      <c r="C76" s="7">
        <f t="shared" si="3"/>
        <v>48.997</v>
      </c>
      <c r="D76">
        <v>2.4929999999999999</v>
      </c>
      <c r="E76">
        <v>11.971</v>
      </c>
      <c r="F76" s="31">
        <f>18.66+7.279+(9.823/2)+H76/2</f>
        <v>32.078000000000003</v>
      </c>
      <c r="H76" s="30">
        <v>2.4550000000000001</v>
      </c>
      <c r="I76" s="8" t="s">
        <v>12</v>
      </c>
      <c r="J76" s="9">
        <v>0.63</v>
      </c>
      <c r="K76" s="23"/>
      <c r="L76" s="23"/>
      <c r="M76" s="24"/>
      <c r="N76" s="25"/>
      <c r="Q76" s="26"/>
    </row>
    <row r="77" spans="1:64" ht="14.25" customHeight="1" x14ac:dyDescent="0.3">
      <c r="A77" s="28" t="s">
        <v>123</v>
      </c>
      <c r="B77" s="28" t="s">
        <v>124</v>
      </c>
      <c r="C77" s="7">
        <f t="shared" si="3"/>
        <v>32.458999999999996</v>
      </c>
      <c r="D77" s="32"/>
      <c r="F77" s="31">
        <f>23.865 + (9.823/2)+H77/2</f>
        <v>30.003999999999998</v>
      </c>
      <c r="H77" s="30">
        <v>2.4550000000000001</v>
      </c>
      <c r="I77" s="8" t="s">
        <v>12</v>
      </c>
      <c r="J77" s="9">
        <v>0.63</v>
      </c>
      <c r="K77" s="23"/>
      <c r="L77" s="23"/>
      <c r="M77" s="24"/>
      <c r="N77" s="25"/>
      <c r="Q77" s="26"/>
    </row>
    <row r="78" spans="1:64" ht="14.25" customHeight="1" x14ac:dyDescent="0.3">
      <c r="A78" s="28">
        <v>326485</v>
      </c>
      <c r="B78" s="6" t="s">
        <v>125</v>
      </c>
      <c r="C78" s="7">
        <f>SUM(D78:H78)</f>
        <v>68.450999999999993</v>
      </c>
      <c r="D78">
        <v>3.0019999999999998</v>
      </c>
      <c r="E78">
        <v>4.2949999999999999</v>
      </c>
      <c r="F78" s="23">
        <f>26.379+12.047+6.236+H78</f>
        <v>52.908000000000001</v>
      </c>
      <c r="H78" s="30">
        <v>8.2460000000000004</v>
      </c>
      <c r="I78" s="8" t="s">
        <v>12</v>
      </c>
      <c r="J78" s="9">
        <v>0.63</v>
      </c>
      <c r="K78" s="23"/>
      <c r="L78" s="23"/>
      <c r="M78" s="24"/>
      <c r="N78" s="25"/>
      <c r="Q78" s="26"/>
    </row>
    <row r="79" spans="1:64" ht="14.25" customHeight="1" x14ac:dyDescent="0.3">
      <c r="A79" s="28">
        <v>342415</v>
      </c>
      <c r="B79" s="4" t="s">
        <v>126</v>
      </c>
      <c r="C79" s="7">
        <f>SUM(D79:H79)</f>
        <v>35.808</v>
      </c>
      <c r="D79" s="29">
        <v>1.0660000000000001</v>
      </c>
      <c r="E79">
        <v>2.9809999999999999</v>
      </c>
      <c r="F79" s="23">
        <f>19.43+3.653+4.52+H79</f>
        <v>29.681999999999999</v>
      </c>
      <c r="H79" s="30">
        <v>2.0790000000000002</v>
      </c>
      <c r="I79" s="8" t="s">
        <v>12</v>
      </c>
      <c r="J79" s="9">
        <v>0.63</v>
      </c>
      <c r="K79" s="23"/>
      <c r="L79" s="23"/>
      <c r="M79" s="24"/>
      <c r="N79" s="25"/>
      <c r="Q79" s="26"/>
    </row>
    <row r="80" spans="1:64" ht="14.25" customHeight="1" x14ac:dyDescent="0.3">
      <c r="A80" s="16">
        <v>334729</v>
      </c>
      <c r="B80" t="s">
        <v>127</v>
      </c>
      <c r="C80" s="7">
        <f>SUM(D80:H80)</f>
        <v>11.1</v>
      </c>
      <c r="D80" s="27"/>
      <c r="E80" s="27"/>
      <c r="F80" s="27">
        <f>10.6+H80</f>
        <v>11.1</v>
      </c>
      <c r="G80" s="27"/>
      <c r="H80" s="27" t="s">
        <v>128</v>
      </c>
      <c r="I80" s="8" t="s">
        <v>23</v>
      </c>
      <c r="J80" s="9">
        <f t="shared" ref="J80" si="4">IF(I80="BAGS",73%,63%)</f>
        <v>0.73</v>
      </c>
      <c r="K80" s="23"/>
      <c r="L80" s="23"/>
      <c r="M80" s="24"/>
      <c r="N80" s="25"/>
      <c r="Q80" s="26"/>
    </row>
    <row r="81" spans="1:17" ht="14.25" customHeight="1" x14ac:dyDescent="0.3">
      <c r="A81" s="33">
        <v>334761</v>
      </c>
      <c r="B81" t="s">
        <v>129</v>
      </c>
      <c r="C81" s="7">
        <f>SUM(D81:H81)</f>
        <v>12.154</v>
      </c>
      <c r="D81" s="34">
        <v>0.96899999999999997</v>
      </c>
      <c r="F81">
        <f>9.685+0.5+H81</f>
        <v>10.685</v>
      </c>
      <c r="H81">
        <v>0.5</v>
      </c>
      <c r="I81" s="8" t="s">
        <v>23</v>
      </c>
    </row>
    <row r="82" spans="1:17" ht="14.25" customHeight="1" x14ac:dyDescent="0.3">
      <c r="A82" s="28">
        <v>301675</v>
      </c>
      <c r="B82" t="s">
        <v>130</v>
      </c>
      <c r="C82" s="7">
        <f t="shared" ref="C82" si="5">SUM(D82:H82)</f>
        <v>30.451000000000001</v>
      </c>
      <c r="D82" s="34">
        <v>2.69</v>
      </c>
      <c r="F82" s="23">
        <f>25.761+1</f>
        <v>26.760999999999999</v>
      </c>
      <c r="H82" s="30">
        <v>1</v>
      </c>
      <c r="I82" s="8" t="s">
        <v>23</v>
      </c>
      <c r="J82" s="9">
        <f t="shared" ref="J82:J83" si="6">IF(I82="BAGS",73%,63%)</f>
        <v>0.73</v>
      </c>
      <c r="K82" s="23"/>
      <c r="L82" s="23"/>
      <c r="M82" s="24"/>
      <c r="N82" s="25"/>
      <c r="Q82" s="26"/>
    </row>
    <row r="83" spans="1:17" ht="14.25" customHeight="1" x14ac:dyDescent="0.3">
      <c r="A83" s="33">
        <v>304978</v>
      </c>
      <c r="B83" t="s">
        <v>131</v>
      </c>
      <c r="C83" s="7">
        <f>SUM(D83:H83)</f>
        <v>16.68</v>
      </c>
      <c r="D83" s="34">
        <v>0.9</v>
      </c>
      <c r="F83">
        <v>15.78</v>
      </c>
      <c r="I83" s="8" t="s">
        <v>23</v>
      </c>
      <c r="J83" s="9">
        <f t="shared" si="6"/>
        <v>0.73</v>
      </c>
      <c r="K83" s="23"/>
      <c r="L83" s="23"/>
      <c r="M83" s="24"/>
      <c r="N83" s="25"/>
      <c r="Q83" s="26"/>
    </row>
    <row r="84" spans="1:17" ht="14.25" customHeight="1" x14ac:dyDescent="0.3">
      <c r="A84" s="15" t="s">
        <v>132</v>
      </c>
      <c r="B84" s="6" t="s">
        <v>133</v>
      </c>
      <c r="C84" s="7">
        <f>SUM(D84:H84)</f>
        <v>76.695000000000007</v>
      </c>
      <c r="D84" s="4">
        <v>6.6449999999999996</v>
      </c>
      <c r="E84" s="4"/>
      <c r="F84">
        <f>68.15+1</f>
        <v>69.150000000000006</v>
      </c>
      <c r="G84" s="18"/>
      <c r="H84" s="18">
        <v>0.9</v>
      </c>
      <c r="I84" s="8" t="s">
        <v>23</v>
      </c>
      <c r="J84" s="23"/>
      <c r="K84" s="23"/>
      <c r="L84" s="23"/>
      <c r="M84" s="24"/>
      <c r="N84" s="25"/>
      <c r="Q84" s="26"/>
    </row>
    <row r="85" spans="1:17" ht="14.25" customHeight="1" x14ac:dyDescent="0.3">
      <c r="A85" s="12" t="s">
        <v>134</v>
      </c>
      <c r="B85" s="6" t="s">
        <v>135</v>
      </c>
      <c r="C85" s="7">
        <f t="shared" ref="C85:C86" si="7">SUM(D85:H85)</f>
        <v>70.067000000000007</v>
      </c>
      <c r="D85" s="6">
        <v>5.8639999999999999</v>
      </c>
      <c r="E85" s="6"/>
      <c r="F85">
        <v>63.302999999999997</v>
      </c>
      <c r="G85" s="7"/>
      <c r="H85" s="7">
        <v>0.9</v>
      </c>
      <c r="I85" s="8" t="s">
        <v>23</v>
      </c>
      <c r="J85" s="9">
        <v>0.73</v>
      </c>
      <c r="K85" s="23"/>
      <c r="L85" s="23"/>
      <c r="M85" s="24"/>
      <c r="N85" s="25"/>
      <c r="Q85" s="26"/>
    </row>
    <row r="86" spans="1:17" ht="14.25" customHeight="1" x14ac:dyDescent="0.3">
      <c r="A86" s="16">
        <v>336287</v>
      </c>
      <c r="B86" s="6" t="s">
        <v>74</v>
      </c>
      <c r="C86" s="7">
        <f t="shared" si="7"/>
        <v>40.57</v>
      </c>
      <c r="D86" s="6">
        <v>2.4900000000000002</v>
      </c>
      <c r="E86" s="6">
        <v>2.8</v>
      </c>
      <c r="F86" s="7">
        <f>24.82+2.5+H86</f>
        <v>31.3</v>
      </c>
      <c r="G86" s="7"/>
      <c r="H86" s="7">
        <v>3.98</v>
      </c>
      <c r="I86" s="8" t="s">
        <v>12</v>
      </c>
      <c r="J86" s="9">
        <v>0.63</v>
      </c>
    </row>
    <row r="87" spans="1:17" ht="14.25" customHeight="1" x14ac:dyDescent="0.3">
      <c r="A87" s="33">
        <v>309158</v>
      </c>
      <c r="B87" s="13" t="s">
        <v>136</v>
      </c>
      <c r="C87" s="35">
        <f>SUM(D87:F87)</f>
        <v>76.695000000000007</v>
      </c>
      <c r="D87" s="29">
        <v>6.6449999999999996</v>
      </c>
      <c r="E87" s="36"/>
      <c r="F87" s="36">
        <f>68.15+1+H87</f>
        <v>70.050000000000011</v>
      </c>
      <c r="G87" s="36"/>
      <c r="H87" s="36">
        <v>0.9</v>
      </c>
      <c r="I87" s="37" t="s">
        <v>23</v>
      </c>
      <c r="J87" s="38">
        <f t="shared" ref="J87:J97" si="8">IF(I87="BAGS",73%,63%)</f>
        <v>0.73</v>
      </c>
    </row>
    <row r="88" spans="1:17" ht="14.25" customHeight="1" x14ac:dyDescent="0.3">
      <c r="A88" s="33">
        <v>331022</v>
      </c>
      <c r="B88" s="6" t="s">
        <v>137</v>
      </c>
      <c r="C88" s="7">
        <f>SUM(D88:F88)</f>
        <v>58.361000000000004</v>
      </c>
      <c r="D88" s="34">
        <v>5.133</v>
      </c>
      <c r="F88">
        <f>51.328+1+H88</f>
        <v>53.228000000000002</v>
      </c>
      <c r="H88">
        <v>0.9</v>
      </c>
      <c r="I88" s="8" t="s">
        <v>23</v>
      </c>
      <c r="J88" s="9">
        <f t="shared" si="8"/>
        <v>0.73</v>
      </c>
    </row>
    <row r="89" spans="1:17" ht="14.25" customHeight="1" x14ac:dyDescent="0.3">
      <c r="A89" s="33">
        <v>335090</v>
      </c>
      <c r="B89" s="6" t="s">
        <v>138</v>
      </c>
      <c r="C89" s="7">
        <f>SUM(D89:F89)</f>
        <v>20.581</v>
      </c>
      <c r="D89" s="34">
        <v>1.78</v>
      </c>
      <c r="F89">
        <f>17.801+1</f>
        <v>18.800999999999998</v>
      </c>
      <c r="H89">
        <v>1</v>
      </c>
      <c r="I89" s="8" t="s">
        <v>23</v>
      </c>
      <c r="J89" s="9">
        <f t="shared" si="8"/>
        <v>0.73</v>
      </c>
    </row>
    <row r="90" spans="1:17" ht="14.25" customHeight="1" x14ac:dyDescent="0.3">
      <c r="A90" s="33">
        <v>334520</v>
      </c>
      <c r="B90" s="6" t="s">
        <v>139</v>
      </c>
      <c r="C90" s="7">
        <f>SUM(D90:F90)</f>
        <v>71.376000000000005</v>
      </c>
      <c r="D90" s="34">
        <v>6.39</v>
      </c>
      <c r="F90">
        <f>62.954+1+H90</f>
        <v>64.986000000000004</v>
      </c>
      <c r="H90">
        <v>1.032</v>
      </c>
      <c r="I90" s="8" t="s">
        <v>23</v>
      </c>
      <c r="J90" s="9">
        <f t="shared" si="8"/>
        <v>0.73</v>
      </c>
    </row>
    <row r="91" spans="1:17" ht="14.25" customHeight="1" x14ac:dyDescent="0.3">
      <c r="A91" s="33">
        <v>347725</v>
      </c>
      <c r="B91" s="6" t="s">
        <v>140</v>
      </c>
      <c r="C91" s="7">
        <f t="shared" ref="C91:C92" si="9">SUM(D91:F91)</f>
        <v>19.291666666666668</v>
      </c>
      <c r="D91">
        <f>45.5/60</f>
        <v>0.7583333333333333</v>
      </c>
      <c r="F91" s="22">
        <f>992/60+1+H91</f>
        <v>18.533333333333335</v>
      </c>
      <c r="H91">
        <v>1</v>
      </c>
      <c r="I91" s="8" t="s">
        <v>23</v>
      </c>
      <c r="J91" s="9">
        <f t="shared" si="8"/>
        <v>0.73</v>
      </c>
    </row>
    <row r="92" spans="1:17" ht="14.25" customHeight="1" x14ac:dyDescent="0.3">
      <c r="A92" s="33">
        <v>347732</v>
      </c>
      <c r="B92" s="6" t="s">
        <v>141</v>
      </c>
      <c r="C92" s="7">
        <f t="shared" si="9"/>
        <v>23.166666666666668</v>
      </c>
      <c r="D92">
        <v>1</v>
      </c>
      <c r="F92" s="22">
        <f>1210/60+1+H92</f>
        <v>22.166666666666668</v>
      </c>
      <c r="H92">
        <v>1</v>
      </c>
      <c r="I92" s="8" t="s">
        <v>23</v>
      </c>
      <c r="J92" s="9">
        <f t="shared" si="8"/>
        <v>0.73</v>
      </c>
    </row>
    <row r="93" spans="1:17" ht="14.25" customHeight="1" x14ac:dyDescent="0.3">
      <c r="A93" s="33">
        <v>334226</v>
      </c>
      <c r="B93" s="6" t="s">
        <v>142</v>
      </c>
      <c r="C93" s="7">
        <f t="shared" ref="C93:C95" si="10">SUM(D93:F93)</f>
        <v>7.55</v>
      </c>
      <c r="D93" s="34">
        <v>0.55000000000000004</v>
      </c>
      <c r="F93">
        <f>5.5+1+H93</f>
        <v>7</v>
      </c>
      <c r="H93">
        <v>0.5</v>
      </c>
      <c r="I93" s="8" t="s">
        <v>23</v>
      </c>
      <c r="J93" s="9">
        <f t="shared" si="8"/>
        <v>0.73</v>
      </c>
    </row>
    <row r="94" spans="1:17" ht="14.25" customHeight="1" x14ac:dyDescent="0.3">
      <c r="A94" s="33">
        <v>302986</v>
      </c>
      <c r="B94" s="6" t="s">
        <v>143</v>
      </c>
      <c r="C94" s="7">
        <f t="shared" si="10"/>
        <v>15.729000000000001</v>
      </c>
      <c r="D94" s="34">
        <v>0.14599999999999999</v>
      </c>
      <c r="F94">
        <f>14.583+0.5+H94</f>
        <v>15.583</v>
      </c>
      <c r="H94">
        <v>0.5</v>
      </c>
      <c r="I94" s="8" t="s">
        <v>23</v>
      </c>
      <c r="J94" s="9">
        <f t="shared" si="8"/>
        <v>0.73</v>
      </c>
    </row>
    <row r="95" spans="1:17" ht="14.25" customHeight="1" x14ac:dyDescent="0.3">
      <c r="A95" s="33">
        <v>350509</v>
      </c>
      <c r="B95" s="6" t="s">
        <v>144</v>
      </c>
      <c r="C95" s="7">
        <f t="shared" si="10"/>
        <v>40.507999999999996</v>
      </c>
      <c r="D95" s="34">
        <v>4.3</v>
      </c>
      <c r="F95">
        <f>32.708+1.5+H95</f>
        <v>36.207999999999998</v>
      </c>
      <c r="H95">
        <v>2</v>
      </c>
      <c r="I95" s="8" t="s">
        <v>23</v>
      </c>
      <c r="J95" s="9">
        <f t="shared" si="8"/>
        <v>0.73</v>
      </c>
    </row>
    <row r="96" spans="1:17" ht="14.25" customHeight="1" x14ac:dyDescent="0.3">
      <c r="A96" s="33">
        <v>341392</v>
      </c>
      <c r="B96" s="6" t="s">
        <v>145</v>
      </c>
      <c r="C96" s="7">
        <f t="shared" ref="C96:C97" si="11">SUM(D96:F96)</f>
        <v>14.677000000000001</v>
      </c>
      <c r="D96" s="34">
        <v>1.2669999999999999</v>
      </c>
      <c r="F96">
        <f>11.71+0.8+H96</f>
        <v>13.410000000000002</v>
      </c>
      <c r="H96">
        <v>0.9</v>
      </c>
      <c r="I96" s="8" t="s">
        <v>23</v>
      </c>
      <c r="J96" s="9">
        <f t="shared" si="8"/>
        <v>0.73</v>
      </c>
    </row>
    <row r="97" spans="1:10" ht="14.25" customHeight="1" x14ac:dyDescent="0.3">
      <c r="A97" s="33">
        <v>331437</v>
      </c>
      <c r="B97" s="6" t="s">
        <v>146</v>
      </c>
      <c r="C97" s="7">
        <f t="shared" si="11"/>
        <v>12.697000000000001</v>
      </c>
      <c r="D97" s="34">
        <v>1.06</v>
      </c>
      <c r="F97">
        <f>10.637+1</f>
        <v>11.637</v>
      </c>
      <c r="H97">
        <v>1</v>
      </c>
      <c r="I97" s="8" t="s">
        <v>23</v>
      </c>
      <c r="J97" s="9">
        <f t="shared" si="8"/>
        <v>0.73</v>
      </c>
    </row>
    <row r="98" spans="1:10" ht="14.25" customHeight="1" x14ac:dyDescent="0.3"/>
    <row r="99" spans="1:10" ht="14.25" customHeight="1" x14ac:dyDescent="0.3"/>
    <row r="100" spans="1:10" ht="14.25" customHeight="1" x14ac:dyDescent="0.3"/>
    <row r="101" spans="1:10" ht="14.25" customHeight="1" x14ac:dyDescent="0.3"/>
    <row r="102" spans="1:10" ht="14.25" customHeight="1" x14ac:dyDescent="0.3"/>
    <row r="103" spans="1:10" ht="14.25" customHeight="1" x14ac:dyDescent="0.3"/>
    <row r="104" spans="1:10" ht="14.25" customHeight="1" x14ac:dyDescent="0.3"/>
    <row r="105" spans="1:10" ht="14.25" customHeight="1" x14ac:dyDescent="0.3"/>
    <row r="106" spans="1:10" ht="14.25" customHeight="1" x14ac:dyDescent="0.3"/>
    <row r="107" spans="1:10" ht="14.25" customHeight="1" x14ac:dyDescent="0.3"/>
    <row r="108" spans="1:10" ht="14.25" customHeight="1" x14ac:dyDescent="0.3"/>
    <row r="109" spans="1:10" ht="14.25" customHeight="1" x14ac:dyDescent="0.3"/>
    <row r="110" spans="1:10" ht="14.25" customHeight="1" x14ac:dyDescent="0.3"/>
    <row r="111" spans="1:10" ht="14.25" customHeight="1" x14ac:dyDescent="0.3"/>
    <row r="112" spans="1:10" ht="14.25" customHeight="1" x14ac:dyDescent="0.3"/>
    <row r="113" customFormat="1" ht="14.25" customHeight="1" x14ac:dyDescent="0.3"/>
    <row r="114" customFormat="1" ht="14.25" customHeight="1" x14ac:dyDescent="0.3"/>
    <row r="115" customFormat="1" ht="14.25" customHeight="1" x14ac:dyDescent="0.3"/>
    <row r="116" customFormat="1" ht="14.25" customHeight="1" x14ac:dyDescent="0.3"/>
    <row r="117" customFormat="1" ht="14.25" customHeight="1" x14ac:dyDescent="0.3"/>
    <row r="118" customFormat="1" ht="14.25" customHeight="1" x14ac:dyDescent="0.3"/>
    <row r="119" customFormat="1" ht="14.25" customHeight="1" x14ac:dyDescent="0.3"/>
    <row r="120" customFormat="1" ht="14.25" customHeight="1" x14ac:dyDescent="0.3"/>
    <row r="121" customFormat="1" ht="14.25" customHeight="1" x14ac:dyDescent="0.3"/>
    <row r="122" customFormat="1" ht="14.25" customHeight="1" x14ac:dyDescent="0.3"/>
    <row r="123" customFormat="1" ht="14.25" customHeight="1" x14ac:dyDescent="0.3"/>
    <row r="124" customFormat="1" ht="14.25" customHeight="1" x14ac:dyDescent="0.3"/>
    <row r="125" customFormat="1" ht="14.25" customHeight="1" x14ac:dyDescent="0.3"/>
    <row r="126" customFormat="1" ht="14.25" customHeight="1" x14ac:dyDescent="0.3"/>
    <row r="127" customFormat="1" ht="14.25" customHeight="1" x14ac:dyDescent="0.3"/>
    <row r="128" customFormat="1" ht="14.25" customHeight="1" x14ac:dyDescent="0.3"/>
    <row r="129" customFormat="1" ht="14.25" customHeight="1" x14ac:dyDescent="0.3"/>
    <row r="130" customFormat="1" ht="14.25" customHeight="1" x14ac:dyDescent="0.3"/>
    <row r="131" customFormat="1" ht="14.25" customHeight="1" x14ac:dyDescent="0.3"/>
    <row r="132" customFormat="1" ht="14.25" customHeight="1" x14ac:dyDescent="0.3"/>
    <row r="133" customFormat="1" ht="14.25" customHeight="1" x14ac:dyDescent="0.3"/>
    <row r="134" customFormat="1" ht="14.25" customHeight="1" x14ac:dyDescent="0.3"/>
    <row r="135" customFormat="1" ht="14.25" customHeight="1" x14ac:dyDescent="0.3"/>
    <row r="136" customFormat="1" ht="14.25" customHeight="1" x14ac:dyDescent="0.3"/>
    <row r="137" customFormat="1" ht="14.25" customHeight="1" x14ac:dyDescent="0.3"/>
    <row r="138" customFormat="1" ht="14.25" customHeight="1" x14ac:dyDescent="0.3"/>
    <row r="139" customFormat="1" ht="14.25" customHeight="1" x14ac:dyDescent="0.3"/>
    <row r="140" customFormat="1" ht="14.25" customHeight="1" x14ac:dyDescent="0.3"/>
    <row r="141" customFormat="1" ht="14.25" customHeight="1" x14ac:dyDescent="0.3"/>
    <row r="142" customFormat="1" ht="14.25" customHeight="1" x14ac:dyDescent="0.3"/>
    <row r="143" customFormat="1" ht="14.25" customHeight="1" x14ac:dyDescent="0.3"/>
    <row r="144" customFormat="1" ht="14.25" customHeight="1" x14ac:dyDescent="0.3"/>
    <row r="145" customFormat="1" ht="14.25" customHeight="1" x14ac:dyDescent="0.3"/>
    <row r="146" customFormat="1" ht="14.25" customHeight="1" x14ac:dyDescent="0.3"/>
    <row r="147" customFormat="1" ht="14.25" customHeight="1" x14ac:dyDescent="0.3"/>
    <row r="148" customFormat="1" ht="14.25" customHeight="1" x14ac:dyDescent="0.3"/>
    <row r="149" customFormat="1" ht="14.25" customHeight="1" x14ac:dyDescent="0.3"/>
    <row r="150" customFormat="1" ht="14.25" customHeight="1" x14ac:dyDescent="0.3"/>
    <row r="151" customFormat="1" ht="14.25" customHeight="1" x14ac:dyDescent="0.3"/>
    <row r="152" customFormat="1" ht="14.25" customHeight="1" x14ac:dyDescent="0.3"/>
    <row r="153" customFormat="1" ht="14.25" customHeight="1" x14ac:dyDescent="0.3"/>
    <row r="154" customFormat="1" ht="14.25" customHeight="1" x14ac:dyDescent="0.3"/>
    <row r="155" customFormat="1" ht="14.25" customHeight="1" x14ac:dyDescent="0.3"/>
    <row r="156" customFormat="1" ht="14.25" customHeight="1" x14ac:dyDescent="0.3"/>
    <row r="157" customFormat="1" ht="14.25" customHeight="1" x14ac:dyDescent="0.3"/>
    <row r="158" customFormat="1" ht="14.25" customHeight="1" x14ac:dyDescent="0.3"/>
    <row r="159" customFormat="1" ht="14.25" customHeight="1" x14ac:dyDescent="0.3"/>
    <row r="160" customFormat="1" ht="14.25" customHeight="1" x14ac:dyDescent="0.3"/>
    <row r="161" customFormat="1" ht="14.25" customHeight="1" x14ac:dyDescent="0.3"/>
    <row r="162" customFormat="1" ht="14.25" customHeight="1" x14ac:dyDescent="0.3"/>
    <row r="163" customFormat="1" ht="14.25" customHeight="1" x14ac:dyDescent="0.3"/>
    <row r="164" customFormat="1" ht="14.25" customHeight="1" x14ac:dyDescent="0.3"/>
    <row r="165" customFormat="1" ht="14.25" customHeight="1" x14ac:dyDescent="0.3"/>
    <row r="166" customFormat="1" ht="14.25" customHeight="1" x14ac:dyDescent="0.3"/>
    <row r="167" customFormat="1" ht="14.25" customHeight="1" x14ac:dyDescent="0.3"/>
    <row r="168" customFormat="1" ht="14.25" customHeight="1" x14ac:dyDescent="0.3"/>
    <row r="169" customFormat="1" ht="14.25" customHeight="1" x14ac:dyDescent="0.3"/>
    <row r="170" customFormat="1" ht="14.25" customHeight="1" x14ac:dyDescent="0.3"/>
    <row r="171" customFormat="1" ht="14.25" customHeight="1" x14ac:dyDescent="0.3"/>
    <row r="172" customFormat="1" ht="14.25" customHeight="1" x14ac:dyDescent="0.3"/>
    <row r="173" customFormat="1" ht="14.25" customHeight="1" x14ac:dyDescent="0.3"/>
    <row r="174" customFormat="1" ht="14.25" customHeight="1" x14ac:dyDescent="0.3"/>
    <row r="175" customFormat="1" ht="14.25" customHeight="1" x14ac:dyDescent="0.3"/>
    <row r="176" customFormat="1" ht="14.25" customHeight="1" x14ac:dyDescent="0.3"/>
    <row r="177" customFormat="1" ht="14.25" customHeight="1" x14ac:dyDescent="0.3"/>
    <row r="178" customFormat="1" ht="14.25" customHeight="1" x14ac:dyDescent="0.3"/>
    <row r="179" customFormat="1" ht="14.25" customHeight="1" x14ac:dyDescent="0.3"/>
    <row r="180" customFormat="1" ht="14.25" customHeight="1" x14ac:dyDescent="0.3"/>
    <row r="181" customFormat="1" ht="14.25" customHeight="1" x14ac:dyDescent="0.3"/>
    <row r="182" customFormat="1" ht="14.25" customHeight="1" x14ac:dyDescent="0.3"/>
    <row r="183" customFormat="1" ht="14.25" customHeight="1" x14ac:dyDescent="0.3"/>
    <row r="184" customFormat="1" ht="14.25" customHeight="1" x14ac:dyDescent="0.3"/>
    <row r="185" customFormat="1" ht="14.25" customHeight="1" x14ac:dyDescent="0.3"/>
    <row r="186" customFormat="1" ht="14.25" customHeight="1" x14ac:dyDescent="0.3"/>
    <row r="187" customFormat="1" ht="14.25" customHeight="1" x14ac:dyDescent="0.3"/>
    <row r="188" customFormat="1" ht="14.25" customHeight="1" x14ac:dyDescent="0.3"/>
    <row r="189" customFormat="1" ht="14.25" customHeight="1" x14ac:dyDescent="0.3"/>
    <row r="190" customFormat="1" ht="14.25" customHeight="1" x14ac:dyDescent="0.3"/>
    <row r="191" customFormat="1" ht="14.25" customHeight="1" x14ac:dyDescent="0.3"/>
    <row r="192" customFormat="1" ht="14.25" customHeight="1" x14ac:dyDescent="0.3"/>
    <row r="193" customFormat="1" ht="14.25" customHeight="1" x14ac:dyDescent="0.3"/>
    <row r="194" customFormat="1" ht="14.25" customHeight="1" x14ac:dyDescent="0.3"/>
    <row r="195" customFormat="1" ht="14.25" customHeight="1" x14ac:dyDescent="0.3"/>
    <row r="196" customFormat="1" ht="14.25" customHeight="1" x14ac:dyDescent="0.3"/>
    <row r="197" customFormat="1" ht="14.25" customHeight="1" x14ac:dyDescent="0.3"/>
    <row r="198" customFormat="1" ht="14.25" customHeight="1" x14ac:dyDescent="0.3"/>
    <row r="199" customFormat="1" ht="14.25" customHeight="1" x14ac:dyDescent="0.3"/>
    <row r="200" customFormat="1" ht="14.25" customHeight="1" x14ac:dyDescent="0.3"/>
    <row r="201" customFormat="1" ht="14.25" customHeight="1" x14ac:dyDescent="0.3"/>
    <row r="202" customFormat="1" ht="14.25" customHeight="1" x14ac:dyDescent="0.3"/>
    <row r="203" customFormat="1" ht="14.25" customHeight="1" x14ac:dyDescent="0.3"/>
    <row r="204" customFormat="1" ht="14.25" customHeight="1" x14ac:dyDescent="0.3"/>
    <row r="205" customFormat="1" ht="14.25" customHeight="1" x14ac:dyDescent="0.3"/>
    <row r="206" customFormat="1" ht="14.25" customHeight="1" x14ac:dyDescent="0.3"/>
    <row r="207" customFormat="1" ht="14.25" customHeight="1" x14ac:dyDescent="0.3"/>
    <row r="208" customFormat="1" ht="14.25" customHeight="1" x14ac:dyDescent="0.3"/>
    <row r="209" customFormat="1" ht="14.25" customHeight="1" x14ac:dyDescent="0.3"/>
    <row r="210" customFormat="1" ht="14.25" customHeight="1" x14ac:dyDescent="0.3"/>
    <row r="211" customFormat="1" ht="14.25" customHeight="1" x14ac:dyDescent="0.3"/>
    <row r="212" customFormat="1" ht="14.25" customHeight="1" x14ac:dyDescent="0.3"/>
    <row r="213" customFormat="1" ht="14.25" customHeight="1" x14ac:dyDescent="0.3"/>
    <row r="214" customFormat="1" ht="14.25" customHeight="1" x14ac:dyDescent="0.3"/>
    <row r="215" customFormat="1" ht="14.25" customHeight="1" x14ac:dyDescent="0.3"/>
    <row r="216" customFormat="1" ht="14.25" customHeight="1" x14ac:dyDescent="0.3"/>
    <row r="217" customFormat="1" ht="14.25" customHeight="1" x14ac:dyDescent="0.3"/>
    <row r="218" customFormat="1" ht="14.25" customHeight="1" x14ac:dyDescent="0.3"/>
    <row r="219" customFormat="1" ht="14.25" customHeight="1" x14ac:dyDescent="0.3"/>
    <row r="220" customFormat="1" ht="14.25" customHeight="1" x14ac:dyDescent="0.3"/>
    <row r="221" customFormat="1" ht="14.25" customHeight="1" x14ac:dyDescent="0.3"/>
    <row r="222" customFormat="1" ht="14.25" customHeight="1" x14ac:dyDescent="0.3"/>
    <row r="223" customFormat="1" ht="14.25" customHeight="1" x14ac:dyDescent="0.3"/>
    <row r="224" customFormat="1" ht="14.25" customHeight="1" x14ac:dyDescent="0.3"/>
    <row r="225" customFormat="1" ht="14.25" customHeight="1" x14ac:dyDescent="0.3"/>
    <row r="226" customFormat="1" ht="14.25" customHeight="1" x14ac:dyDescent="0.3"/>
    <row r="227" customFormat="1" ht="14.25" customHeight="1" x14ac:dyDescent="0.3"/>
    <row r="228" customFormat="1" ht="14.25" customHeight="1" x14ac:dyDescent="0.3"/>
    <row r="229" customFormat="1" ht="14.25" customHeight="1" x14ac:dyDescent="0.3"/>
    <row r="230" customFormat="1" ht="14.25" customHeight="1" x14ac:dyDescent="0.3"/>
    <row r="231" customFormat="1" ht="14.25" customHeight="1" x14ac:dyDescent="0.3"/>
    <row r="232" customFormat="1" ht="14.25" customHeight="1" x14ac:dyDescent="0.3"/>
    <row r="233" customFormat="1" ht="14.25" customHeight="1" x14ac:dyDescent="0.3"/>
    <row r="234" customFormat="1" ht="14.25" customHeight="1" x14ac:dyDescent="0.3"/>
    <row r="235" customFormat="1" ht="14.25" customHeight="1" x14ac:dyDescent="0.3"/>
    <row r="236" customFormat="1" ht="14.25" customHeight="1" x14ac:dyDescent="0.3"/>
    <row r="237" customFormat="1" ht="14.25" customHeight="1" x14ac:dyDescent="0.3"/>
    <row r="238" customFormat="1" ht="14.25" customHeight="1" x14ac:dyDescent="0.3"/>
    <row r="239" customFormat="1" ht="14.25" customHeight="1" x14ac:dyDescent="0.3"/>
    <row r="240" customFormat="1" ht="14.25" customHeight="1" x14ac:dyDescent="0.3"/>
    <row r="241" customFormat="1" ht="14.25" customHeight="1" x14ac:dyDescent="0.3"/>
    <row r="242" customFormat="1" ht="14.25" customHeight="1" x14ac:dyDescent="0.3"/>
    <row r="243" customFormat="1" ht="14.25" customHeight="1" x14ac:dyDescent="0.3"/>
    <row r="244" customFormat="1" ht="14.25" customHeight="1" x14ac:dyDescent="0.3"/>
    <row r="245" customFormat="1" ht="14.25" customHeight="1" x14ac:dyDescent="0.3"/>
    <row r="246" customFormat="1" ht="14.25" customHeight="1" x14ac:dyDescent="0.3"/>
    <row r="247" customFormat="1" ht="14.25" customHeight="1" x14ac:dyDescent="0.3"/>
    <row r="248" customFormat="1" ht="14.25" customHeight="1" x14ac:dyDescent="0.3"/>
    <row r="249" customFormat="1" ht="14.25" customHeight="1" x14ac:dyDescent="0.3"/>
    <row r="250" customFormat="1" ht="14.25" customHeight="1" x14ac:dyDescent="0.3"/>
    <row r="251" customFormat="1" ht="14.25" customHeight="1" x14ac:dyDescent="0.3"/>
    <row r="252" customFormat="1" ht="14.25" customHeight="1" x14ac:dyDescent="0.3"/>
    <row r="253" customFormat="1" ht="14.25" customHeight="1" x14ac:dyDescent="0.3"/>
    <row r="254" customFormat="1" ht="14.25" customHeight="1" x14ac:dyDescent="0.3"/>
    <row r="255" customFormat="1" ht="14.25" customHeight="1" x14ac:dyDescent="0.3"/>
    <row r="256" customFormat="1" ht="14.25" customHeight="1" x14ac:dyDescent="0.3"/>
    <row r="257" customFormat="1" ht="14.25" customHeight="1" x14ac:dyDescent="0.3"/>
    <row r="258" customFormat="1" ht="14.25" customHeight="1" x14ac:dyDescent="0.3"/>
    <row r="259" customFormat="1" ht="14.25" customHeight="1" x14ac:dyDescent="0.3"/>
    <row r="260" customFormat="1" ht="14.25" customHeight="1" x14ac:dyDescent="0.3"/>
    <row r="261" customFormat="1" ht="14.25" customHeight="1" x14ac:dyDescent="0.3"/>
    <row r="262" customFormat="1" ht="14.25" customHeight="1" x14ac:dyDescent="0.3"/>
    <row r="263" customFormat="1" ht="14.25" customHeight="1" x14ac:dyDescent="0.3"/>
    <row r="264" customFormat="1" ht="14.25" customHeight="1" x14ac:dyDescent="0.3"/>
    <row r="265" customFormat="1" ht="14.25" customHeight="1" x14ac:dyDescent="0.3"/>
    <row r="266" customFormat="1" ht="14.25" customHeight="1" x14ac:dyDescent="0.3"/>
    <row r="267" customFormat="1" ht="14.25" customHeight="1" x14ac:dyDescent="0.3"/>
    <row r="268" customFormat="1" ht="14.25" customHeight="1" x14ac:dyDescent="0.3"/>
    <row r="269" customFormat="1" ht="14.25" customHeight="1" x14ac:dyDescent="0.3"/>
    <row r="270" customFormat="1" ht="14.25" customHeight="1" x14ac:dyDescent="0.3"/>
    <row r="271" customFormat="1" ht="14.25" customHeight="1" x14ac:dyDescent="0.3"/>
    <row r="272" customFormat="1" ht="14.25" customHeight="1" x14ac:dyDescent="0.3"/>
    <row r="273" customFormat="1" ht="14.25" customHeight="1" x14ac:dyDescent="0.3"/>
    <row r="274" customFormat="1" ht="14.25" customHeight="1" x14ac:dyDescent="0.3"/>
    <row r="275" customFormat="1" ht="14.25" customHeight="1" x14ac:dyDescent="0.3"/>
    <row r="276" customFormat="1" ht="14.25" customHeight="1" x14ac:dyDescent="0.3"/>
    <row r="277" customFormat="1" ht="14.25" customHeight="1" x14ac:dyDescent="0.3"/>
    <row r="278" customFormat="1" ht="14.25" customHeight="1" x14ac:dyDescent="0.3"/>
    <row r="279" customFormat="1" ht="14.25" customHeight="1" x14ac:dyDescent="0.3"/>
    <row r="280" customFormat="1" ht="14.25" customHeight="1" x14ac:dyDescent="0.3"/>
    <row r="281" customFormat="1" ht="14.25" customHeight="1" x14ac:dyDescent="0.3"/>
    <row r="282" customFormat="1" ht="14.25" customHeight="1" x14ac:dyDescent="0.3"/>
    <row r="283" customFormat="1" ht="14.25" customHeight="1" x14ac:dyDescent="0.3"/>
    <row r="284" customFormat="1" ht="14.25" customHeight="1" x14ac:dyDescent="0.3"/>
    <row r="285" customFormat="1" ht="14.25" customHeight="1" x14ac:dyDescent="0.3"/>
    <row r="286" customFormat="1" ht="14.25" customHeight="1" x14ac:dyDescent="0.3"/>
    <row r="287" customFormat="1" ht="14.25" customHeight="1" x14ac:dyDescent="0.3"/>
    <row r="288" customFormat="1" ht="14.25" customHeight="1" x14ac:dyDescent="0.3"/>
    <row r="289" customFormat="1" ht="14.25" customHeight="1" x14ac:dyDescent="0.3"/>
    <row r="290" customFormat="1" ht="14.25" customHeight="1" x14ac:dyDescent="0.3"/>
    <row r="291" customFormat="1" ht="14.25" customHeight="1" x14ac:dyDescent="0.3"/>
    <row r="292" customFormat="1" ht="14.25" customHeight="1" x14ac:dyDescent="0.3"/>
    <row r="293" customFormat="1" ht="14.25" customHeight="1" x14ac:dyDescent="0.3"/>
    <row r="294" customFormat="1" ht="14.25" customHeight="1" x14ac:dyDescent="0.3"/>
    <row r="295" customFormat="1" ht="14.25" customHeight="1" x14ac:dyDescent="0.3"/>
    <row r="296" customFormat="1" ht="14.25" customHeight="1" x14ac:dyDescent="0.3"/>
    <row r="297" customFormat="1" ht="14.25" customHeight="1" x14ac:dyDescent="0.3"/>
    <row r="298" customFormat="1" ht="14.25" customHeight="1" x14ac:dyDescent="0.3"/>
    <row r="299" customFormat="1" ht="14.25" customHeight="1" x14ac:dyDescent="0.3"/>
    <row r="300" customFormat="1" ht="14.25" customHeight="1" x14ac:dyDescent="0.3"/>
    <row r="301" customFormat="1" ht="14.25" customHeight="1" x14ac:dyDescent="0.3"/>
    <row r="302" customFormat="1" ht="14.25" customHeight="1" x14ac:dyDescent="0.3"/>
    <row r="303" customFormat="1" ht="14.25" customHeight="1" x14ac:dyDescent="0.3"/>
    <row r="304" customFormat="1" ht="14.25" customHeight="1" x14ac:dyDescent="0.3"/>
    <row r="305" customFormat="1" ht="14.25" customHeight="1" x14ac:dyDescent="0.3"/>
    <row r="306" customFormat="1" ht="14.25" customHeight="1" x14ac:dyDescent="0.3"/>
    <row r="307" customFormat="1" ht="14.25" customHeight="1" x14ac:dyDescent="0.3"/>
    <row r="308" customFormat="1" ht="14.25" customHeight="1" x14ac:dyDescent="0.3"/>
    <row r="309" customFormat="1" ht="14.25" customHeight="1" x14ac:dyDescent="0.3"/>
    <row r="310" customFormat="1" ht="14.25" customHeight="1" x14ac:dyDescent="0.3"/>
    <row r="311" customFormat="1" ht="14.25" customHeight="1" x14ac:dyDescent="0.3"/>
    <row r="312" customFormat="1" ht="14.25" customHeight="1" x14ac:dyDescent="0.3"/>
    <row r="313" customFormat="1" ht="14.25" customHeight="1" x14ac:dyDescent="0.3"/>
    <row r="314" customFormat="1" ht="14.25" customHeight="1" x14ac:dyDescent="0.3"/>
    <row r="315" customFormat="1" ht="14.25" customHeight="1" x14ac:dyDescent="0.3"/>
    <row r="316" customFormat="1" ht="14.25" customHeight="1" x14ac:dyDescent="0.3"/>
    <row r="317" customFormat="1" ht="14.25" customHeight="1" x14ac:dyDescent="0.3"/>
    <row r="318" customFormat="1" ht="14.25" customHeight="1" x14ac:dyDescent="0.3"/>
    <row r="319" customFormat="1" ht="14.25" customHeight="1" x14ac:dyDescent="0.3"/>
    <row r="320" customFormat="1" ht="14.25" customHeight="1" x14ac:dyDescent="0.3"/>
    <row r="321" customFormat="1" ht="14.25" customHeight="1" x14ac:dyDescent="0.3"/>
    <row r="322" customFormat="1" ht="14.25" customHeight="1" x14ac:dyDescent="0.3"/>
    <row r="323" customFormat="1" ht="14.25" customHeight="1" x14ac:dyDescent="0.3"/>
    <row r="324" customFormat="1" ht="14.25" customHeight="1" x14ac:dyDescent="0.3"/>
    <row r="325" customFormat="1" ht="14.25" customHeight="1" x14ac:dyDescent="0.3"/>
    <row r="326" customFormat="1" ht="14.25" customHeight="1" x14ac:dyDescent="0.3"/>
    <row r="327" customFormat="1" ht="14.25" customHeight="1" x14ac:dyDescent="0.3"/>
    <row r="328" customFormat="1" ht="14.25" customHeight="1" x14ac:dyDescent="0.3"/>
    <row r="329" customFormat="1" ht="14.25" customHeight="1" x14ac:dyDescent="0.3"/>
    <row r="330" customFormat="1" ht="14.25" customHeight="1" x14ac:dyDescent="0.3"/>
    <row r="331" customFormat="1" ht="14.25" customHeight="1" x14ac:dyDescent="0.3"/>
    <row r="332" customFormat="1" ht="14.25" customHeight="1" x14ac:dyDescent="0.3"/>
    <row r="333" customFormat="1" ht="14.25" customHeight="1" x14ac:dyDescent="0.3"/>
    <row r="334" customFormat="1" ht="14.25" customHeight="1" x14ac:dyDescent="0.3"/>
    <row r="335" customFormat="1" ht="14.25" customHeight="1" x14ac:dyDescent="0.3"/>
    <row r="336" customFormat="1" ht="14.25" customHeight="1" x14ac:dyDescent="0.3"/>
    <row r="337" customFormat="1" ht="14.25" customHeight="1" x14ac:dyDescent="0.3"/>
    <row r="338" customFormat="1" ht="14.25" customHeight="1" x14ac:dyDescent="0.3"/>
    <row r="339" customFormat="1" ht="14.25" customHeight="1" x14ac:dyDescent="0.3"/>
    <row r="340" customFormat="1" ht="14.25" customHeight="1" x14ac:dyDescent="0.3"/>
    <row r="341" customFormat="1" ht="14.25" customHeight="1" x14ac:dyDescent="0.3"/>
    <row r="342" customFormat="1" ht="14.25" customHeight="1" x14ac:dyDescent="0.3"/>
    <row r="343" customFormat="1" ht="14.25" customHeight="1" x14ac:dyDescent="0.3"/>
    <row r="344" customFormat="1" ht="14.25" customHeight="1" x14ac:dyDescent="0.3"/>
    <row r="345" customFormat="1" ht="14.25" customHeight="1" x14ac:dyDescent="0.3"/>
    <row r="346" customFormat="1" ht="14.25" customHeight="1" x14ac:dyDescent="0.3"/>
    <row r="347" customFormat="1" ht="14.25" customHeight="1" x14ac:dyDescent="0.3"/>
    <row r="348" customFormat="1" ht="14.25" customHeight="1" x14ac:dyDescent="0.3"/>
    <row r="349" customFormat="1" ht="14.25" customHeight="1" x14ac:dyDescent="0.3"/>
    <row r="350" customFormat="1" ht="14.25" customHeight="1" x14ac:dyDescent="0.3"/>
    <row r="351" customFormat="1" ht="14.25" customHeight="1" x14ac:dyDescent="0.3"/>
    <row r="352" customFormat="1" ht="14.25" customHeight="1" x14ac:dyDescent="0.3"/>
    <row r="353" customFormat="1" ht="14.25" customHeight="1" x14ac:dyDescent="0.3"/>
    <row r="354" customFormat="1" ht="14.25" customHeight="1" x14ac:dyDescent="0.3"/>
    <row r="355" customFormat="1" ht="14.25" customHeight="1" x14ac:dyDescent="0.3"/>
    <row r="356" customFormat="1" ht="14.25" customHeight="1" x14ac:dyDescent="0.3"/>
    <row r="357" customFormat="1" ht="14.25" customHeight="1" x14ac:dyDescent="0.3"/>
    <row r="358" customFormat="1" ht="14.25" customHeight="1" x14ac:dyDescent="0.3"/>
    <row r="359" customFormat="1" ht="14.25" customHeight="1" x14ac:dyDescent="0.3"/>
    <row r="360" customFormat="1" ht="14.25" customHeight="1" x14ac:dyDescent="0.3"/>
    <row r="361" customFormat="1" ht="14.25" customHeight="1" x14ac:dyDescent="0.3"/>
    <row r="362" customFormat="1" ht="14.25" customHeight="1" x14ac:dyDescent="0.3"/>
    <row r="363" customFormat="1" ht="14.25" customHeight="1" x14ac:dyDescent="0.3"/>
    <row r="364" customFormat="1" ht="14.25" customHeight="1" x14ac:dyDescent="0.3"/>
    <row r="365" customFormat="1" ht="14.25" customHeight="1" x14ac:dyDescent="0.3"/>
    <row r="366" customFormat="1" ht="14.25" customHeight="1" x14ac:dyDescent="0.3"/>
    <row r="367" customFormat="1" ht="14.25" customHeight="1" x14ac:dyDescent="0.3"/>
    <row r="368" customFormat="1" ht="14.25" customHeight="1" x14ac:dyDescent="0.3"/>
    <row r="369" customFormat="1" ht="14.25" customHeight="1" x14ac:dyDescent="0.3"/>
    <row r="370" customFormat="1" ht="14.25" customHeight="1" x14ac:dyDescent="0.3"/>
    <row r="371" customFormat="1" ht="14.25" customHeight="1" x14ac:dyDescent="0.3"/>
    <row r="372" customFormat="1" ht="14.25" customHeight="1" x14ac:dyDescent="0.3"/>
    <row r="373" customFormat="1" ht="14.25" customHeight="1" x14ac:dyDescent="0.3"/>
    <row r="374" customFormat="1" ht="14.25" customHeight="1" x14ac:dyDescent="0.3"/>
    <row r="375" customFormat="1" ht="14.25" customHeight="1" x14ac:dyDescent="0.3"/>
    <row r="376" customFormat="1" ht="14.25" customHeight="1" x14ac:dyDescent="0.3"/>
    <row r="377" customFormat="1" ht="14.25" customHeight="1" x14ac:dyDescent="0.3"/>
    <row r="378" customFormat="1" ht="14.25" customHeight="1" x14ac:dyDescent="0.3"/>
    <row r="379" customFormat="1" ht="14.25" customHeight="1" x14ac:dyDescent="0.3"/>
    <row r="380" customFormat="1" ht="14.25" customHeight="1" x14ac:dyDescent="0.3"/>
    <row r="381" customFormat="1" ht="14.25" customHeight="1" x14ac:dyDescent="0.3"/>
    <row r="382" customFormat="1" ht="14.25" customHeight="1" x14ac:dyDescent="0.3"/>
    <row r="383" customFormat="1" ht="14.25" customHeight="1" x14ac:dyDescent="0.3"/>
    <row r="384" customFormat="1" ht="14.25" customHeight="1" x14ac:dyDescent="0.3"/>
    <row r="385" customFormat="1" ht="14.25" customHeight="1" x14ac:dyDescent="0.3"/>
    <row r="386" customFormat="1" ht="14.25" customHeight="1" x14ac:dyDescent="0.3"/>
    <row r="387" customFormat="1" ht="14.25" customHeight="1" x14ac:dyDescent="0.3"/>
    <row r="388" customFormat="1" ht="14.25" customHeight="1" x14ac:dyDescent="0.3"/>
    <row r="389" customFormat="1" ht="14.25" customHeight="1" x14ac:dyDescent="0.3"/>
    <row r="390" customFormat="1" ht="14.25" customHeight="1" x14ac:dyDescent="0.3"/>
    <row r="391" customFormat="1" ht="14.25" customHeight="1" x14ac:dyDescent="0.3"/>
    <row r="392" customFormat="1" ht="14.25" customHeight="1" x14ac:dyDescent="0.3"/>
    <row r="393" customFormat="1" ht="14.25" customHeight="1" x14ac:dyDescent="0.3"/>
    <row r="394" customFormat="1" ht="14.25" customHeight="1" x14ac:dyDescent="0.3"/>
    <row r="395" customFormat="1" ht="14.25" customHeight="1" x14ac:dyDescent="0.3"/>
    <row r="396" customFormat="1" ht="14.25" customHeight="1" x14ac:dyDescent="0.3"/>
    <row r="397" customFormat="1" ht="14.25" customHeight="1" x14ac:dyDescent="0.3"/>
    <row r="398" customFormat="1" ht="14.25" customHeight="1" x14ac:dyDescent="0.3"/>
    <row r="399" customFormat="1" ht="14.25" customHeight="1" x14ac:dyDescent="0.3"/>
    <row r="400" customFormat="1" ht="14.25" customHeight="1" x14ac:dyDescent="0.3"/>
    <row r="401" customFormat="1" ht="14.25" customHeight="1" x14ac:dyDescent="0.3"/>
    <row r="402" customFormat="1" ht="14.25" customHeight="1" x14ac:dyDescent="0.3"/>
    <row r="403" customFormat="1" ht="14.25" customHeight="1" x14ac:dyDescent="0.3"/>
    <row r="404" customFormat="1" ht="14.25" customHeight="1" x14ac:dyDescent="0.3"/>
    <row r="405" customFormat="1" ht="14.25" customHeight="1" x14ac:dyDescent="0.3"/>
    <row r="406" customFormat="1" ht="14.25" customHeight="1" x14ac:dyDescent="0.3"/>
    <row r="407" customFormat="1" ht="14.25" customHeight="1" x14ac:dyDescent="0.3"/>
    <row r="408" customFormat="1" ht="14.25" customHeight="1" x14ac:dyDescent="0.3"/>
    <row r="409" customFormat="1" ht="14.25" customHeight="1" x14ac:dyDescent="0.3"/>
    <row r="410" customFormat="1" ht="14.25" customHeight="1" x14ac:dyDescent="0.3"/>
    <row r="411" customFormat="1" ht="14.25" customHeight="1" x14ac:dyDescent="0.3"/>
    <row r="412" customFormat="1" ht="14.25" customHeight="1" x14ac:dyDescent="0.3"/>
    <row r="413" customFormat="1" ht="14.25" customHeight="1" x14ac:dyDescent="0.3"/>
    <row r="414" customFormat="1" ht="14.25" customHeight="1" x14ac:dyDescent="0.3"/>
    <row r="415" customFormat="1" ht="14.25" customHeight="1" x14ac:dyDescent="0.3"/>
    <row r="416" customFormat="1" ht="14.25" customHeight="1" x14ac:dyDescent="0.3"/>
    <row r="417" customFormat="1" ht="14.25" customHeight="1" x14ac:dyDescent="0.3"/>
    <row r="418" customFormat="1" ht="14.25" customHeight="1" x14ac:dyDescent="0.3"/>
    <row r="419" customFormat="1" ht="14.25" customHeight="1" x14ac:dyDescent="0.3"/>
    <row r="420" customFormat="1" ht="14.25" customHeight="1" x14ac:dyDescent="0.3"/>
    <row r="421" customFormat="1" ht="14.25" customHeight="1" x14ac:dyDescent="0.3"/>
    <row r="422" customFormat="1" ht="14.25" customHeight="1" x14ac:dyDescent="0.3"/>
    <row r="423" customFormat="1" ht="14.25" customHeight="1" x14ac:dyDescent="0.3"/>
    <row r="424" customFormat="1" ht="14.25" customHeight="1" x14ac:dyDescent="0.3"/>
    <row r="425" customFormat="1" ht="14.25" customHeight="1" x14ac:dyDescent="0.3"/>
    <row r="426" customFormat="1" ht="14.25" customHeight="1" x14ac:dyDescent="0.3"/>
    <row r="427" customFormat="1" ht="14.25" customHeight="1" x14ac:dyDescent="0.3"/>
    <row r="428" customFormat="1" ht="14.25" customHeight="1" x14ac:dyDescent="0.3"/>
    <row r="429" customFormat="1" ht="14.25" customHeight="1" x14ac:dyDescent="0.3"/>
    <row r="430" customFormat="1" ht="14.25" customHeight="1" x14ac:dyDescent="0.3"/>
    <row r="431" customFormat="1" ht="14.25" customHeight="1" x14ac:dyDescent="0.3"/>
    <row r="432" customFormat="1" ht="14.25" customHeight="1" x14ac:dyDescent="0.3"/>
    <row r="433" customFormat="1" ht="14.25" customHeight="1" x14ac:dyDescent="0.3"/>
    <row r="434" customFormat="1" ht="14.25" customHeight="1" x14ac:dyDescent="0.3"/>
    <row r="435" customFormat="1" ht="14.25" customHeight="1" x14ac:dyDescent="0.3"/>
    <row r="436" customFormat="1" ht="14.25" customHeight="1" x14ac:dyDescent="0.3"/>
    <row r="437" customFormat="1" ht="14.25" customHeight="1" x14ac:dyDescent="0.3"/>
    <row r="438" customFormat="1" ht="14.25" customHeight="1" x14ac:dyDescent="0.3"/>
    <row r="439" customFormat="1" ht="14.25" customHeight="1" x14ac:dyDescent="0.3"/>
    <row r="440" customFormat="1" ht="14.25" customHeight="1" x14ac:dyDescent="0.3"/>
    <row r="441" customFormat="1" ht="14.25" customHeight="1" x14ac:dyDescent="0.3"/>
    <row r="442" customFormat="1" ht="14.25" customHeight="1" x14ac:dyDescent="0.3"/>
    <row r="443" customFormat="1" ht="14.25" customHeight="1" x14ac:dyDescent="0.3"/>
    <row r="444" customFormat="1" ht="14.25" customHeight="1" x14ac:dyDescent="0.3"/>
    <row r="445" customFormat="1" ht="14.25" customHeight="1" x14ac:dyDescent="0.3"/>
    <row r="446" customFormat="1" ht="14.25" customHeight="1" x14ac:dyDescent="0.3"/>
    <row r="447" customFormat="1" ht="14.25" customHeight="1" x14ac:dyDescent="0.3"/>
    <row r="448" customFormat="1" ht="14.25" customHeight="1" x14ac:dyDescent="0.3"/>
    <row r="449" customFormat="1" ht="14.25" customHeight="1" x14ac:dyDescent="0.3"/>
    <row r="450" customFormat="1" ht="14.25" customHeight="1" x14ac:dyDescent="0.3"/>
    <row r="451" customFormat="1" ht="14.25" customHeight="1" x14ac:dyDescent="0.3"/>
    <row r="452" customFormat="1" ht="14.25" customHeight="1" x14ac:dyDescent="0.3"/>
    <row r="453" customFormat="1" ht="14.25" customHeight="1" x14ac:dyDescent="0.3"/>
    <row r="454" customFormat="1" ht="14.25" customHeight="1" x14ac:dyDescent="0.3"/>
    <row r="455" customFormat="1" ht="14.25" customHeight="1" x14ac:dyDescent="0.3"/>
    <row r="456" customFormat="1" ht="14.25" customHeight="1" x14ac:dyDescent="0.3"/>
    <row r="457" customFormat="1" ht="14.25" customHeight="1" x14ac:dyDescent="0.3"/>
    <row r="458" customFormat="1" ht="14.25" customHeight="1" x14ac:dyDescent="0.3"/>
    <row r="459" customFormat="1" ht="14.25" customHeight="1" x14ac:dyDescent="0.3"/>
    <row r="460" customFormat="1" ht="14.25" customHeight="1" x14ac:dyDescent="0.3"/>
    <row r="461" customFormat="1" ht="14.25" customHeight="1" x14ac:dyDescent="0.3"/>
    <row r="462" customFormat="1" ht="14.25" customHeight="1" x14ac:dyDescent="0.3"/>
    <row r="463" customFormat="1" ht="14.25" customHeight="1" x14ac:dyDescent="0.3"/>
    <row r="464" customFormat="1" ht="14.25" customHeight="1" x14ac:dyDescent="0.3"/>
    <row r="465" customFormat="1" ht="14.25" customHeight="1" x14ac:dyDescent="0.3"/>
    <row r="466" customFormat="1" ht="14.25" customHeight="1" x14ac:dyDescent="0.3"/>
    <row r="467" customFormat="1" ht="14.25" customHeight="1" x14ac:dyDescent="0.3"/>
    <row r="468" customFormat="1" ht="14.25" customHeight="1" x14ac:dyDescent="0.3"/>
    <row r="469" customFormat="1" ht="14.25" customHeight="1" x14ac:dyDescent="0.3"/>
    <row r="470" customFormat="1" ht="14.25" customHeight="1" x14ac:dyDescent="0.3"/>
    <row r="471" customFormat="1" ht="14.25" customHeight="1" x14ac:dyDescent="0.3"/>
    <row r="472" customFormat="1" ht="14.25" customHeight="1" x14ac:dyDescent="0.3"/>
    <row r="473" customFormat="1" ht="14.25" customHeight="1" x14ac:dyDescent="0.3"/>
    <row r="474" customFormat="1" ht="14.25" customHeight="1" x14ac:dyDescent="0.3"/>
    <row r="475" customFormat="1" ht="14.25" customHeight="1" x14ac:dyDescent="0.3"/>
    <row r="476" customFormat="1" ht="14.25" customHeight="1" x14ac:dyDescent="0.3"/>
    <row r="477" customFormat="1" ht="14.25" customHeight="1" x14ac:dyDescent="0.3"/>
    <row r="478" customFormat="1" ht="14.25" customHeight="1" x14ac:dyDescent="0.3"/>
    <row r="479" customFormat="1" ht="14.25" customHeight="1" x14ac:dyDescent="0.3"/>
    <row r="480" customFormat="1" ht="14.25" customHeight="1" x14ac:dyDescent="0.3"/>
    <row r="481" customFormat="1" ht="14.25" customHeight="1" x14ac:dyDescent="0.3"/>
    <row r="482" customFormat="1" ht="14.25" customHeight="1" x14ac:dyDescent="0.3"/>
    <row r="483" customFormat="1" ht="14.25" customHeight="1" x14ac:dyDescent="0.3"/>
    <row r="484" customFormat="1" ht="14.25" customHeight="1" x14ac:dyDescent="0.3"/>
    <row r="485" customFormat="1" ht="14.25" customHeight="1" x14ac:dyDescent="0.3"/>
    <row r="486" customFormat="1" ht="14.25" customHeight="1" x14ac:dyDescent="0.3"/>
    <row r="487" customFormat="1" ht="14.25" customHeight="1" x14ac:dyDescent="0.3"/>
    <row r="488" customFormat="1" ht="14.25" customHeight="1" x14ac:dyDescent="0.3"/>
    <row r="489" customFormat="1" ht="14.25" customHeight="1" x14ac:dyDescent="0.3"/>
    <row r="490" customFormat="1" ht="14.25" customHeight="1" x14ac:dyDescent="0.3"/>
    <row r="491" customFormat="1" ht="14.25" customHeight="1" x14ac:dyDescent="0.3"/>
    <row r="492" customFormat="1" ht="14.25" customHeight="1" x14ac:dyDescent="0.3"/>
    <row r="493" customFormat="1" ht="14.25" customHeight="1" x14ac:dyDescent="0.3"/>
    <row r="494" customFormat="1" ht="14.25" customHeight="1" x14ac:dyDescent="0.3"/>
    <row r="495" customFormat="1" ht="14.25" customHeight="1" x14ac:dyDescent="0.3"/>
    <row r="496" customFormat="1" ht="14.25" customHeight="1" x14ac:dyDescent="0.3"/>
    <row r="497" customFormat="1" ht="14.25" customHeight="1" x14ac:dyDescent="0.3"/>
    <row r="498" customFormat="1" ht="14.25" customHeight="1" x14ac:dyDescent="0.3"/>
    <row r="499" customFormat="1" ht="14.25" customHeight="1" x14ac:dyDescent="0.3"/>
    <row r="500" customFormat="1" ht="14.25" customHeight="1" x14ac:dyDescent="0.3"/>
    <row r="501" customFormat="1" ht="14.25" customHeight="1" x14ac:dyDescent="0.3"/>
    <row r="502" customFormat="1" ht="14.25" customHeight="1" x14ac:dyDescent="0.3"/>
    <row r="503" customFormat="1" ht="14.25" customHeight="1" x14ac:dyDescent="0.3"/>
    <row r="504" customFormat="1" ht="14.25" customHeight="1" x14ac:dyDescent="0.3"/>
    <row r="505" customFormat="1" ht="14.25" customHeight="1" x14ac:dyDescent="0.3"/>
    <row r="506" customFormat="1" ht="14.25" customHeight="1" x14ac:dyDescent="0.3"/>
    <row r="507" customFormat="1" ht="14.25" customHeight="1" x14ac:dyDescent="0.3"/>
    <row r="508" customFormat="1" ht="14.25" customHeight="1" x14ac:dyDescent="0.3"/>
    <row r="509" customFormat="1" ht="14.25" customHeight="1" x14ac:dyDescent="0.3"/>
    <row r="510" customFormat="1" ht="14.25" customHeight="1" x14ac:dyDescent="0.3"/>
    <row r="511" customFormat="1" ht="14.25" customHeight="1" x14ac:dyDescent="0.3"/>
    <row r="512" customFormat="1" ht="14.25" customHeight="1" x14ac:dyDescent="0.3"/>
    <row r="513" customFormat="1" ht="14.25" customHeight="1" x14ac:dyDescent="0.3"/>
    <row r="514" customFormat="1" ht="14.25" customHeight="1" x14ac:dyDescent="0.3"/>
    <row r="515" customFormat="1" ht="14.25" customHeight="1" x14ac:dyDescent="0.3"/>
    <row r="516" customFormat="1" ht="14.25" customHeight="1" x14ac:dyDescent="0.3"/>
    <row r="517" customFormat="1" ht="14.25" customHeight="1" x14ac:dyDescent="0.3"/>
    <row r="518" customFormat="1" ht="14.25" customHeight="1" x14ac:dyDescent="0.3"/>
    <row r="519" customFormat="1" ht="14.25" customHeight="1" x14ac:dyDescent="0.3"/>
    <row r="520" customFormat="1" ht="14.25" customHeight="1" x14ac:dyDescent="0.3"/>
    <row r="521" customFormat="1" ht="14.25" customHeight="1" x14ac:dyDescent="0.3"/>
    <row r="522" customFormat="1" ht="14.25" customHeight="1" x14ac:dyDescent="0.3"/>
    <row r="523" customFormat="1" ht="14.25" customHeight="1" x14ac:dyDescent="0.3"/>
    <row r="524" customFormat="1" ht="14.25" customHeight="1" x14ac:dyDescent="0.3"/>
    <row r="525" customFormat="1" ht="14.25" customHeight="1" x14ac:dyDescent="0.3"/>
    <row r="526" customFormat="1" ht="14.25" customHeight="1" x14ac:dyDescent="0.3"/>
    <row r="527" customFormat="1" ht="14.25" customHeight="1" x14ac:dyDescent="0.3"/>
    <row r="528" customFormat="1" ht="14.25" customHeight="1" x14ac:dyDescent="0.3"/>
    <row r="529" customFormat="1" ht="14.25" customHeight="1" x14ac:dyDescent="0.3"/>
    <row r="530" customFormat="1" ht="14.25" customHeight="1" x14ac:dyDescent="0.3"/>
    <row r="531" customFormat="1" ht="14.25" customHeight="1" x14ac:dyDescent="0.3"/>
    <row r="532" customFormat="1" ht="14.25" customHeight="1" x14ac:dyDescent="0.3"/>
    <row r="533" customFormat="1" ht="14.25" customHeight="1" x14ac:dyDescent="0.3"/>
    <row r="534" customFormat="1" ht="14.25" customHeight="1" x14ac:dyDescent="0.3"/>
    <row r="535" customFormat="1" ht="14.25" customHeight="1" x14ac:dyDescent="0.3"/>
    <row r="536" customFormat="1" ht="14.25" customHeight="1" x14ac:dyDescent="0.3"/>
    <row r="537" customFormat="1" ht="14.25" customHeight="1" x14ac:dyDescent="0.3"/>
    <row r="538" customFormat="1" ht="14.25" customHeight="1" x14ac:dyDescent="0.3"/>
    <row r="539" customFormat="1" ht="14.25" customHeight="1" x14ac:dyDescent="0.3"/>
    <row r="540" customFormat="1" ht="14.25" customHeight="1" x14ac:dyDescent="0.3"/>
    <row r="541" customFormat="1" ht="14.25" customHeight="1" x14ac:dyDescent="0.3"/>
    <row r="542" customFormat="1" ht="14.25" customHeight="1" x14ac:dyDescent="0.3"/>
    <row r="543" customFormat="1" ht="14.25" customHeight="1" x14ac:dyDescent="0.3"/>
    <row r="544" customFormat="1" ht="14.25" customHeight="1" x14ac:dyDescent="0.3"/>
    <row r="545" customFormat="1" ht="14.25" customHeight="1" x14ac:dyDescent="0.3"/>
    <row r="546" customFormat="1" ht="14.25" customHeight="1" x14ac:dyDescent="0.3"/>
    <row r="547" customFormat="1" ht="14.25" customHeight="1" x14ac:dyDescent="0.3"/>
    <row r="548" customFormat="1" ht="14.25" customHeight="1" x14ac:dyDescent="0.3"/>
    <row r="549" customFormat="1" ht="14.25" customHeight="1" x14ac:dyDescent="0.3"/>
    <row r="550" customFormat="1" ht="14.25" customHeight="1" x14ac:dyDescent="0.3"/>
    <row r="551" customFormat="1" ht="14.25" customHeight="1" x14ac:dyDescent="0.3"/>
    <row r="552" customFormat="1" ht="14.25" customHeight="1" x14ac:dyDescent="0.3"/>
    <row r="553" customFormat="1" ht="14.25" customHeight="1" x14ac:dyDescent="0.3"/>
    <row r="554" customFormat="1" ht="14.25" customHeight="1" x14ac:dyDescent="0.3"/>
    <row r="555" customFormat="1" ht="14.25" customHeight="1" x14ac:dyDescent="0.3"/>
    <row r="556" customFormat="1" ht="14.25" customHeight="1" x14ac:dyDescent="0.3"/>
    <row r="557" customFormat="1" ht="14.25" customHeight="1" x14ac:dyDescent="0.3"/>
    <row r="558" customFormat="1" ht="14.25" customHeight="1" x14ac:dyDescent="0.3"/>
    <row r="559" customFormat="1" ht="14.25" customHeight="1" x14ac:dyDescent="0.3"/>
    <row r="560" customFormat="1" ht="14.25" customHeight="1" x14ac:dyDescent="0.3"/>
    <row r="561" customFormat="1" ht="14.25" customHeight="1" x14ac:dyDescent="0.3"/>
    <row r="562" customFormat="1" ht="14.25" customHeight="1" x14ac:dyDescent="0.3"/>
    <row r="563" customFormat="1" ht="14.25" customHeight="1" x14ac:dyDescent="0.3"/>
    <row r="564" customFormat="1" ht="14.25" customHeight="1" x14ac:dyDescent="0.3"/>
    <row r="565" customFormat="1" ht="14.25" customHeight="1" x14ac:dyDescent="0.3"/>
    <row r="566" customFormat="1" ht="14.25" customHeight="1" x14ac:dyDescent="0.3"/>
    <row r="567" customFormat="1" ht="14.25" customHeight="1" x14ac:dyDescent="0.3"/>
    <row r="568" customFormat="1" ht="14.25" customHeight="1" x14ac:dyDescent="0.3"/>
    <row r="569" customFormat="1" ht="14.25" customHeight="1" x14ac:dyDescent="0.3"/>
    <row r="570" customFormat="1" ht="14.25" customHeight="1" x14ac:dyDescent="0.3"/>
    <row r="571" customFormat="1" ht="14.25" customHeight="1" x14ac:dyDescent="0.3"/>
    <row r="572" customFormat="1" ht="14.25" customHeight="1" x14ac:dyDescent="0.3"/>
    <row r="573" customFormat="1" ht="14.25" customHeight="1" x14ac:dyDescent="0.3"/>
    <row r="574" customFormat="1" ht="14.25" customHeight="1" x14ac:dyDescent="0.3"/>
    <row r="575" customFormat="1" ht="14.25" customHeight="1" x14ac:dyDescent="0.3"/>
    <row r="576" customFormat="1" ht="14.25" customHeight="1" x14ac:dyDescent="0.3"/>
    <row r="577" customFormat="1" ht="14.25" customHeight="1" x14ac:dyDescent="0.3"/>
    <row r="578" customFormat="1" ht="14.25" customHeight="1" x14ac:dyDescent="0.3"/>
    <row r="579" customFormat="1" ht="14.25" customHeight="1" x14ac:dyDescent="0.3"/>
    <row r="580" customFormat="1" ht="14.25" customHeight="1" x14ac:dyDescent="0.3"/>
    <row r="581" customFormat="1" ht="14.25" customHeight="1" x14ac:dyDescent="0.3"/>
    <row r="582" customFormat="1" ht="14.25" customHeight="1" x14ac:dyDescent="0.3"/>
    <row r="583" customFormat="1" ht="14.25" customHeight="1" x14ac:dyDescent="0.3"/>
    <row r="584" customFormat="1" ht="14.25" customHeight="1" x14ac:dyDescent="0.3"/>
    <row r="585" customFormat="1" ht="14.25" customHeight="1" x14ac:dyDescent="0.3"/>
    <row r="586" customFormat="1" ht="14.25" customHeight="1" x14ac:dyDescent="0.3"/>
    <row r="587" customFormat="1" ht="14.25" customHeight="1" x14ac:dyDescent="0.3"/>
    <row r="588" customFormat="1" ht="14.25" customHeight="1" x14ac:dyDescent="0.3"/>
    <row r="589" customFormat="1" ht="14.25" customHeight="1" x14ac:dyDescent="0.3"/>
    <row r="590" customFormat="1" ht="14.25" customHeight="1" x14ac:dyDescent="0.3"/>
    <row r="591" customFormat="1" ht="14.25" customHeight="1" x14ac:dyDescent="0.3"/>
    <row r="592" customFormat="1" ht="14.25" customHeight="1" x14ac:dyDescent="0.3"/>
    <row r="593" customFormat="1" ht="14.25" customHeight="1" x14ac:dyDescent="0.3"/>
    <row r="594" customFormat="1" ht="14.25" customHeight="1" x14ac:dyDescent="0.3"/>
    <row r="595" customFormat="1" ht="14.25" customHeight="1" x14ac:dyDescent="0.3"/>
    <row r="596" customFormat="1" ht="14.25" customHeight="1" x14ac:dyDescent="0.3"/>
    <row r="597" customFormat="1" ht="14.25" customHeight="1" x14ac:dyDescent="0.3"/>
    <row r="598" customFormat="1" ht="14.25" customHeight="1" x14ac:dyDescent="0.3"/>
    <row r="599" customFormat="1" ht="14.25" customHeight="1" x14ac:dyDescent="0.3"/>
    <row r="600" customFormat="1" ht="14.25" customHeight="1" x14ac:dyDescent="0.3"/>
    <row r="601" customFormat="1" ht="14.25" customHeight="1" x14ac:dyDescent="0.3"/>
    <row r="602" customFormat="1" ht="14.25" customHeight="1" x14ac:dyDescent="0.3"/>
    <row r="603" customFormat="1" ht="14.25" customHeight="1" x14ac:dyDescent="0.3"/>
    <row r="604" customFormat="1" ht="14.25" customHeight="1" x14ac:dyDescent="0.3"/>
    <row r="605" customFormat="1" ht="14.25" customHeight="1" x14ac:dyDescent="0.3"/>
    <row r="606" customFormat="1" ht="14.25" customHeight="1" x14ac:dyDescent="0.3"/>
    <row r="607" customFormat="1" ht="14.25" customHeight="1" x14ac:dyDescent="0.3"/>
    <row r="608" customFormat="1" ht="14.25" customHeight="1" x14ac:dyDescent="0.3"/>
    <row r="609" customFormat="1" ht="14.25" customHeight="1" x14ac:dyDescent="0.3"/>
    <row r="610" customFormat="1" ht="14.25" customHeight="1" x14ac:dyDescent="0.3"/>
    <row r="611" customFormat="1" ht="14.25" customHeight="1" x14ac:dyDescent="0.3"/>
    <row r="612" customFormat="1" ht="14.25" customHeight="1" x14ac:dyDescent="0.3"/>
    <row r="613" customFormat="1" ht="14.25" customHeight="1" x14ac:dyDescent="0.3"/>
    <row r="614" customFormat="1" ht="14.25" customHeight="1" x14ac:dyDescent="0.3"/>
    <row r="615" customFormat="1" ht="14.25" customHeight="1" x14ac:dyDescent="0.3"/>
    <row r="616" customFormat="1" ht="14.25" customHeight="1" x14ac:dyDescent="0.3"/>
    <row r="617" customFormat="1" ht="14.25" customHeight="1" x14ac:dyDescent="0.3"/>
    <row r="618" customFormat="1" ht="14.25" customHeight="1" x14ac:dyDescent="0.3"/>
    <row r="619" customFormat="1" ht="14.25" customHeight="1" x14ac:dyDescent="0.3"/>
    <row r="620" customFormat="1" ht="14.25" customHeight="1" x14ac:dyDescent="0.3"/>
    <row r="621" customFormat="1" ht="14.25" customHeight="1" x14ac:dyDescent="0.3"/>
    <row r="622" customFormat="1" ht="14.25" customHeight="1" x14ac:dyDescent="0.3"/>
    <row r="623" customFormat="1" ht="14.25" customHeight="1" x14ac:dyDescent="0.3"/>
    <row r="624" customFormat="1" ht="14.25" customHeight="1" x14ac:dyDescent="0.3"/>
    <row r="625" customFormat="1" ht="14.25" customHeight="1" x14ac:dyDescent="0.3"/>
    <row r="626" customFormat="1" ht="14.25" customHeight="1" x14ac:dyDescent="0.3"/>
    <row r="627" customFormat="1" ht="14.25" customHeight="1" x14ac:dyDescent="0.3"/>
    <row r="628" customFormat="1" ht="14.25" customHeight="1" x14ac:dyDescent="0.3"/>
    <row r="629" customFormat="1" ht="14.25" customHeight="1" x14ac:dyDescent="0.3"/>
    <row r="630" customFormat="1" ht="14.25" customHeight="1" x14ac:dyDescent="0.3"/>
    <row r="631" customFormat="1" ht="14.25" customHeight="1" x14ac:dyDescent="0.3"/>
    <row r="632" customFormat="1" ht="14.25" customHeight="1" x14ac:dyDescent="0.3"/>
    <row r="633" customFormat="1" ht="14.25" customHeight="1" x14ac:dyDescent="0.3"/>
    <row r="634" customFormat="1" ht="14.25" customHeight="1" x14ac:dyDescent="0.3"/>
    <row r="635" customFormat="1" ht="14.25" customHeight="1" x14ac:dyDescent="0.3"/>
    <row r="636" customFormat="1" ht="14.25" customHeight="1" x14ac:dyDescent="0.3"/>
    <row r="637" customFormat="1" ht="14.25" customHeight="1" x14ac:dyDescent="0.3"/>
    <row r="638" customFormat="1" ht="14.25" customHeight="1" x14ac:dyDescent="0.3"/>
    <row r="639" customFormat="1" ht="14.25" customHeight="1" x14ac:dyDescent="0.3"/>
    <row r="640" customFormat="1" ht="14.25" customHeight="1" x14ac:dyDescent="0.3"/>
    <row r="641" customFormat="1" ht="14.25" customHeight="1" x14ac:dyDescent="0.3"/>
    <row r="642" customFormat="1" ht="14.25" customHeight="1" x14ac:dyDescent="0.3"/>
    <row r="643" customFormat="1" ht="14.25" customHeight="1" x14ac:dyDescent="0.3"/>
    <row r="644" customFormat="1" ht="14.25" customHeight="1" x14ac:dyDescent="0.3"/>
    <row r="645" customFormat="1" ht="14.25" customHeight="1" x14ac:dyDescent="0.3"/>
    <row r="646" customFormat="1" ht="14.25" customHeight="1" x14ac:dyDescent="0.3"/>
    <row r="647" customFormat="1" ht="14.25" customHeight="1" x14ac:dyDescent="0.3"/>
    <row r="648" customFormat="1" ht="14.25" customHeight="1" x14ac:dyDescent="0.3"/>
    <row r="649" customFormat="1" ht="14.25" customHeight="1" x14ac:dyDescent="0.3"/>
    <row r="650" customFormat="1" ht="14.25" customHeight="1" x14ac:dyDescent="0.3"/>
    <row r="651" customFormat="1" ht="14.25" customHeight="1" x14ac:dyDescent="0.3"/>
    <row r="652" customFormat="1" ht="14.25" customHeight="1" x14ac:dyDescent="0.3"/>
    <row r="653" customFormat="1" ht="14.25" customHeight="1" x14ac:dyDescent="0.3"/>
    <row r="654" customFormat="1" ht="14.25" customHeight="1" x14ac:dyDescent="0.3"/>
    <row r="655" customFormat="1" ht="14.25" customHeight="1" x14ac:dyDescent="0.3"/>
    <row r="656" customFormat="1" ht="14.25" customHeight="1" x14ac:dyDescent="0.3"/>
    <row r="657" customFormat="1" ht="14.25" customHeight="1" x14ac:dyDescent="0.3"/>
    <row r="658" customFormat="1" ht="14.25" customHeight="1" x14ac:dyDescent="0.3"/>
    <row r="659" customFormat="1" ht="14.25" customHeight="1" x14ac:dyDescent="0.3"/>
    <row r="660" customFormat="1" ht="14.25" customHeight="1" x14ac:dyDescent="0.3"/>
    <row r="661" customFormat="1" ht="14.25" customHeight="1" x14ac:dyDescent="0.3"/>
    <row r="662" customFormat="1" ht="14.25" customHeight="1" x14ac:dyDescent="0.3"/>
    <row r="663" customFormat="1" ht="14.25" customHeight="1" x14ac:dyDescent="0.3"/>
    <row r="664" customFormat="1" ht="14.25" customHeight="1" x14ac:dyDescent="0.3"/>
    <row r="665" customFormat="1" ht="14.25" customHeight="1" x14ac:dyDescent="0.3"/>
    <row r="666" customFormat="1" ht="14.25" customHeight="1" x14ac:dyDescent="0.3"/>
    <row r="667" customFormat="1" ht="14.25" customHeight="1" x14ac:dyDescent="0.3"/>
    <row r="668" customFormat="1" ht="14.25" customHeight="1" x14ac:dyDescent="0.3"/>
    <row r="669" customFormat="1" ht="14.25" customHeight="1" x14ac:dyDescent="0.3"/>
    <row r="670" customFormat="1" ht="14.25" customHeight="1" x14ac:dyDescent="0.3"/>
    <row r="671" customFormat="1" ht="14.25" customHeight="1" x14ac:dyDescent="0.3"/>
    <row r="672" customFormat="1" ht="14.25" customHeight="1" x14ac:dyDescent="0.3"/>
    <row r="673" customFormat="1" ht="14.25" customHeight="1" x14ac:dyDescent="0.3"/>
    <row r="674" customFormat="1" ht="14.25" customHeight="1" x14ac:dyDescent="0.3"/>
    <row r="675" customFormat="1" ht="14.25" customHeight="1" x14ac:dyDescent="0.3"/>
    <row r="676" customFormat="1" ht="14.25" customHeight="1" x14ac:dyDescent="0.3"/>
    <row r="677" customFormat="1" ht="14.25" customHeight="1" x14ac:dyDescent="0.3"/>
    <row r="678" customFormat="1" ht="14.25" customHeight="1" x14ac:dyDescent="0.3"/>
    <row r="679" customFormat="1" ht="14.25" customHeight="1" x14ac:dyDescent="0.3"/>
    <row r="680" customFormat="1" ht="14.25" customHeight="1" x14ac:dyDescent="0.3"/>
    <row r="681" customFormat="1" ht="14.25" customHeight="1" x14ac:dyDescent="0.3"/>
    <row r="682" customFormat="1" ht="14.25" customHeight="1" x14ac:dyDescent="0.3"/>
    <row r="683" customFormat="1" ht="14.25" customHeight="1" x14ac:dyDescent="0.3"/>
    <row r="684" customFormat="1" ht="14.25" customHeight="1" x14ac:dyDescent="0.3"/>
    <row r="685" customFormat="1" ht="14.25" customHeight="1" x14ac:dyDescent="0.3"/>
    <row r="686" customFormat="1" ht="14.25" customHeight="1" x14ac:dyDescent="0.3"/>
    <row r="687" customFormat="1" ht="14.25" customHeight="1" x14ac:dyDescent="0.3"/>
    <row r="688" customFormat="1" ht="14.25" customHeight="1" x14ac:dyDescent="0.3"/>
    <row r="689" customFormat="1" ht="14.25" customHeight="1" x14ac:dyDescent="0.3"/>
    <row r="690" customFormat="1" ht="14.25" customHeight="1" x14ac:dyDescent="0.3"/>
    <row r="691" customFormat="1" ht="14.25" customHeight="1" x14ac:dyDescent="0.3"/>
    <row r="692" customFormat="1" ht="14.25" customHeight="1" x14ac:dyDescent="0.3"/>
    <row r="693" customFormat="1" ht="14.25" customHeight="1" x14ac:dyDescent="0.3"/>
    <row r="694" customFormat="1" ht="14.25" customHeight="1" x14ac:dyDescent="0.3"/>
    <row r="695" customFormat="1" ht="14.25" customHeight="1" x14ac:dyDescent="0.3"/>
    <row r="696" customFormat="1" ht="14.25" customHeight="1" x14ac:dyDescent="0.3"/>
    <row r="697" customFormat="1" ht="14.25" customHeight="1" x14ac:dyDescent="0.3"/>
    <row r="698" customFormat="1" ht="14.25" customHeight="1" x14ac:dyDescent="0.3"/>
    <row r="699" customFormat="1" ht="14.25" customHeight="1" x14ac:dyDescent="0.3"/>
    <row r="700" customFormat="1" ht="14.25" customHeight="1" x14ac:dyDescent="0.3"/>
    <row r="701" customFormat="1" ht="14.25" customHeight="1" x14ac:dyDescent="0.3"/>
    <row r="702" customFormat="1" ht="14.25" customHeight="1" x14ac:dyDescent="0.3"/>
    <row r="703" customFormat="1" ht="14.25" customHeight="1" x14ac:dyDescent="0.3"/>
    <row r="704" customFormat="1" ht="14.25" customHeight="1" x14ac:dyDescent="0.3"/>
    <row r="705" customFormat="1" ht="14.25" customHeight="1" x14ac:dyDescent="0.3"/>
    <row r="706" customFormat="1" ht="14.25" customHeight="1" x14ac:dyDescent="0.3"/>
    <row r="707" customFormat="1" ht="14.25" customHeight="1" x14ac:dyDescent="0.3"/>
    <row r="708" customFormat="1" ht="14.25" customHeight="1" x14ac:dyDescent="0.3"/>
    <row r="709" customFormat="1" ht="14.25" customHeight="1" x14ac:dyDescent="0.3"/>
    <row r="710" customFormat="1" ht="14.25" customHeight="1" x14ac:dyDescent="0.3"/>
    <row r="711" customFormat="1" ht="14.25" customHeight="1" x14ac:dyDescent="0.3"/>
    <row r="712" customFormat="1" ht="14.25" customHeight="1" x14ac:dyDescent="0.3"/>
    <row r="713" customFormat="1" ht="14.25" customHeight="1" x14ac:dyDescent="0.3"/>
    <row r="714" customFormat="1" ht="14.25" customHeight="1" x14ac:dyDescent="0.3"/>
    <row r="715" customFormat="1" ht="14.25" customHeight="1" x14ac:dyDescent="0.3"/>
    <row r="716" customFormat="1" ht="14.25" customHeight="1" x14ac:dyDescent="0.3"/>
    <row r="717" customFormat="1" ht="14.25" customHeight="1" x14ac:dyDescent="0.3"/>
    <row r="718" customFormat="1" ht="14.25" customHeight="1" x14ac:dyDescent="0.3"/>
    <row r="719" customFormat="1" ht="14.25" customHeight="1" x14ac:dyDescent="0.3"/>
    <row r="720" customFormat="1" ht="14.25" customHeight="1" x14ac:dyDescent="0.3"/>
    <row r="721" customFormat="1" ht="14.25" customHeight="1" x14ac:dyDescent="0.3"/>
    <row r="722" customFormat="1" ht="14.25" customHeight="1" x14ac:dyDescent="0.3"/>
    <row r="723" customFormat="1" ht="14.25" customHeight="1" x14ac:dyDescent="0.3"/>
    <row r="724" customFormat="1" ht="14.25" customHeight="1" x14ac:dyDescent="0.3"/>
    <row r="725" customFormat="1" ht="14.25" customHeight="1" x14ac:dyDescent="0.3"/>
    <row r="726" customFormat="1" ht="14.25" customHeight="1" x14ac:dyDescent="0.3"/>
    <row r="727" customFormat="1" ht="14.25" customHeight="1" x14ac:dyDescent="0.3"/>
    <row r="728" customFormat="1" ht="14.25" customHeight="1" x14ac:dyDescent="0.3"/>
    <row r="729" customFormat="1" ht="14.25" customHeight="1" x14ac:dyDescent="0.3"/>
    <row r="730" customFormat="1" ht="14.25" customHeight="1" x14ac:dyDescent="0.3"/>
    <row r="731" customFormat="1" ht="14.25" customHeight="1" x14ac:dyDescent="0.3"/>
    <row r="732" customFormat="1" ht="14.25" customHeight="1" x14ac:dyDescent="0.3"/>
    <row r="733" customFormat="1" ht="14.25" customHeight="1" x14ac:dyDescent="0.3"/>
    <row r="734" customFormat="1" ht="14.25" customHeight="1" x14ac:dyDescent="0.3"/>
    <row r="735" customFormat="1" ht="14.25" customHeight="1" x14ac:dyDescent="0.3"/>
    <row r="736" customFormat="1" ht="14.25" customHeight="1" x14ac:dyDescent="0.3"/>
    <row r="737" customFormat="1" ht="14.25" customHeight="1" x14ac:dyDescent="0.3"/>
    <row r="738" customFormat="1" ht="14.25" customHeight="1" x14ac:dyDescent="0.3"/>
    <row r="739" customFormat="1" ht="14.25" customHeight="1" x14ac:dyDescent="0.3"/>
    <row r="740" customFormat="1" ht="14.25" customHeight="1" x14ac:dyDescent="0.3"/>
    <row r="741" customFormat="1" ht="14.25" customHeight="1" x14ac:dyDescent="0.3"/>
    <row r="742" customFormat="1" ht="14.25" customHeight="1" x14ac:dyDescent="0.3"/>
    <row r="743" customFormat="1" ht="14.25" customHeight="1" x14ac:dyDescent="0.3"/>
    <row r="744" customFormat="1" ht="14.25" customHeight="1" x14ac:dyDescent="0.3"/>
    <row r="745" customFormat="1" ht="14.25" customHeight="1" x14ac:dyDescent="0.3"/>
    <row r="746" customFormat="1" ht="14.25" customHeight="1" x14ac:dyDescent="0.3"/>
    <row r="747" customFormat="1" ht="14.25" customHeight="1" x14ac:dyDescent="0.3"/>
    <row r="748" customFormat="1" ht="14.25" customHeight="1" x14ac:dyDescent="0.3"/>
    <row r="749" customFormat="1" ht="14.25" customHeight="1" x14ac:dyDescent="0.3"/>
    <row r="750" customFormat="1" ht="14.25" customHeight="1" x14ac:dyDescent="0.3"/>
    <row r="751" customFormat="1" ht="14.25" customHeight="1" x14ac:dyDescent="0.3"/>
    <row r="752" customFormat="1" ht="14.25" customHeight="1" x14ac:dyDescent="0.3"/>
    <row r="753" customFormat="1" ht="14.25" customHeight="1" x14ac:dyDescent="0.3"/>
    <row r="754" customFormat="1" ht="14.25" customHeight="1" x14ac:dyDescent="0.3"/>
    <row r="755" customFormat="1" ht="14.25" customHeight="1" x14ac:dyDescent="0.3"/>
    <row r="756" customFormat="1" ht="14.25" customHeight="1" x14ac:dyDescent="0.3"/>
    <row r="757" customFormat="1" ht="14.25" customHeight="1" x14ac:dyDescent="0.3"/>
    <row r="758" customFormat="1" ht="14.25" customHeight="1" x14ac:dyDescent="0.3"/>
    <row r="759" customFormat="1" ht="14.25" customHeight="1" x14ac:dyDescent="0.3"/>
    <row r="760" customFormat="1" ht="14.25" customHeight="1" x14ac:dyDescent="0.3"/>
    <row r="761" customFormat="1" ht="14.25" customHeight="1" x14ac:dyDescent="0.3"/>
    <row r="762" customFormat="1" ht="14.25" customHeight="1" x14ac:dyDescent="0.3"/>
    <row r="763" customFormat="1" ht="14.25" customHeight="1" x14ac:dyDescent="0.3"/>
    <row r="764" customFormat="1" ht="14.25" customHeight="1" x14ac:dyDescent="0.3"/>
    <row r="765" customFormat="1" ht="14.25" customHeight="1" x14ac:dyDescent="0.3"/>
    <row r="766" customFormat="1" ht="14.25" customHeight="1" x14ac:dyDescent="0.3"/>
    <row r="767" customFormat="1" ht="14.25" customHeight="1" x14ac:dyDescent="0.3"/>
    <row r="768" customFormat="1" ht="14.25" customHeight="1" x14ac:dyDescent="0.3"/>
    <row r="769" customFormat="1" ht="14.25" customHeight="1" x14ac:dyDescent="0.3"/>
    <row r="770" customFormat="1" ht="14.25" customHeight="1" x14ac:dyDescent="0.3"/>
    <row r="771" customFormat="1" ht="14.25" customHeight="1" x14ac:dyDescent="0.3"/>
    <row r="772" customFormat="1" ht="14.25" customHeight="1" x14ac:dyDescent="0.3"/>
    <row r="773" customFormat="1" ht="14.25" customHeight="1" x14ac:dyDescent="0.3"/>
    <row r="774" customFormat="1" ht="14.25" customHeight="1" x14ac:dyDescent="0.3"/>
    <row r="775" customFormat="1" ht="14.25" customHeight="1" x14ac:dyDescent="0.3"/>
    <row r="776" customFormat="1" ht="14.25" customHeight="1" x14ac:dyDescent="0.3"/>
    <row r="777" customFormat="1" ht="14.25" customHeight="1" x14ac:dyDescent="0.3"/>
    <row r="778" customFormat="1" ht="14.25" customHeight="1" x14ac:dyDescent="0.3"/>
    <row r="779" customFormat="1" ht="14.25" customHeight="1" x14ac:dyDescent="0.3"/>
    <row r="780" customFormat="1" ht="14.25" customHeight="1" x14ac:dyDescent="0.3"/>
    <row r="781" customFormat="1" ht="14.25" customHeight="1" x14ac:dyDescent="0.3"/>
    <row r="782" customFormat="1" ht="14.25" customHeight="1" x14ac:dyDescent="0.3"/>
    <row r="783" customFormat="1" ht="14.25" customHeight="1" x14ac:dyDescent="0.3"/>
    <row r="784" customFormat="1" ht="14.25" customHeight="1" x14ac:dyDescent="0.3"/>
    <row r="785" customFormat="1" ht="14.25" customHeight="1" x14ac:dyDescent="0.3"/>
    <row r="786" customFormat="1" ht="14.25" customHeight="1" x14ac:dyDescent="0.3"/>
    <row r="787" customFormat="1" ht="14.25" customHeight="1" x14ac:dyDescent="0.3"/>
    <row r="788" customFormat="1" ht="14.25" customHeight="1" x14ac:dyDescent="0.3"/>
    <row r="789" customFormat="1" ht="14.25" customHeight="1" x14ac:dyDescent="0.3"/>
    <row r="790" customFormat="1" ht="14.25" customHeight="1" x14ac:dyDescent="0.3"/>
    <row r="791" customFormat="1" ht="14.25" customHeight="1" x14ac:dyDescent="0.3"/>
    <row r="792" customFormat="1" ht="14.25" customHeight="1" x14ac:dyDescent="0.3"/>
    <row r="793" customFormat="1" ht="14.25" customHeight="1" x14ac:dyDescent="0.3"/>
    <row r="794" customFormat="1" ht="14.25" customHeight="1" x14ac:dyDescent="0.3"/>
    <row r="795" customFormat="1" ht="14.25" customHeight="1" x14ac:dyDescent="0.3"/>
    <row r="796" customFormat="1" ht="14.25" customHeight="1" x14ac:dyDescent="0.3"/>
    <row r="797" customFormat="1" ht="14.25" customHeight="1" x14ac:dyDescent="0.3"/>
    <row r="798" customFormat="1" ht="14.25" customHeight="1" x14ac:dyDescent="0.3"/>
    <row r="799" customFormat="1" ht="14.25" customHeight="1" x14ac:dyDescent="0.3"/>
    <row r="800" customFormat="1" ht="14.25" customHeight="1" x14ac:dyDescent="0.3"/>
    <row r="801" customFormat="1" ht="14.25" customHeight="1" x14ac:dyDescent="0.3"/>
    <row r="802" customFormat="1" ht="14.25" customHeight="1" x14ac:dyDescent="0.3"/>
    <row r="803" customFormat="1" ht="14.25" customHeight="1" x14ac:dyDescent="0.3"/>
    <row r="804" customFormat="1" ht="14.25" customHeight="1" x14ac:dyDescent="0.3"/>
    <row r="805" customFormat="1" ht="14.25" customHeight="1" x14ac:dyDescent="0.3"/>
    <row r="806" customFormat="1" ht="14.25" customHeight="1" x14ac:dyDescent="0.3"/>
    <row r="807" customFormat="1" ht="14.25" customHeight="1" x14ac:dyDescent="0.3"/>
    <row r="808" customFormat="1" ht="14.25" customHeight="1" x14ac:dyDescent="0.3"/>
    <row r="809" customFormat="1" ht="14.25" customHeight="1" x14ac:dyDescent="0.3"/>
    <row r="810" customFormat="1" ht="14.25" customHeight="1" x14ac:dyDescent="0.3"/>
    <row r="811" customFormat="1" ht="14.25" customHeight="1" x14ac:dyDescent="0.3"/>
    <row r="812" customFormat="1" ht="14.25" customHeight="1" x14ac:dyDescent="0.3"/>
    <row r="813" customFormat="1" ht="14.25" customHeight="1" x14ac:dyDescent="0.3"/>
    <row r="814" customFormat="1" ht="14.25" customHeight="1" x14ac:dyDescent="0.3"/>
    <row r="815" customFormat="1" ht="14.25" customHeight="1" x14ac:dyDescent="0.3"/>
    <row r="816" customFormat="1" ht="14.25" customHeight="1" x14ac:dyDescent="0.3"/>
    <row r="817" customFormat="1" ht="14.25" customHeight="1" x14ac:dyDescent="0.3"/>
    <row r="818" customFormat="1" ht="14.25" customHeight="1" x14ac:dyDescent="0.3"/>
    <row r="819" customFormat="1" ht="14.25" customHeight="1" x14ac:dyDescent="0.3"/>
    <row r="820" customFormat="1" ht="14.25" customHeight="1" x14ac:dyDescent="0.3"/>
    <row r="821" customFormat="1" ht="14.25" customHeight="1" x14ac:dyDescent="0.3"/>
    <row r="822" customFormat="1" ht="14.25" customHeight="1" x14ac:dyDescent="0.3"/>
    <row r="823" customFormat="1" ht="14.25" customHeight="1" x14ac:dyDescent="0.3"/>
    <row r="824" customFormat="1" ht="14.25" customHeight="1" x14ac:dyDescent="0.3"/>
    <row r="825" customFormat="1" ht="14.25" customHeight="1" x14ac:dyDescent="0.3"/>
    <row r="826" customFormat="1" ht="14.25" customHeight="1" x14ac:dyDescent="0.3"/>
    <row r="827" customFormat="1" ht="14.25" customHeight="1" x14ac:dyDescent="0.3"/>
    <row r="828" customFormat="1" ht="14.25" customHeight="1" x14ac:dyDescent="0.3"/>
    <row r="829" customFormat="1" ht="14.25" customHeight="1" x14ac:dyDescent="0.3"/>
    <row r="830" customFormat="1" ht="14.25" customHeight="1" x14ac:dyDescent="0.3"/>
    <row r="831" customFormat="1" ht="14.25" customHeight="1" x14ac:dyDescent="0.3"/>
    <row r="832" customFormat="1" ht="14.25" customHeight="1" x14ac:dyDescent="0.3"/>
    <row r="833" customFormat="1" ht="14.25" customHeight="1" x14ac:dyDescent="0.3"/>
    <row r="834" customFormat="1" ht="14.25" customHeight="1" x14ac:dyDescent="0.3"/>
    <row r="835" customFormat="1" ht="14.25" customHeight="1" x14ac:dyDescent="0.3"/>
    <row r="836" customFormat="1" ht="14.25" customHeight="1" x14ac:dyDescent="0.3"/>
    <row r="837" customFormat="1" ht="14.25" customHeight="1" x14ac:dyDescent="0.3"/>
    <row r="838" customFormat="1" ht="14.25" customHeight="1" x14ac:dyDescent="0.3"/>
    <row r="839" customFormat="1" ht="14.25" customHeight="1" x14ac:dyDescent="0.3"/>
    <row r="840" customFormat="1" ht="14.25" customHeight="1" x14ac:dyDescent="0.3"/>
    <row r="841" customFormat="1" ht="14.25" customHeight="1" x14ac:dyDescent="0.3"/>
    <row r="842" customFormat="1" ht="14.25" customHeight="1" x14ac:dyDescent="0.3"/>
    <row r="843" customFormat="1" ht="14.25" customHeight="1" x14ac:dyDescent="0.3"/>
    <row r="844" customFormat="1" ht="14.25" customHeight="1" x14ac:dyDescent="0.3"/>
    <row r="845" customFormat="1" ht="14.25" customHeight="1" x14ac:dyDescent="0.3"/>
    <row r="846" customFormat="1" ht="14.25" customHeight="1" x14ac:dyDescent="0.3"/>
    <row r="847" customFormat="1" ht="14.25" customHeight="1" x14ac:dyDescent="0.3"/>
    <row r="848" customFormat="1" ht="14.25" customHeight="1" x14ac:dyDescent="0.3"/>
    <row r="849" customFormat="1" ht="14.25" customHeight="1" x14ac:dyDescent="0.3"/>
    <row r="850" customFormat="1" ht="14.25" customHeight="1" x14ac:dyDescent="0.3"/>
    <row r="851" customFormat="1" ht="14.25" customHeight="1" x14ac:dyDescent="0.3"/>
    <row r="852" customFormat="1" ht="14.25" customHeight="1" x14ac:dyDescent="0.3"/>
    <row r="853" customFormat="1" ht="14.25" customHeight="1" x14ac:dyDescent="0.3"/>
    <row r="854" customFormat="1" ht="14.25" customHeight="1" x14ac:dyDescent="0.3"/>
    <row r="855" customFormat="1" ht="14.25" customHeight="1" x14ac:dyDescent="0.3"/>
    <row r="856" customFormat="1" ht="14.25" customHeight="1" x14ac:dyDescent="0.3"/>
    <row r="857" customFormat="1" ht="14.25" customHeight="1" x14ac:dyDescent="0.3"/>
    <row r="858" customFormat="1" ht="14.25" customHeight="1" x14ac:dyDescent="0.3"/>
    <row r="859" customFormat="1" ht="14.25" customHeight="1" x14ac:dyDescent="0.3"/>
    <row r="860" customFormat="1" ht="14.25" customHeight="1" x14ac:dyDescent="0.3"/>
    <row r="861" customFormat="1" ht="14.25" customHeight="1" x14ac:dyDescent="0.3"/>
    <row r="862" customFormat="1" ht="14.25" customHeight="1" x14ac:dyDescent="0.3"/>
    <row r="863" customFormat="1" ht="14.25" customHeight="1" x14ac:dyDescent="0.3"/>
    <row r="864" customFormat="1" ht="14.25" customHeight="1" x14ac:dyDescent="0.3"/>
    <row r="865" customFormat="1" ht="14.25" customHeight="1" x14ac:dyDescent="0.3"/>
    <row r="866" customFormat="1" ht="14.25" customHeight="1" x14ac:dyDescent="0.3"/>
    <row r="867" customFormat="1" ht="14.25" customHeight="1" x14ac:dyDescent="0.3"/>
    <row r="868" customFormat="1" ht="14.25" customHeight="1" x14ac:dyDescent="0.3"/>
    <row r="869" customFormat="1" ht="14.25" customHeight="1" x14ac:dyDescent="0.3"/>
    <row r="870" customFormat="1" ht="14.25" customHeight="1" x14ac:dyDescent="0.3"/>
    <row r="871" customFormat="1" ht="14.25" customHeight="1" x14ac:dyDescent="0.3"/>
    <row r="872" customFormat="1" ht="14.25" customHeight="1" x14ac:dyDescent="0.3"/>
    <row r="873" customFormat="1" ht="14.25" customHeight="1" x14ac:dyDescent="0.3"/>
    <row r="874" customFormat="1" ht="14.25" customHeight="1" x14ac:dyDescent="0.3"/>
    <row r="875" customFormat="1" ht="14.25" customHeight="1" x14ac:dyDescent="0.3"/>
    <row r="876" customFormat="1" ht="14.25" customHeight="1" x14ac:dyDescent="0.3"/>
    <row r="877" customFormat="1" ht="14.25" customHeight="1" x14ac:dyDescent="0.3"/>
    <row r="878" customFormat="1" ht="14.25" customHeight="1" x14ac:dyDescent="0.3"/>
    <row r="879" customFormat="1" ht="14.25" customHeight="1" x14ac:dyDescent="0.3"/>
    <row r="880" customFormat="1" ht="14.25" customHeight="1" x14ac:dyDescent="0.3"/>
    <row r="881" customFormat="1" ht="14.25" customHeight="1" x14ac:dyDescent="0.3"/>
    <row r="882" customFormat="1" ht="14.25" customHeight="1" x14ac:dyDescent="0.3"/>
    <row r="883" customFormat="1" ht="14.25" customHeight="1" x14ac:dyDescent="0.3"/>
    <row r="884" customFormat="1" ht="14.25" customHeight="1" x14ac:dyDescent="0.3"/>
    <row r="885" customFormat="1" ht="14.25" customHeight="1" x14ac:dyDescent="0.3"/>
    <row r="886" customFormat="1" ht="14.25" customHeight="1" x14ac:dyDescent="0.3"/>
    <row r="887" customFormat="1" ht="14.25" customHeight="1" x14ac:dyDescent="0.3"/>
    <row r="888" customFormat="1" ht="14.25" customHeight="1" x14ac:dyDescent="0.3"/>
    <row r="889" customFormat="1" ht="14.25" customHeight="1" x14ac:dyDescent="0.3"/>
    <row r="890" customFormat="1" ht="14.25" customHeight="1" x14ac:dyDescent="0.3"/>
    <row r="891" customFormat="1" ht="14.25" customHeight="1" x14ac:dyDescent="0.3"/>
    <row r="892" customFormat="1" ht="14.25" customHeight="1" x14ac:dyDescent="0.3"/>
    <row r="893" customFormat="1" ht="14.25" customHeight="1" x14ac:dyDescent="0.3"/>
    <row r="894" customFormat="1" ht="14.25" customHeight="1" x14ac:dyDescent="0.3"/>
    <row r="895" customFormat="1" ht="14.25" customHeight="1" x14ac:dyDescent="0.3"/>
    <row r="896" customFormat="1" ht="14.25" customHeight="1" x14ac:dyDescent="0.3"/>
    <row r="897" customFormat="1" ht="14.25" customHeight="1" x14ac:dyDescent="0.3"/>
    <row r="898" customFormat="1" ht="14.25" customHeight="1" x14ac:dyDescent="0.3"/>
    <row r="899" customFormat="1" ht="14.25" customHeight="1" x14ac:dyDescent="0.3"/>
    <row r="900" customFormat="1" ht="14.25" customHeight="1" x14ac:dyDescent="0.3"/>
    <row r="901" customFormat="1" ht="14.25" customHeight="1" x14ac:dyDescent="0.3"/>
    <row r="902" customFormat="1" ht="14.25" customHeight="1" x14ac:dyDescent="0.3"/>
    <row r="903" customFormat="1" ht="14.25" customHeight="1" x14ac:dyDescent="0.3"/>
    <row r="904" customFormat="1" ht="14.25" customHeight="1" x14ac:dyDescent="0.3"/>
    <row r="905" customFormat="1" ht="14.25" customHeight="1" x14ac:dyDescent="0.3"/>
    <row r="906" customFormat="1" ht="14.25" customHeight="1" x14ac:dyDescent="0.3"/>
    <row r="907" customFormat="1" ht="14.25" customHeight="1" x14ac:dyDescent="0.3"/>
    <row r="908" customFormat="1" ht="14.25" customHeight="1" x14ac:dyDescent="0.3"/>
    <row r="909" customFormat="1" ht="14.25" customHeight="1" x14ac:dyDescent="0.3"/>
    <row r="910" customFormat="1" ht="14.25" customHeight="1" x14ac:dyDescent="0.3"/>
    <row r="911" customFormat="1" ht="14.25" customHeight="1" x14ac:dyDescent="0.3"/>
    <row r="912" customFormat="1" ht="14.25" customHeight="1" x14ac:dyDescent="0.3"/>
    <row r="913" customFormat="1" ht="14.25" customHeight="1" x14ac:dyDescent="0.3"/>
    <row r="914" customFormat="1" ht="14.25" customHeight="1" x14ac:dyDescent="0.3"/>
    <row r="915" customFormat="1" ht="14.25" customHeight="1" x14ac:dyDescent="0.3"/>
    <row r="916" customFormat="1" ht="14.25" customHeight="1" x14ac:dyDescent="0.3"/>
    <row r="917" customFormat="1" ht="14.25" customHeight="1" x14ac:dyDescent="0.3"/>
    <row r="918" customFormat="1" ht="14.25" customHeight="1" x14ac:dyDescent="0.3"/>
    <row r="919" customFormat="1" ht="14.25" customHeight="1" x14ac:dyDescent="0.3"/>
    <row r="920" customFormat="1" ht="14.25" customHeight="1" x14ac:dyDescent="0.3"/>
    <row r="921" customFormat="1" ht="14.25" customHeight="1" x14ac:dyDescent="0.3"/>
    <row r="922" customFormat="1" ht="14.25" customHeight="1" x14ac:dyDescent="0.3"/>
    <row r="923" customFormat="1" ht="14.25" customHeight="1" x14ac:dyDescent="0.3"/>
    <row r="924" customFormat="1" ht="14.25" customHeight="1" x14ac:dyDescent="0.3"/>
    <row r="925" customFormat="1" ht="14.25" customHeight="1" x14ac:dyDescent="0.3"/>
    <row r="926" customFormat="1" ht="14.25" customHeight="1" x14ac:dyDescent="0.3"/>
    <row r="927" customFormat="1" ht="14.25" customHeight="1" x14ac:dyDescent="0.3"/>
    <row r="928" customFormat="1" ht="14.25" customHeight="1" x14ac:dyDescent="0.3"/>
    <row r="929" customFormat="1" ht="14.25" customHeight="1" x14ac:dyDescent="0.3"/>
    <row r="930" customFormat="1" ht="14.25" customHeight="1" x14ac:dyDescent="0.3"/>
    <row r="931" customFormat="1" ht="14.25" customHeight="1" x14ac:dyDescent="0.3"/>
    <row r="932" customFormat="1" ht="14.25" customHeight="1" x14ac:dyDescent="0.3"/>
    <row r="933" customFormat="1" ht="14.25" customHeight="1" x14ac:dyDescent="0.3"/>
    <row r="934" customFormat="1" ht="14.25" customHeight="1" x14ac:dyDescent="0.3"/>
    <row r="935" customFormat="1" ht="14.25" customHeight="1" x14ac:dyDescent="0.3"/>
    <row r="936" customFormat="1" ht="14.25" customHeight="1" x14ac:dyDescent="0.3"/>
    <row r="937" customFormat="1" ht="14.25" customHeight="1" x14ac:dyDescent="0.3"/>
    <row r="938" customFormat="1" ht="14.25" customHeight="1" x14ac:dyDescent="0.3"/>
    <row r="939" customFormat="1" ht="14.25" customHeight="1" x14ac:dyDescent="0.3"/>
    <row r="940" customFormat="1" ht="14.25" customHeight="1" x14ac:dyDescent="0.3"/>
    <row r="941" customFormat="1" ht="14.25" customHeight="1" x14ac:dyDescent="0.3"/>
    <row r="942" customFormat="1" ht="14.25" customHeight="1" x14ac:dyDescent="0.3"/>
    <row r="943" customFormat="1" ht="14.25" customHeight="1" x14ac:dyDescent="0.3"/>
    <row r="944" customFormat="1" ht="14.25" customHeight="1" x14ac:dyDescent="0.3"/>
    <row r="945" customFormat="1" ht="14.25" customHeight="1" x14ac:dyDescent="0.3"/>
    <row r="946" customFormat="1" ht="14.25" customHeight="1" x14ac:dyDescent="0.3"/>
    <row r="947" customFormat="1" ht="14.25" customHeight="1" x14ac:dyDescent="0.3"/>
    <row r="948" customFormat="1" ht="14.25" customHeight="1" x14ac:dyDescent="0.3"/>
    <row r="949" customFormat="1" ht="14.25" customHeight="1" x14ac:dyDescent="0.3"/>
    <row r="950" customFormat="1" ht="14.25" customHeight="1" x14ac:dyDescent="0.3"/>
    <row r="951" customFormat="1" ht="14.25" customHeight="1" x14ac:dyDescent="0.3"/>
    <row r="952" customFormat="1" ht="14.25" customHeight="1" x14ac:dyDescent="0.3"/>
    <row r="953" customFormat="1" ht="14.25" customHeight="1" x14ac:dyDescent="0.3"/>
    <row r="954" customFormat="1" ht="14.25" customHeight="1" x14ac:dyDescent="0.3"/>
    <row r="955" customFormat="1" ht="14.25" customHeight="1" x14ac:dyDescent="0.3"/>
    <row r="956" customFormat="1" ht="14.25" customHeight="1" x14ac:dyDescent="0.3"/>
    <row r="957" customFormat="1" ht="14.25" customHeight="1" x14ac:dyDescent="0.3"/>
    <row r="958" customFormat="1" ht="14.25" customHeight="1" x14ac:dyDescent="0.3"/>
    <row r="959" customFormat="1" ht="14.25" customHeight="1" x14ac:dyDescent="0.3"/>
    <row r="960" customFormat="1" ht="14.25" customHeight="1" x14ac:dyDescent="0.3"/>
    <row r="961" customFormat="1" ht="14.25" customHeight="1" x14ac:dyDescent="0.3"/>
    <row r="962" customFormat="1" ht="14.25" customHeight="1" x14ac:dyDescent="0.3"/>
    <row r="963" customFormat="1" ht="14.25" customHeight="1" x14ac:dyDescent="0.3"/>
    <row r="964" customFormat="1" ht="14.25" customHeight="1" x14ac:dyDescent="0.3"/>
    <row r="965" customFormat="1" ht="14.25" customHeight="1" x14ac:dyDescent="0.3"/>
    <row r="966" customFormat="1" ht="14.25" customHeight="1" x14ac:dyDescent="0.3"/>
    <row r="967" customFormat="1" ht="14.25" customHeight="1" x14ac:dyDescent="0.3"/>
    <row r="968" customFormat="1" ht="14.25" customHeight="1" x14ac:dyDescent="0.3"/>
    <row r="969" customFormat="1" ht="14.25" customHeight="1" x14ac:dyDescent="0.3"/>
    <row r="970" customFormat="1" ht="14.25" customHeight="1" x14ac:dyDescent="0.3"/>
    <row r="971" customFormat="1" ht="14.25" customHeight="1" x14ac:dyDescent="0.3"/>
    <row r="972" customFormat="1" ht="14.25" customHeight="1" x14ac:dyDescent="0.3"/>
    <row r="973" customFormat="1" ht="14.25" customHeight="1" x14ac:dyDescent="0.3"/>
    <row r="974" customFormat="1" ht="14.25" customHeight="1" x14ac:dyDescent="0.3"/>
    <row r="975" customFormat="1" ht="14.25" customHeight="1" x14ac:dyDescent="0.3"/>
    <row r="976" customFormat="1" ht="14.25" customHeight="1" x14ac:dyDescent="0.3"/>
    <row r="977" customFormat="1" ht="14.25" customHeight="1" x14ac:dyDescent="0.3"/>
    <row r="978" customFormat="1" ht="14.25" customHeight="1" x14ac:dyDescent="0.3"/>
    <row r="979" customFormat="1" ht="14.25" customHeight="1" x14ac:dyDescent="0.3"/>
    <row r="980" customFormat="1" ht="14.25" customHeight="1" x14ac:dyDescent="0.3"/>
    <row r="981" customFormat="1" ht="14.25" customHeight="1" x14ac:dyDescent="0.3"/>
    <row r="982" customFormat="1" ht="14.25" customHeight="1" x14ac:dyDescent="0.3"/>
    <row r="983" customFormat="1" ht="14.25" customHeight="1" x14ac:dyDescent="0.3"/>
    <row r="984" customFormat="1" ht="14.25" customHeight="1" x14ac:dyDescent="0.3"/>
    <row r="985" customFormat="1" ht="14.25" customHeight="1" x14ac:dyDescent="0.3"/>
    <row r="986" customFormat="1" ht="14.25" customHeight="1" x14ac:dyDescent="0.3"/>
    <row r="987" customFormat="1" ht="14.25" customHeight="1" x14ac:dyDescent="0.3"/>
    <row r="988" customFormat="1" ht="14.25" customHeight="1" x14ac:dyDescent="0.3"/>
    <row r="989" customFormat="1" ht="14.25" customHeight="1" x14ac:dyDescent="0.3"/>
    <row r="990" customFormat="1" ht="14.25" customHeight="1" x14ac:dyDescent="0.3"/>
    <row r="991" customFormat="1" ht="14.25" customHeight="1" x14ac:dyDescent="0.3"/>
    <row r="992" customFormat="1" ht="14.25" customHeight="1" x14ac:dyDescent="0.3"/>
    <row r="993" customFormat="1" ht="14.25" customHeight="1" x14ac:dyDescent="0.3"/>
    <row r="994" customFormat="1" ht="14.25" customHeight="1" x14ac:dyDescent="0.3"/>
    <row r="995" customFormat="1" ht="14.25" customHeight="1" x14ac:dyDescent="0.3"/>
    <row r="996" customFormat="1" ht="14.25" customHeight="1" x14ac:dyDescent="0.3"/>
    <row r="997" customFormat="1" ht="14.25" customHeight="1" x14ac:dyDescent="0.3"/>
    <row r="998" customFormat="1" ht="14.25" customHeight="1" x14ac:dyDescent="0.3"/>
    <row r="999" customFormat="1" ht="14.25" customHeight="1" x14ac:dyDescent="0.3"/>
    <row r="1000" customFormat="1" ht="14.25" customHeight="1" x14ac:dyDescent="0.3"/>
    <row r="1001" customFormat="1" ht="14.25" customHeight="1" x14ac:dyDescent="0.3"/>
    <row r="1002" customFormat="1" ht="14.25" customHeight="1" x14ac:dyDescent="0.3"/>
    <row r="1003" customFormat="1" ht="14.25" customHeight="1" x14ac:dyDescent="0.3"/>
    <row r="1004" customFormat="1" ht="14.25" customHeight="1" x14ac:dyDescent="0.3"/>
    <row r="1005" customFormat="1" ht="14.25" customHeight="1" x14ac:dyDescent="0.3"/>
    <row r="1006" customFormat="1" ht="14.25" customHeight="1" x14ac:dyDescent="0.3"/>
  </sheetData>
  <dataValidations count="3">
    <dataValidation type="list" allowBlank="1" sqref="D77 D72:D75 D79 D82" xr:uid="{98EE8EE8-CD57-4A7A-A441-8099DB66B7C0}">
      <formula1>S168318900714774wDro</formula1>
    </dataValidation>
    <dataValidation type="list" allowBlank="1" sqref="A56:A58" xr:uid="{D855108E-FA4A-43E3-84E8-A78C5CD3DC71}">
      <formula1>S1683189007148107snpr</formula1>
    </dataValidation>
    <dataValidation type="list" allowBlank="1" sqref="A2:A5 A7:A9 A38 A33:A36 A25 A12:A13 A27:A28 A15:A18 A85" xr:uid="{EA15F481-F2EA-43F4-AD83-EE489DFBCB3C}">
      <formula1>S1672023810596102xcte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2025-01-13T03:35:21Z</dcterms:modified>
</cp:coreProperties>
</file>