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/>
  <mc:AlternateContent xmlns:mc="http://schemas.openxmlformats.org/markup-compatibility/2006">
    <mc:Choice Requires="x15">
      <x15ac:absPath xmlns:x15ac="http://schemas.microsoft.com/office/spreadsheetml/2010/11/ac" url="/Users/deepak/Documents/GitHub/dv-options-income-analyzer/"/>
    </mc:Choice>
  </mc:AlternateContent>
  <bookViews>
    <workbookView xWindow="12400" yWindow="540" windowWidth="28560" windowHeight="17380" tabRatio="500"/>
  </bookViews>
  <sheets>
    <sheet name="Holdings" sheetId="1" r:id="rId1"/>
    <sheet name="Sector Metrics" sheetId="5" state="hidden" r:id="rId2"/>
    <sheet name="Industry Metrics" sheetId="6" state="hidden" r:id="rId3"/>
    <sheet name="Industry Metrics 2" sheetId="7" state="hidden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77" i="7" l="1"/>
  <c r="I77" i="7"/>
  <c r="H77" i="7"/>
  <c r="G77" i="7"/>
  <c r="F77" i="7"/>
  <c r="D77" i="7"/>
  <c r="C77" i="7"/>
  <c r="A76" i="7"/>
  <c r="B77" i="7"/>
  <c r="J76" i="7"/>
  <c r="I76" i="7"/>
  <c r="H76" i="7"/>
  <c r="G76" i="7"/>
  <c r="F76" i="7"/>
  <c r="D76" i="7"/>
  <c r="C76" i="7"/>
  <c r="A75" i="7"/>
  <c r="B76" i="7"/>
  <c r="J75" i="7"/>
  <c r="I75" i="7"/>
  <c r="H75" i="7"/>
  <c r="G75" i="7"/>
  <c r="F75" i="7"/>
  <c r="E75" i="7"/>
  <c r="D75" i="7"/>
  <c r="C75" i="7"/>
  <c r="A74" i="7"/>
  <c r="B75" i="7"/>
  <c r="J74" i="7"/>
  <c r="I74" i="7"/>
  <c r="H74" i="7"/>
  <c r="G74" i="7"/>
  <c r="F74" i="7"/>
  <c r="E74" i="7"/>
  <c r="D74" i="7"/>
  <c r="C74" i="7"/>
  <c r="A73" i="7"/>
  <c r="B74" i="7"/>
  <c r="J73" i="7"/>
  <c r="I73" i="7"/>
  <c r="H73" i="7"/>
  <c r="G73" i="7"/>
  <c r="F73" i="7"/>
  <c r="E73" i="7"/>
  <c r="D73" i="7"/>
  <c r="C73" i="7"/>
  <c r="A72" i="7"/>
  <c r="B73" i="7"/>
  <c r="J72" i="7"/>
  <c r="I72" i="7"/>
  <c r="H72" i="7"/>
  <c r="G72" i="7"/>
  <c r="F72" i="7"/>
  <c r="E72" i="7"/>
  <c r="D72" i="7"/>
  <c r="C72" i="7"/>
  <c r="A71" i="7"/>
  <c r="B72" i="7"/>
  <c r="J71" i="7"/>
  <c r="I71" i="7"/>
  <c r="H71" i="7"/>
  <c r="G71" i="7"/>
  <c r="F71" i="7"/>
  <c r="E71" i="7"/>
  <c r="D71" i="7"/>
  <c r="C71" i="7"/>
  <c r="A70" i="7"/>
  <c r="B71" i="7"/>
  <c r="J70" i="7"/>
  <c r="I70" i="7"/>
  <c r="H70" i="7"/>
  <c r="G70" i="7"/>
  <c r="F70" i="7"/>
  <c r="E70" i="7"/>
  <c r="D70" i="7"/>
  <c r="C70" i="7"/>
  <c r="A69" i="7"/>
  <c r="B70" i="7"/>
  <c r="J69" i="7"/>
  <c r="I69" i="7"/>
  <c r="H69" i="7"/>
  <c r="G69" i="7"/>
  <c r="F69" i="7"/>
  <c r="E69" i="7"/>
  <c r="D69" i="7"/>
  <c r="C69" i="7"/>
  <c r="A68" i="7"/>
  <c r="B69" i="7"/>
  <c r="J68" i="7"/>
  <c r="I68" i="7"/>
  <c r="H68" i="7"/>
  <c r="G68" i="7"/>
  <c r="F68" i="7"/>
  <c r="E68" i="7"/>
  <c r="D68" i="7"/>
  <c r="C68" i="7"/>
  <c r="A67" i="7"/>
  <c r="B68" i="7"/>
  <c r="J67" i="7"/>
  <c r="I67" i="7"/>
  <c r="H67" i="7"/>
  <c r="G67" i="7"/>
  <c r="F67" i="7"/>
  <c r="E67" i="7"/>
  <c r="D67" i="7"/>
  <c r="C67" i="7"/>
  <c r="A66" i="7"/>
  <c r="B67" i="7"/>
  <c r="J66" i="7"/>
  <c r="I66" i="7"/>
  <c r="H66" i="7"/>
  <c r="G66" i="7"/>
  <c r="F66" i="7"/>
  <c r="E66" i="7"/>
  <c r="D66" i="7"/>
  <c r="C66" i="7"/>
  <c r="A65" i="7"/>
  <c r="B66" i="7"/>
  <c r="J65" i="7"/>
  <c r="I65" i="7"/>
  <c r="H65" i="7"/>
  <c r="G65" i="7"/>
  <c r="F65" i="7"/>
  <c r="E65" i="7"/>
  <c r="D65" i="7"/>
  <c r="C65" i="7"/>
  <c r="A64" i="7"/>
  <c r="B65" i="7"/>
  <c r="J64" i="7"/>
  <c r="I64" i="7"/>
  <c r="H64" i="7"/>
  <c r="G64" i="7"/>
  <c r="F64" i="7"/>
  <c r="E64" i="7"/>
  <c r="D64" i="7"/>
  <c r="C64" i="7"/>
  <c r="A63" i="7"/>
  <c r="B64" i="7"/>
  <c r="J63" i="7"/>
  <c r="I63" i="7"/>
  <c r="H63" i="7"/>
  <c r="G63" i="7"/>
  <c r="F63" i="7"/>
  <c r="E63" i="7"/>
  <c r="D63" i="7"/>
  <c r="C63" i="7"/>
  <c r="A62" i="7"/>
  <c r="B63" i="7"/>
  <c r="J62" i="7"/>
  <c r="I62" i="7"/>
  <c r="H62" i="7"/>
  <c r="G62" i="7"/>
  <c r="F62" i="7"/>
  <c r="E62" i="7"/>
  <c r="D62" i="7"/>
  <c r="C62" i="7"/>
  <c r="A61" i="7"/>
  <c r="B62" i="7"/>
  <c r="J61" i="7"/>
  <c r="I61" i="7"/>
  <c r="H61" i="7"/>
  <c r="G61" i="7"/>
  <c r="F61" i="7"/>
  <c r="E61" i="7"/>
  <c r="D61" i="7"/>
  <c r="C61" i="7"/>
  <c r="A60" i="7"/>
  <c r="B61" i="7"/>
  <c r="J60" i="7"/>
  <c r="I60" i="7"/>
  <c r="H60" i="7"/>
  <c r="G60" i="7"/>
  <c r="F60" i="7"/>
  <c r="E60" i="7"/>
  <c r="D60" i="7"/>
  <c r="C60" i="7"/>
  <c r="A59" i="7"/>
  <c r="B60" i="7"/>
  <c r="J59" i="7"/>
  <c r="I59" i="7"/>
  <c r="H59" i="7"/>
  <c r="G59" i="7"/>
  <c r="F59" i="7"/>
  <c r="E59" i="7"/>
  <c r="D59" i="7"/>
  <c r="C59" i="7"/>
  <c r="A58" i="7"/>
  <c r="B59" i="7"/>
  <c r="J58" i="7"/>
  <c r="I58" i="7"/>
  <c r="H58" i="7"/>
  <c r="G58" i="7"/>
  <c r="F58" i="7"/>
  <c r="E58" i="7"/>
  <c r="D58" i="7"/>
  <c r="C58" i="7"/>
  <c r="A57" i="7"/>
  <c r="B58" i="7"/>
  <c r="J57" i="7"/>
  <c r="I57" i="7"/>
  <c r="H57" i="7"/>
  <c r="G57" i="7"/>
  <c r="F57" i="7"/>
  <c r="E57" i="7"/>
  <c r="D57" i="7"/>
  <c r="C57" i="7"/>
  <c r="A56" i="7"/>
  <c r="B57" i="7"/>
  <c r="J56" i="7"/>
  <c r="I56" i="7"/>
  <c r="H56" i="7"/>
  <c r="G56" i="7"/>
  <c r="F56" i="7"/>
  <c r="E56" i="7"/>
  <c r="D56" i="7"/>
  <c r="C56" i="7"/>
  <c r="A55" i="7"/>
  <c r="B56" i="7"/>
  <c r="J55" i="7"/>
  <c r="I55" i="7"/>
  <c r="H55" i="7"/>
  <c r="G55" i="7"/>
  <c r="F55" i="7"/>
  <c r="E55" i="7"/>
  <c r="D55" i="7"/>
  <c r="C55" i="7"/>
  <c r="A54" i="7"/>
  <c r="B55" i="7"/>
  <c r="J54" i="7"/>
  <c r="I54" i="7"/>
  <c r="H54" i="7"/>
  <c r="G54" i="7"/>
  <c r="F54" i="7"/>
  <c r="E54" i="7"/>
  <c r="D54" i="7"/>
  <c r="C54" i="7"/>
  <c r="A53" i="7"/>
  <c r="B54" i="7"/>
  <c r="J53" i="7"/>
  <c r="I53" i="7"/>
  <c r="H53" i="7"/>
  <c r="G53" i="7"/>
  <c r="F53" i="7"/>
  <c r="E53" i="7"/>
  <c r="D53" i="7"/>
  <c r="C53" i="7"/>
  <c r="A52" i="7"/>
  <c r="B53" i="7"/>
  <c r="J52" i="7"/>
  <c r="I52" i="7"/>
  <c r="H52" i="7"/>
  <c r="G52" i="7"/>
  <c r="F52" i="7"/>
  <c r="E52" i="7"/>
  <c r="D52" i="7"/>
  <c r="C52" i="7"/>
  <c r="A51" i="7"/>
  <c r="B52" i="7"/>
  <c r="J51" i="7"/>
  <c r="I51" i="7"/>
  <c r="H51" i="7"/>
  <c r="G51" i="7"/>
  <c r="F51" i="7"/>
  <c r="E51" i="7"/>
  <c r="D51" i="7"/>
  <c r="C51" i="7"/>
  <c r="A50" i="7"/>
  <c r="B51" i="7"/>
  <c r="J50" i="7"/>
  <c r="I50" i="7"/>
  <c r="H50" i="7"/>
  <c r="G50" i="7"/>
  <c r="F50" i="7"/>
  <c r="E50" i="7"/>
  <c r="D50" i="7"/>
  <c r="C50" i="7"/>
  <c r="A49" i="7"/>
  <c r="B50" i="7"/>
  <c r="J49" i="7"/>
  <c r="I49" i="7"/>
  <c r="H49" i="7"/>
  <c r="G49" i="7"/>
  <c r="F49" i="7"/>
  <c r="E49" i="7"/>
  <c r="D49" i="7"/>
  <c r="C49" i="7"/>
  <c r="A48" i="7"/>
  <c r="B49" i="7"/>
  <c r="J48" i="7"/>
  <c r="I48" i="7"/>
  <c r="H48" i="7"/>
  <c r="G48" i="7"/>
  <c r="F48" i="7"/>
  <c r="E48" i="7"/>
  <c r="D48" i="7"/>
  <c r="C48" i="7"/>
  <c r="A47" i="7"/>
  <c r="B48" i="7"/>
  <c r="J47" i="7"/>
  <c r="I47" i="7"/>
  <c r="H47" i="7"/>
  <c r="G47" i="7"/>
  <c r="F47" i="7"/>
  <c r="E47" i="7"/>
  <c r="D47" i="7"/>
  <c r="C47" i="7"/>
  <c r="A46" i="7"/>
  <c r="B47" i="7"/>
  <c r="J46" i="7"/>
  <c r="I46" i="7"/>
  <c r="H46" i="7"/>
  <c r="G46" i="7"/>
  <c r="F46" i="7"/>
  <c r="E46" i="7"/>
  <c r="D46" i="7"/>
  <c r="C46" i="7"/>
  <c r="A45" i="7"/>
  <c r="B46" i="7"/>
  <c r="J45" i="7"/>
  <c r="I45" i="7"/>
  <c r="H45" i="7"/>
  <c r="G45" i="7"/>
  <c r="F45" i="7"/>
  <c r="E45" i="7"/>
  <c r="D45" i="7"/>
  <c r="C45" i="7"/>
  <c r="A44" i="7"/>
  <c r="B45" i="7"/>
  <c r="J44" i="7"/>
  <c r="I44" i="7"/>
  <c r="H44" i="7"/>
  <c r="G44" i="7"/>
  <c r="F44" i="7"/>
  <c r="E44" i="7"/>
  <c r="D44" i="7"/>
  <c r="C44" i="7"/>
  <c r="A43" i="7"/>
  <c r="B44" i="7"/>
  <c r="J43" i="7"/>
  <c r="I43" i="7"/>
  <c r="H43" i="7"/>
  <c r="G43" i="7"/>
  <c r="F43" i="7"/>
  <c r="E43" i="7"/>
  <c r="D43" i="7"/>
  <c r="C43" i="7"/>
  <c r="A42" i="7"/>
  <c r="B43" i="7"/>
  <c r="J42" i="7"/>
  <c r="I42" i="7"/>
  <c r="H42" i="7"/>
  <c r="G42" i="7"/>
  <c r="F42" i="7"/>
  <c r="E42" i="7"/>
  <c r="D42" i="7"/>
  <c r="C42" i="7"/>
  <c r="A41" i="7"/>
  <c r="B42" i="7"/>
  <c r="J41" i="7"/>
  <c r="I41" i="7"/>
  <c r="H41" i="7"/>
  <c r="G41" i="7"/>
  <c r="F41" i="7"/>
  <c r="E41" i="7"/>
  <c r="D41" i="7"/>
  <c r="C41" i="7"/>
  <c r="A40" i="7"/>
  <c r="B41" i="7"/>
  <c r="J40" i="7"/>
  <c r="I40" i="7"/>
  <c r="H40" i="7"/>
  <c r="G40" i="7"/>
  <c r="F40" i="7"/>
  <c r="E40" i="7"/>
  <c r="D40" i="7"/>
  <c r="C40" i="7"/>
  <c r="A39" i="7"/>
  <c r="B40" i="7"/>
  <c r="J39" i="7"/>
  <c r="I39" i="7"/>
  <c r="H39" i="7"/>
  <c r="G39" i="7"/>
  <c r="F39" i="7"/>
  <c r="E39" i="7"/>
  <c r="D39" i="7"/>
  <c r="C39" i="7"/>
  <c r="A38" i="7"/>
  <c r="B39" i="7"/>
  <c r="J38" i="7"/>
  <c r="I38" i="7"/>
  <c r="H38" i="7"/>
  <c r="G38" i="7"/>
  <c r="F38" i="7"/>
  <c r="E38" i="7"/>
  <c r="D38" i="7"/>
  <c r="C38" i="7"/>
  <c r="A37" i="7"/>
  <c r="B38" i="7"/>
  <c r="J37" i="7"/>
  <c r="I37" i="7"/>
  <c r="H37" i="7"/>
  <c r="G37" i="7"/>
  <c r="F37" i="7"/>
  <c r="E37" i="7"/>
  <c r="D37" i="7"/>
  <c r="C37" i="7"/>
  <c r="A36" i="7"/>
  <c r="B37" i="7"/>
  <c r="J36" i="7"/>
  <c r="I36" i="7"/>
  <c r="H36" i="7"/>
  <c r="G36" i="7"/>
  <c r="F36" i="7"/>
  <c r="E36" i="7"/>
  <c r="D36" i="7"/>
  <c r="C36" i="7"/>
  <c r="A35" i="7"/>
  <c r="B36" i="7"/>
  <c r="J35" i="7"/>
  <c r="I35" i="7"/>
  <c r="H35" i="7"/>
  <c r="G35" i="7"/>
  <c r="F35" i="7"/>
  <c r="E35" i="7"/>
  <c r="D35" i="7"/>
  <c r="C35" i="7"/>
  <c r="A34" i="7"/>
  <c r="B35" i="7"/>
  <c r="J34" i="7"/>
  <c r="I34" i="7"/>
  <c r="H34" i="7"/>
  <c r="G34" i="7"/>
  <c r="F34" i="7"/>
  <c r="E34" i="7"/>
  <c r="D34" i="7"/>
  <c r="C34" i="7"/>
  <c r="A33" i="7"/>
  <c r="B34" i="7"/>
  <c r="J33" i="7"/>
  <c r="I33" i="7"/>
  <c r="H33" i="7"/>
  <c r="G33" i="7"/>
  <c r="F33" i="7"/>
  <c r="E33" i="7"/>
  <c r="D33" i="7"/>
  <c r="C33" i="7"/>
  <c r="A32" i="7"/>
  <c r="B33" i="7"/>
  <c r="J32" i="7"/>
  <c r="I32" i="7"/>
  <c r="H32" i="7"/>
  <c r="G32" i="7"/>
  <c r="F32" i="7"/>
  <c r="E32" i="7"/>
  <c r="D32" i="7"/>
  <c r="C32" i="7"/>
  <c r="A31" i="7"/>
  <c r="B32" i="7"/>
  <c r="J31" i="7"/>
  <c r="I31" i="7"/>
  <c r="H31" i="7"/>
  <c r="G31" i="7"/>
  <c r="F31" i="7"/>
  <c r="E31" i="7"/>
  <c r="D31" i="7"/>
  <c r="C31" i="7"/>
  <c r="A30" i="7"/>
  <c r="B31" i="7"/>
  <c r="J30" i="7"/>
  <c r="I30" i="7"/>
  <c r="H30" i="7"/>
  <c r="G30" i="7"/>
  <c r="F30" i="7"/>
  <c r="E30" i="7"/>
  <c r="D30" i="7"/>
  <c r="C30" i="7"/>
  <c r="A29" i="7"/>
  <c r="B30" i="7"/>
  <c r="J29" i="7"/>
  <c r="I29" i="7"/>
  <c r="H29" i="7"/>
  <c r="G29" i="7"/>
  <c r="F29" i="7"/>
  <c r="E29" i="7"/>
  <c r="D29" i="7"/>
  <c r="C29" i="7"/>
  <c r="A28" i="7"/>
  <c r="B29" i="7"/>
  <c r="J28" i="7"/>
  <c r="I28" i="7"/>
  <c r="H28" i="7"/>
  <c r="G28" i="7"/>
  <c r="F28" i="7"/>
  <c r="E28" i="7"/>
  <c r="D28" i="7"/>
  <c r="C28" i="7"/>
  <c r="A27" i="7"/>
  <c r="B28" i="7"/>
  <c r="J27" i="7"/>
  <c r="I27" i="7"/>
  <c r="H27" i="7"/>
  <c r="G27" i="7"/>
  <c r="F27" i="7"/>
  <c r="E27" i="7"/>
  <c r="D27" i="7"/>
  <c r="C27" i="7"/>
  <c r="A26" i="7"/>
  <c r="B27" i="7"/>
  <c r="J26" i="7"/>
  <c r="I26" i="7"/>
  <c r="H26" i="7"/>
  <c r="G26" i="7"/>
  <c r="F26" i="7"/>
  <c r="E26" i="7"/>
  <c r="D26" i="7"/>
  <c r="C26" i="7"/>
  <c r="A25" i="7"/>
  <c r="B26" i="7"/>
  <c r="J25" i="7"/>
  <c r="I25" i="7"/>
  <c r="H25" i="7"/>
  <c r="G25" i="7"/>
  <c r="F25" i="7"/>
  <c r="E25" i="7"/>
  <c r="D25" i="7"/>
  <c r="C25" i="7"/>
  <c r="A24" i="7"/>
  <c r="B25" i="7"/>
  <c r="J24" i="7"/>
  <c r="I24" i="7"/>
  <c r="H24" i="7"/>
  <c r="G24" i="7"/>
  <c r="F24" i="7"/>
  <c r="E24" i="7"/>
  <c r="D24" i="7"/>
  <c r="C24" i="7"/>
  <c r="A23" i="7"/>
  <c r="B24" i="7"/>
  <c r="J23" i="7"/>
  <c r="I23" i="7"/>
  <c r="H23" i="7"/>
  <c r="G23" i="7"/>
  <c r="F23" i="7"/>
  <c r="E23" i="7"/>
  <c r="D23" i="7"/>
  <c r="C23" i="7"/>
  <c r="A22" i="7"/>
  <c r="B23" i="7"/>
  <c r="J22" i="7"/>
  <c r="I22" i="7"/>
  <c r="H22" i="7"/>
  <c r="G22" i="7"/>
  <c r="F22" i="7"/>
  <c r="E22" i="7"/>
  <c r="D22" i="7"/>
  <c r="C22" i="7"/>
  <c r="A21" i="7"/>
  <c r="B22" i="7"/>
  <c r="J21" i="7"/>
  <c r="I21" i="7"/>
  <c r="H21" i="7"/>
  <c r="G21" i="7"/>
  <c r="F21" i="7"/>
  <c r="E21" i="7"/>
  <c r="D21" i="7"/>
  <c r="C21" i="7"/>
  <c r="A20" i="7"/>
  <c r="B21" i="7"/>
  <c r="J20" i="7"/>
  <c r="I20" i="7"/>
  <c r="H20" i="7"/>
  <c r="G20" i="7"/>
  <c r="F20" i="7"/>
  <c r="E20" i="7"/>
  <c r="D20" i="7"/>
  <c r="C20" i="7"/>
  <c r="A19" i="7"/>
  <c r="B20" i="7"/>
  <c r="J19" i="7"/>
  <c r="I19" i="7"/>
  <c r="H19" i="7"/>
  <c r="G19" i="7"/>
  <c r="F19" i="7"/>
  <c r="E19" i="7"/>
  <c r="D19" i="7"/>
  <c r="C19" i="7"/>
  <c r="A18" i="7"/>
  <c r="B19" i="7"/>
  <c r="J18" i="7"/>
  <c r="I18" i="7"/>
  <c r="H18" i="7"/>
  <c r="G18" i="7"/>
  <c r="F18" i="7"/>
  <c r="E18" i="7"/>
  <c r="D18" i="7"/>
  <c r="C18" i="7"/>
  <c r="A17" i="7"/>
  <c r="B18" i="7"/>
  <c r="J17" i="7"/>
  <c r="I17" i="7"/>
  <c r="H17" i="7"/>
  <c r="G17" i="7"/>
  <c r="F17" i="7"/>
  <c r="E17" i="7"/>
  <c r="D17" i="7"/>
  <c r="C17" i="7"/>
  <c r="A16" i="7"/>
  <c r="B17" i="7"/>
  <c r="J16" i="7"/>
  <c r="I16" i="7"/>
  <c r="H16" i="7"/>
  <c r="G16" i="7"/>
  <c r="F16" i="7"/>
  <c r="E16" i="7"/>
  <c r="D16" i="7"/>
  <c r="C16" i="7"/>
  <c r="A15" i="7"/>
  <c r="B16" i="7"/>
  <c r="J15" i="7"/>
  <c r="I15" i="7"/>
  <c r="H15" i="7"/>
  <c r="G15" i="7"/>
  <c r="F15" i="7"/>
  <c r="E15" i="7"/>
  <c r="D15" i="7"/>
  <c r="C15" i="7"/>
  <c r="A14" i="7"/>
  <c r="B15" i="7"/>
  <c r="J14" i="7"/>
  <c r="I14" i="7"/>
  <c r="H14" i="7"/>
  <c r="G14" i="7"/>
  <c r="F14" i="7"/>
  <c r="E14" i="7"/>
  <c r="D14" i="7"/>
  <c r="C14" i="7"/>
  <c r="A13" i="7"/>
  <c r="B14" i="7"/>
  <c r="J13" i="7"/>
  <c r="I13" i="7"/>
  <c r="H13" i="7"/>
  <c r="G13" i="7"/>
  <c r="F13" i="7"/>
  <c r="E13" i="7"/>
  <c r="D13" i="7"/>
  <c r="C13" i="7"/>
  <c r="A12" i="7"/>
  <c r="B13" i="7"/>
  <c r="J12" i="7"/>
  <c r="I12" i="7"/>
  <c r="H12" i="7"/>
  <c r="G12" i="7"/>
  <c r="F12" i="7"/>
  <c r="E12" i="7"/>
  <c r="D12" i="7"/>
  <c r="C12" i="7"/>
  <c r="A11" i="7"/>
  <c r="B12" i="7"/>
  <c r="J11" i="7"/>
  <c r="I11" i="7"/>
  <c r="H11" i="7"/>
  <c r="G11" i="7"/>
  <c r="F11" i="7"/>
  <c r="E11" i="7"/>
  <c r="D11" i="7"/>
  <c r="C11" i="7"/>
  <c r="A10" i="7"/>
  <c r="B11" i="7"/>
  <c r="J10" i="7"/>
  <c r="I10" i="7"/>
  <c r="H10" i="7"/>
  <c r="G10" i="7"/>
  <c r="F10" i="7"/>
  <c r="E10" i="7"/>
  <c r="D10" i="7"/>
  <c r="C10" i="7"/>
  <c r="A9" i="7"/>
  <c r="B10" i="7"/>
  <c r="J9" i="7"/>
  <c r="I9" i="7"/>
  <c r="H9" i="7"/>
  <c r="G9" i="7"/>
  <c r="F9" i="7"/>
  <c r="E9" i="7"/>
  <c r="D9" i="7"/>
  <c r="C9" i="7"/>
  <c r="A8" i="7"/>
  <c r="B9" i="7"/>
  <c r="J8" i="7"/>
  <c r="I8" i="7"/>
  <c r="H8" i="7"/>
  <c r="G8" i="7"/>
  <c r="F8" i="7"/>
  <c r="E8" i="7"/>
  <c r="D8" i="7"/>
  <c r="C8" i="7"/>
  <c r="A7" i="7"/>
  <c r="B8" i="7"/>
  <c r="J7" i="7"/>
  <c r="I7" i="7"/>
  <c r="H7" i="7"/>
  <c r="G7" i="7"/>
  <c r="F7" i="7"/>
  <c r="E7" i="7"/>
  <c r="D7" i="7"/>
  <c r="C7" i="7"/>
  <c r="A6" i="7"/>
  <c r="B7" i="7"/>
  <c r="J6" i="7"/>
  <c r="I6" i="7"/>
  <c r="H6" i="7"/>
  <c r="G6" i="7"/>
  <c r="F6" i="7"/>
  <c r="E6" i="7"/>
  <c r="D6" i="7"/>
  <c r="C6" i="7"/>
  <c r="A5" i="7"/>
  <c r="B6" i="7"/>
  <c r="J5" i="7"/>
  <c r="I5" i="7"/>
  <c r="H5" i="7"/>
  <c r="G5" i="7"/>
  <c r="F5" i="7"/>
  <c r="E5" i="7"/>
  <c r="D5" i="7"/>
  <c r="C5" i="7"/>
  <c r="J4" i="7"/>
  <c r="I4" i="7"/>
  <c r="H4" i="7"/>
  <c r="G4" i="7"/>
  <c r="F4" i="7"/>
  <c r="E4" i="7"/>
  <c r="D4" i="7"/>
  <c r="C4" i="7"/>
  <c r="A4" i="7"/>
  <c r="J3" i="7"/>
  <c r="I3" i="7"/>
  <c r="H3" i="7"/>
  <c r="G3" i="7"/>
  <c r="F3" i="7"/>
  <c r="E3" i="7"/>
  <c r="D3" i="7"/>
  <c r="C3" i="7"/>
  <c r="A2" i="7"/>
  <c r="A1" i="6"/>
  <c r="A1" i="5"/>
</calcChain>
</file>

<file path=xl/sharedStrings.xml><?xml version="1.0" encoding="utf-8"?>
<sst xmlns="http://schemas.openxmlformats.org/spreadsheetml/2006/main" count="73" uniqueCount="73">
  <si>
    <t>Shares</t>
  </si>
  <si>
    <t>AAPL</t>
  </si>
  <si>
    <t>AMZN</t>
  </si>
  <si>
    <t>NVDA</t>
  </si>
  <si>
    <t>FB</t>
  </si>
  <si>
    <t>GOOG</t>
  </si>
  <si>
    <t>MSFT</t>
  </si>
  <si>
    <t>TSLA</t>
  </si>
  <si>
    <t>Based on 2019</t>
  </si>
  <si>
    <t>Industry</t>
  </si>
  <si>
    <t>ROA</t>
  </si>
  <si>
    <t>ROE</t>
  </si>
  <si>
    <t>Quick Ratio</t>
  </si>
  <si>
    <t>Current Ratio</t>
  </si>
  <si>
    <t>Gross Margin</t>
  </si>
  <si>
    <t>Operating Margin</t>
  </si>
  <si>
    <t>Profit Margin</t>
  </si>
  <si>
    <t>Debt/Equity</t>
  </si>
  <si>
    <t>All Industries</t>
  </si>
  <si>
    <t>Ticker</t>
  </si>
  <si>
    <t>Cost</t>
  </si>
  <si>
    <t>TSM</t>
  </si>
  <si>
    <t>JPM</t>
  </si>
  <si>
    <t>V</t>
  </si>
  <si>
    <t>JNJ</t>
  </si>
  <si>
    <t>UNH</t>
  </si>
  <si>
    <t>BAC</t>
  </si>
  <si>
    <t>BABA</t>
  </si>
  <si>
    <t>PFE</t>
  </si>
  <si>
    <t>DIS</t>
  </si>
  <si>
    <t>NKE</t>
  </si>
  <si>
    <t>AMD</t>
  </si>
  <si>
    <t>ARKK</t>
  </si>
  <si>
    <t>COIN</t>
  </si>
  <si>
    <t>DAL</t>
  </si>
  <si>
    <t>DIDI</t>
  </si>
  <si>
    <t>IQ</t>
  </si>
  <si>
    <t>MELI</t>
  </si>
  <si>
    <t>NOK</t>
  </si>
  <si>
    <t>PANW</t>
  </si>
  <si>
    <t>PLTR</t>
  </si>
  <si>
    <t>PNC</t>
  </si>
  <si>
    <t>PYPL</t>
  </si>
  <si>
    <t>QCOM</t>
  </si>
  <si>
    <t>SPG</t>
  </si>
  <si>
    <t>UBER</t>
  </si>
  <si>
    <t>XBI</t>
  </si>
  <si>
    <t>XOM</t>
  </si>
  <si>
    <t>ASML</t>
  </si>
  <si>
    <t>TM</t>
  </si>
  <si>
    <t>AVGO</t>
  </si>
  <si>
    <t>ADBE</t>
  </si>
  <si>
    <t>CVX</t>
  </si>
  <si>
    <t>PEP</t>
  </si>
  <si>
    <t>LLY</t>
  </si>
  <si>
    <t>TMO</t>
  </si>
  <si>
    <t>ABBV</t>
  </si>
  <si>
    <t>ORCL</t>
  </si>
  <si>
    <t>CMCSA</t>
  </si>
  <si>
    <t>NFLX</t>
  </si>
  <si>
    <t>ABT</t>
  </si>
  <si>
    <t>COST</t>
  </si>
  <si>
    <t>ACN</t>
  </si>
  <si>
    <t>NVO</t>
  </si>
  <si>
    <t>CRM</t>
  </si>
  <si>
    <t>VZ</t>
  </si>
  <si>
    <t>INTC</t>
  </si>
  <si>
    <t>WFC</t>
  </si>
  <si>
    <t>T</t>
  </si>
  <si>
    <t>MS</t>
  </si>
  <si>
    <t>UPS</t>
  </si>
  <si>
    <t>AZN</t>
  </si>
  <si>
    <t>SCHW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</si>
</sst>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&quot;$&quot;* #,##0.0_);_(&quot;$&quot;* \(#,##0.0\);_(&quot;$&quot;* &quot;-&quot;??_);_(@_)"/>
    <numFmt numFmtId="165" formatCode="&quot;$&quot;#,##0.00"/>
    <numFmt numFmtId="166" formatCode="&quot;$&quot;#,##0.0"/>
  </numFmts>
  <fonts count="10" x14ac:knownFonts="1">
    <font>
      <sz val="11"/>
      <color theme="1"/>
      <name val="Arial"/>
    </font>
    <font>
      <sz val="11"/>
      <color rgb="FF000000"/>
      <name val="Calibri"/>
    </font>
    <font>
      <b/>
      <sz val="11"/>
      <color theme="1"/>
      <name val="Calibri"/>
    </font>
    <font>
      <sz val="11"/>
      <color theme="1"/>
      <name val="Calibri"/>
    </font>
    <font>
      <sz val="11"/>
      <color theme="1"/>
      <name val="Calibri"/>
    </font>
    <font>
      <b/>
      <sz val="11"/>
      <color theme="1"/>
      <name val="Calibri"/>
    </font>
    <font>
      <b/>
      <sz val="11"/>
      <color rgb="FF000000"/>
      <name val="Calibri"/>
    </font>
    <font>
      <sz val="11"/>
      <color rgb="FF000000"/>
      <name val="Calibri"/>
    </font>
    <font>
      <b/>
      <i/>
      <sz val="11"/>
      <color theme="1"/>
      <name val="Calibri"/>
    </font>
    <font>
      <b/>
      <sz val="14"/>
      <color rgb="FF2B2B2B"/>
      <name val="Helvetica"/>
    </font>
  </fonts>
  <fills count="4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 applyFont="1" applyAlignment="1"/>
    <xf numFmtId="0" fontId="6" fillId="0" borderId="0" xfId="0" applyFont="1" applyAlignment="1">
      <alignment horizontal="left" vertical="center"/>
    </xf>
    <xf numFmtId="0" fontId="1" fillId="3" borderId="0" xfId="0" applyFont="1" applyFill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7" fillId="0" borderId="0" xfId="0" applyFont="1"/>
    <xf numFmtId="0" fontId="7" fillId="0" borderId="0" xfId="0" applyFont="1" applyAlignment="1">
      <alignment horizontal="left" vertical="center"/>
    </xf>
    <xf numFmtId="0" fontId="1" fillId="3" borderId="0" xfId="0" applyFont="1" applyFill="1" applyAlignment="1">
      <alignment horizontal="left" vertical="center"/>
    </xf>
    <xf numFmtId="2" fontId="8" fillId="0" borderId="0" xfId="0" applyNumberFormat="1" applyFont="1" applyAlignment="1">
      <alignment horizontal="left"/>
    </xf>
    <xf numFmtId="2" fontId="5" fillId="0" borderId="0" xfId="0" applyNumberFormat="1" applyFont="1" applyAlignment="1">
      <alignment horizontal="left"/>
    </xf>
    <xf numFmtId="2" fontId="4" fillId="0" borderId="0" xfId="0" applyNumberFormat="1" applyFont="1" applyAlignment="1">
      <alignment horizontal="left"/>
    </xf>
    <xf numFmtId="2" fontId="1" fillId="3" borderId="0" xfId="0" applyNumberFormat="1" applyFont="1" applyFill="1" applyAlignment="1">
      <alignment horizontal="left"/>
    </xf>
    <xf numFmtId="2" fontId="5" fillId="0" borderId="0" xfId="0" applyNumberFormat="1" applyFont="1" applyAlignment="1">
      <alignment horizontal="left"/>
    </xf>
    <xf numFmtId="1" fontId="5" fillId="0" borderId="0" xfId="0" applyNumberFormat="1" applyFont="1" applyAlignment="1">
      <alignment horizontal="left"/>
    </xf>
    <xf numFmtId="2" fontId="4" fillId="2" borderId="0" xfId="0" applyNumberFormat="1" applyFont="1" applyFill="1" applyAlignment="1">
      <alignment horizontal="left"/>
    </xf>
    <xf numFmtId="2" fontId="4" fillId="2" borderId="0" xfId="0" applyNumberFormat="1" applyFont="1" applyFill="1" applyAlignment="1">
      <alignment horizontal="left"/>
    </xf>
    <xf numFmtId="2" fontId="4" fillId="0" borderId="0" xfId="0" applyNumberFormat="1" applyFont="1" applyAlignment="1">
      <alignment horizontal="left"/>
    </xf>
    <xf numFmtId="0" fontId="2" fillId="0" borderId="0" xfId="0" applyFont="1" applyFill="1" applyBorder="1" applyAlignment="1">
      <alignment horizontal="left" vertical="center"/>
    </xf>
    <xf numFmtId="164" fontId="3" fillId="0" borderId="0" xfId="0" applyNumberFormat="1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Fill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166" fontId="3" fillId="0" borderId="0" xfId="0" applyNumberFormat="1" applyFont="1" applyAlignment="1">
      <alignment horizontal="left" vertical="center"/>
    </xf>
    <xf numFmtId="165" fontId="2" fillId="0" borderId="0" xfId="0" applyNumberFormat="1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D6DCE4"/>
  </sheetPr>
  <dimension ref="A1:G101"/>
  <sheetViews>
    <sheetView tabSelected="1" topLeftCell="A18" workbookViewId="0">
      <pane xSplit="2" topLeftCell="C1" activePane="topRight" state="frozen"/>
      <selection pane="topRight" activeCell="B59" sqref="B59"/>
    </sheetView>
  </sheetViews>
  <sheetFormatPr baseColWidth="10" defaultColWidth="12.6640625" defaultRowHeight="15" customHeight="1" x14ac:dyDescent="0.15"/>
  <cols>
    <col min="1" max="1" width="12.6640625" style="20"/>
    <col min="2" max="2" width="13.1640625" style="20" customWidth="1"/>
    <col min="3" max="3" width="14.33203125" style="20" customWidth="1"/>
    <col min="4" max="4" width="12.6640625" style="19"/>
    <col min="5" max="16384" width="12.6640625" style="20"/>
  </cols>
  <sheetData>
    <row r="1" spans="1:7" ht="15" customHeight="1" x14ac:dyDescent="0.15">
      <c r="A1" s="16" t="s">
        <v>19</v>
      </c>
      <c r="B1" s="16" t="s">
        <v>20</v>
      </c>
      <c r="C1" s="16" t="s">
        <v>0</v>
      </c>
      <c r="G1" s="21"/>
    </row>
    <row r="2" spans="1:7" ht="15" customHeight="1" x14ac:dyDescent="0.15">
      <c r="A2" s="22" t="s">
        <v>1</v>
      </c>
      <c r="B2" s="17">
        <v>172.19</v>
      </c>
      <c r="C2" s="18">
        <v>370</v>
      </c>
      <c r="F2" s="23"/>
      <c r="G2" s="24"/>
    </row>
    <row r="3" spans="1:7" ht="15" customHeight="1" x14ac:dyDescent="0.15">
      <c r="A3" s="22" t="s">
        <v>6</v>
      </c>
      <c r="B3" s="17">
        <v>304.8</v>
      </c>
      <c r="C3" s="18">
        <v>710</v>
      </c>
      <c r="G3" s="24"/>
    </row>
    <row r="4" spans="1:7" ht="15" customHeight="1" x14ac:dyDescent="0.15">
      <c r="A4" s="22" t="s">
        <v>5</v>
      </c>
      <c r="B4" s="17">
        <v>2782.62</v>
      </c>
      <c r="C4" s="18">
        <v>35</v>
      </c>
      <c r="G4" s="24"/>
    </row>
    <row r="5" spans="1:7" ht="15" customHeight="1" x14ac:dyDescent="0.15">
      <c r="A5" s="22" t="s">
        <v>2</v>
      </c>
      <c r="B5" s="17">
        <v>3224.28</v>
      </c>
      <c r="C5" s="18">
        <v>220</v>
      </c>
      <c r="G5" s="24"/>
    </row>
    <row r="6" spans="1:7" ht="15" customHeight="1" x14ac:dyDescent="0.15">
      <c r="A6" s="22" t="s">
        <v>7</v>
      </c>
      <c r="B6" s="17">
        <v>1031.56</v>
      </c>
      <c r="C6" s="18">
        <v>1060</v>
      </c>
      <c r="G6" s="24"/>
    </row>
    <row r="7" spans="1:7" ht="15" customHeight="1" x14ac:dyDescent="0.15">
      <c r="A7" s="22" t="s">
        <v>4</v>
      </c>
      <c r="B7" s="17">
        <v>326.48</v>
      </c>
      <c r="C7" s="18">
        <v>300</v>
      </c>
      <c r="G7" s="24"/>
    </row>
    <row r="8" spans="1:7" ht="15" customHeight="1" x14ac:dyDescent="0.15">
      <c r="A8" s="22" t="s">
        <v>21</v>
      </c>
      <c r="B8" s="17">
        <v>139.19</v>
      </c>
      <c r="C8" s="18">
        <v>1050</v>
      </c>
      <c r="G8" s="24"/>
    </row>
    <row r="9" spans="1:7" ht="15" customHeight="1" x14ac:dyDescent="0.15">
      <c r="A9" s="22" t="s">
        <v>3</v>
      </c>
      <c r="B9" s="17">
        <v>265.75</v>
      </c>
      <c r="C9" s="18">
        <v>1400</v>
      </c>
      <c r="G9" s="24"/>
    </row>
    <row r="10" spans="1:7" ht="15" customHeight="1" x14ac:dyDescent="0.15">
      <c r="A10" s="22" t="s">
        <v>22</v>
      </c>
      <c r="B10" s="17">
        <v>168.23</v>
      </c>
      <c r="C10" s="18">
        <v>360</v>
      </c>
      <c r="G10" s="24"/>
    </row>
    <row r="11" spans="1:7" ht="15" customHeight="1" x14ac:dyDescent="0.15">
      <c r="A11" s="22" t="s">
        <v>23</v>
      </c>
      <c r="B11" s="17">
        <v>215</v>
      </c>
      <c r="C11" s="18">
        <v>95</v>
      </c>
      <c r="G11" s="24"/>
    </row>
    <row r="12" spans="1:7" ht="15" customHeight="1" x14ac:dyDescent="0.15">
      <c r="A12" s="22" t="s">
        <v>24</v>
      </c>
      <c r="B12" s="17">
        <v>168.76</v>
      </c>
      <c r="C12" s="18">
        <v>24</v>
      </c>
      <c r="G12" s="24"/>
    </row>
    <row r="13" spans="1:7" ht="15" customHeight="1" x14ac:dyDescent="0.15">
      <c r="A13" s="22" t="s">
        <v>25</v>
      </c>
      <c r="B13" s="17">
        <v>467.43</v>
      </c>
      <c r="C13" s="18">
        <v>800</v>
      </c>
      <c r="G13" s="24"/>
    </row>
    <row r="14" spans="1:7" x14ac:dyDescent="0.15">
      <c r="A14" s="22" t="s">
        <v>26</v>
      </c>
      <c r="B14" s="17">
        <v>48.76</v>
      </c>
      <c r="C14" s="18">
        <v>250</v>
      </c>
      <c r="G14" s="24"/>
    </row>
    <row r="15" spans="1:7" ht="15" customHeight="1" x14ac:dyDescent="0.15">
      <c r="A15" s="22" t="s">
        <v>31</v>
      </c>
      <c r="B15" s="17">
        <v>82.020340845000007</v>
      </c>
      <c r="C15" s="18">
        <v>710</v>
      </c>
      <c r="G15" s="24"/>
    </row>
    <row r="16" spans="1:7" ht="15" customHeight="1" x14ac:dyDescent="0.15">
      <c r="A16" s="22" t="s">
        <v>32</v>
      </c>
      <c r="B16" s="17">
        <v>97.02</v>
      </c>
      <c r="C16" s="18">
        <v>100</v>
      </c>
      <c r="G16" s="24"/>
    </row>
    <row r="17" spans="1:7" x14ac:dyDescent="0.15">
      <c r="A17" s="22" t="s">
        <v>27</v>
      </c>
      <c r="B17" s="17">
        <v>213.02322272699999</v>
      </c>
      <c r="C17" s="18">
        <v>220</v>
      </c>
      <c r="G17" s="24"/>
    </row>
    <row r="18" spans="1:7" ht="15" customHeight="1" x14ac:dyDescent="0.15">
      <c r="A18" s="22" t="s">
        <v>33</v>
      </c>
      <c r="B18" s="17">
        <v>261.33841666699999</v>
      </c>
      <c r="C18" s="18">
        <v>300</v>
      </c>
      <c r="G18" s="24"/>
    </row>
    <row r="19" spans="1:7" ht="15" customHeight="1" x14ac:dyDescent="0.15">
      <c r="A19" s="22" t="s">
        <v>34</v>
      </c>
      <c r="B19" s="17">
        <v>41.292628571000002</v>
      </c>
      <c r="C19" s="18">
        <v>1050</v>
      </c>
      <c r="G19" s="24"/>
    </row>
    <row r="20" spans="1:7" ht="15" customHeight="1" x14ac:dyDescent="0.15">
      <c r="A20" s="22" t="s">
        <v>35</v>
      </c>
      <c r="B20" s="17">
        <v>11.404442856999999</v>
      </c>
      <c r="C20" s="18">
        <v>1400</v>
      </c>
      <c r="G20" s="24"/>
    </row>
    <row r="21" spans="1:7" ht="15" customHeight="1" x14ac:dyDescent="0.15">
      <c r="A21" s="22" t="s">
        <v>29</v>
      </c>
      <c r="B21" s="17">
        <v>152.28787500000001</v>
      </c>
      <c r="C21" s="18">
        <v>360</v>
      </c>
      <c r="G21" s="24"/>
    </row>
    <row r="22" spans="1:7" ht="15" customHeight="1" x14ac:dyDescent="0.15">
      <c r="A22" s="22" t="s">
        <v>36</v>
      </c>
      <c r="B22" s="17">
        <v>9.9809999999999999</v>
      </c>
      <c r="C22" s="18">
        <v>800</v>
      </c>
      <c r="G22" s="24"/>
    </row>
    <row r="23" spans="1:7" ht="15" customHeight="1" x14ac:dyDescent="0.15">
      <c r="A23" s="22" t="s">
        <v>37</v>
      </c>
      <c r="B23" s="17">
        <v>1288.712</v>
      </c>
      <c r="C23" s="18">
        <v>30</v>
      </c>
      <c r="G23" s="24"/>
    </row>
    <row r="24" spans="1:7" ht="15" customHeight="1" x14ac:dyDescent="0.15">
      <c r="A24" s="22" t="s">
        <v>30</v>
      </c>
      <c r="B24" s="17">
        <v>0</v>
      </c>
      <c r="C24" s="18">
        <v>0</v>
      </c>
      <c r="G24" s="24"/>
    </row>
    <row r="25" spans="1:7" ht="15" customHeight="1" x14ac:dyDescent="0.15">
      <c r="A25" s="22" t="s">
        <v>38</v>
      </c>
      <c r="B25" s="17">
        <v>0</v>
      </c>
      <c r="C25" s="18">
        <v>0</v>
      </c>
      <c r="G25" s="24"/>
    </row>
    <row r="26" spans="1:7" ht="15" customHeight="1" x14ac:dyDescent="0.15">
      <c r="A26" s="22" t="s">
        <v>39</v>
      </c>
      <c r="B26" s="17">
        <v>0</v>
      </c>
      <c r="C26" s="18">
        <v>0</v>
      </c>
      <c r="G26" s="24"/>
    </row>
    <row r="27" spans="1:7" ht="15" customHeight="1" x14ac:dyDescent="0.15">
      <c r="A27" s="22" t="s">
        <v>28</v>
      </c>
      <c r="B27" s="17">
        <v>0</v>
      </c>
      <c r="C27" s="18">
        <v>0</v>
      </c>
      <c r="G27" s="24"/>
    </row>
    <row r="28" spans="1:7" ht="15" customHeight="1" x14ac:dyDescent="0.15">
      <c r="A28" s="22" t="s">
        <v>40</v>
      </c>
      <c r="B28" s="17">
        <v>0</v>
      </c>
      <c r="C28" s="18">
        <v>0</v>
      </c>
      <c r="G28" s="24"/>
    </row>
    <row r="29" spans="1:7" ht="15" customHeight="1" x14ac:dyDescent="0.15">
      <c r="A29" s="22" t="s">
        <v>41</v>
      </c>
      <c r="B29" s="17">
        <v>0</v>
      </c>
      <c r="C29" s="18">
        <v>0</v>
      </c>
      <c r="G29" s="24"/>
    </row>
    <row r="30" spans="1:7" ht="15" customHeight="1" x14ac:dyDescent="0.15">
      <c r="A30" s="22" t="s">
        <v>42</v>
      </c>
      <c r="B30" s="17">
        <v>0</v>
      </c>
      <c r="C30" s="18">
        <v>0</v>
      </c>
      <c r="G30" s="24"/>
    </row>
    <row r="31" spans="1:7" ht="15" customHeight="1" x14ac:dyDescent="0.15">
      <c r="A31" s="22" t="s">
        <v>43</v>
      </c>
      <c r="B31" s="17">
        <v>0</v>
      </c>
      <c r="C31" s="18">
        <v>0</v>
      </c>
      <c r="G31" s="24"/>
    </row>
    <row r="32" spans="1:7" ht="15" customHeight="1" x14ac:dyDescent="0.15">
      <c r="A32" s="22" t="s">
        <v>44</v>
      </c>
      <c r="B32" s="17">
        <v>0</v>
      </c>
      <c r="C32" s="18">
        <v>0</v>
      </c>
      <c r="G32" s="19"/>
    </row>
    <row r="33" spans="1:7" ht="15" customHeight="1" x14ac:dyDescent="0.15">
      <c r="A33" s="22" t="s">
        <v>45</v>
      </c>
      <c r="B33" s="17">
        <v>0</v>
      </c>
      <c r="C33" s="18">
        <v>0</v>
      </c>
      <c r="G33" s="25"/>
    </row>
    <row r="34" spans="1:7" ht="15" customHeight="1" x14ac:dyDescent="0.15">
      <c r="A34" s="22" t="s">
        <v>46</v>
      </c>
      <c r="B34" s="17">
        <v>0</v>
      </c>
      <c r="C34" s="18">
        <v>0</v>
      </c>
      <c r="G34" s="25"/>
    </row>
    <row r="35" spans="1:7" ht="15" customHeight="1" x14ac:dyDescent="0.15">
      <c r="A35" s="22" t="s">
        <v>47</v>
      </c>
      <c r="B35" s="17">
        <v>0</v>
      </c>
      <c r="C35" s="18">
        <v>0</v>
      </c>
    </row>
    <row r="36" spans="1:7" ht="15" customHeight="1" x14ac:dyDescent="0.15">
      <c r="A36" s="22" t="s">
        <v>48</v>
      </c>
      <c r="B36" s="17">
        <v>0</v>
      </c>
      <c r="C36" s="18">
        <v>0</v>
      </c>
    </row>
    <row r="37" spans="1:7" ht="15" customHeight="1" x14ac:dyDescent="0.15">
      <c r="A37" s="22" t="s">
        <v>49</v>
      </c>
      <c r="B37" s="17">
        <v>0</v>
      </c>
      <c r="C37" s="18">
        <v>0</v>
      </c>
    </row>
    <row r="38" spans="1:7" ht="15" customHeight="1" x14ac:dyDescent="0.15">
      <c r="A38" s="22" t="s">
        <v>50</v>
      </c>
      <c r="B38" s="17">
        <v>0</v>
      </c>
      <c r="C38" s="18">
        <v>0</v>
      </c>
    </row>
    <row r="39" spans="1:7" ht="15" customHeight="1" x14ac:dyDescent="0.15">
      <c r="A39" s="22" t="s">
        <v>51</v>
      </c>
      <c r="B39" s="17">
        <v>0</v>
      </c>
      <c r="C39" s="18">
        <v>0</v>
      </c>
    </row>
    <row r="40" spans="1:7" ht="15" customHeight="1" x14ac:dyDescent="0.15">
      <c r="A40" s="22" t="s">
        <v>52</v>
      </c>
      <c r="B40" s="17">
        <v>0</v>
      </c>
      <c r="C40" s="18">
        <v>0</v>
      </c>
    </row>
    <row r="41" spans="1:7" ht="15" customHeight="1" x14ac:dyDescent="0.15">
      <c r="A41" s="22" t="s">
        <v>53</v>
      </c>
      <c r="B41" s="17">
        <v>0</v>
      </c>
      <c r="C41" s="18">
        <v>0</v>
      </c>
    </row>
    <row r="42" spans="1:7" ht="15" customHeight="1" x14ac:dyDescent="0.15">
      <c r="A42" s="22" t="s">
        <v>54</v>
      </c>
      <c r="B42" s="17">
        <v>0</v>
      </c>
      <c r="C42" s="18">
        <v>0</v>
      </c>
    </row>
    <row r="43" spans="1:7" ht="15" customHeight="1" x14ac:dyDescent="0.15">
      <c r="A43" s="22" t="s">
        <v>55</v>
      </c>
      <c r="B43" s="17">
        <v>0</v>
      </c>
      <c r="C43" s="18">
        <v>0</v>
      </c>
    </row>
    <row r="44" spans="1:7" ht="15" customHeight="1" x14ac:dyDescent="0.15">
      <c r="A44" s="22" t="s">
        <v>56</v>
      </c>
      <c r="B44" s="17">
        <v>0</v>
      </c>
      <c r="C44" s="18">
        <v>0</v>
      </c>
    </row>
    <row r="45" spans="1:7" ht="15" customHeight="1" x14ac:dyDescent="0.15">
      <c r="A45" s="22" t="s">
        <v>57</v>
      </c>
      <c r="B45" s="17">
        <v>0</v>
      </c>
      <c r="C45" s="18">
        <v>0</v>
      </c>
    </row>
    <row r="46" spans="1:7" ht="15" customHeight="1" x14ac:dyDescent="0.15">
      <c r="A46" s="22" t="s">
        <v>58</v>
      </c>
      <c r="B46" s="17">
        <v>0</v>
      </c>
      <c r="C46" s="18">
        <v>0</v>
      </c>
    </row>
    <row r="47" spans="1:7" ht="15" customHeight="1" x14ac:dyDescent="0.15">
      <c r="A47" s="22" t="s">
        <v>59</v>
      </c>
      <c r="B47" s="17">
        <v>0</v>
      </c>
      <c r="C47" s="18">
        <v>0</v>
      </c>
    </row>
    <row r="48" spans="1:7" ht="15" customHeight="1" x14ac:dyDescent="0.15">
      <c r="A48" s="22" t="s">
        <v>60</v>
      </c>
      <c r="B48" s="17">
        <v>0</v>
      </c>
      <c r="C48" s="18">
        <v>0</v>
      </c>
    </row>
    <row r="49" spans="1:3" ht="15" customHeight="1" x14ac:dyDescent="0.15">
      <c r="A49" s="22" t="s">
        <v>61</v>
      </c>
      <c r="B49" s="17">
        <v>0</v>
      </c>
      <c r="C49" s="18">
        <v>0</v>
      </c>
    </row>
    <row r="50" spans="1:3" ht="15" customHeight="1" x14ac:dyDescent="0.15">
      <c r="A50" s="22" t="s">
        <v>62</v>
      </c>
      <c r="B50" s="17">
        <v>0</v>
      </c>
      <c r="C50" s="18">
        <v>0</v>
      </c>
    </row>
    <row r="51" spans="1:3" ht="15" customHeight="1" x14ac:dyDescent="0.15">
      <c r="A51" s="22" t="s">
        <v>63</v>
      </c>
      <c r="B51" s="17">
        <v>0</v>
      </c>
      <c r="C51" s="18">
        <v>0</v>
      </c>
    </row>
    <row r="52" spans="1:3" ht="15" customHeight="1" x14ac:dyDescent="0.15">
      <c r="A52" s="22" t="s">
        <v>64</v>
      </c>
      <c r="B52" s="17">
        <v>0</v>
      </c>
      <c r="C52" s="18">
        <v>0</v>
      </c>
    </row>
    <row r="53" spans="1:3" ht="15" customHeight="1" x14ac:dyDescent="0.15">
      <c r="A53" s="22" t="s">
        <v>65</v>
      </c>
      <c r="B53" s="17">
        <v>0</v>
      </c>
      <c r="C53" s="18">
        <v>0</v>
      </c>
    </row>
    <row r="54" spans="1:3" ht="15" customHeight="1" x14ac:dyDescent="0.15">
      <c r="A54" s="22" t="s">
        <v>66</v>
      </c>
      <c r="B54" s="17">
        <v>0</v>
      </c>
      <c r="C54" s="18">
        <v>0</v>
      </c>
    </row>
    <row r="55" spans="1:3" ht="15" customHeight="1" x14ac:dyDescent="0.15">
      <c r="A55" s="22" t="s">
        <v>67</v>
      </c>
      <c r="B55" s="17">
        <v>0</v>
      </c>
      <c r="C55" s="18">
        <v>0</v>
      </c>
    </row>
    <row r="56" spans="1:3" ht="15" customHeight="1" x14ac:dyDescent="0.15">
      <c r="A56" s="22" t="s">
        <v>68</v>
      </c>
      <c r="B56" s="17">
        <v>0</v>
      </c>
      <c r="C56" s="18">
        <v>0</v>
      </c>
    </row>
    <row r="57" spans="1:3" ht="15" customHeight="1" x14ac:dyDescent="0.15">
      <c r="A57" s="22" t="s">
        <v>69</v>
      </c>
      <c r="B57" s="17">
        <v>0</v>
      </c>
      <c r="C57" s="18">
        <v>0</v>
      </c>
    </row>
    <row r="58" spans="1:3" ht="15" customHeight="1" x14ac:dyDescent="0.15">
      <c r="A58" s="22" t="s">
        <v>70</v>
      </c>
      <c r="B58" s="17">
        <v>0</v>
      </c>
      <c r="C58" s="18">
        <v>0</v>
      </c>
    </row>
    <row r="59" spans="1:3" ht="15" customHeight="1" x14ac:dyDescent="0.15">
      <c r="A59" s="22" t="s">
        <v>71</v>
      </c>
      <c r="B59" s="17">
        <v>0</v>
      </c>
      <c r="C59" s="18">
        <v>0</v>
      </c>
    </row>
    <row r="60" spans="1:3" ht="15" customHeight="1" x14ac:dyDescent="0.15">
      <c r="A60" s="22" t="s">
        <v>72</v>
      </c>
      <c r="B60" s="17">
        <v>0</v>
      </c>
      <c r="C60" s="18">
        <v>0</v>
      </c>
    </row>
    <row r="61" spans="1:3" ht="15" customHeight="1" x14ac:dyDescent="0.15">
      <c r="A61" s="22"/>
      <c r="B61" s="17"/>
      <c r="C61" s="18"/>
    </row>
    <row r="62" spans="1:3" ht="15" customHeight="1" x14ac:dyDescent="0.15">
      <c r="A62" s="22"/>
      <c r="B62" s="17"/>
      <c r="C62" s="18"/>
    </row>
    <row r="63" spans="1:3" ht="15" customHeight="1" x14ac:dyDescent="0.15">
      <c r="A63" s="22"/>
      <c r="B63" s="17"/>
      <c r="C63" s="18"/>
    </row>
    <row r="64" spans="1:3" ht="15" customHeight="1" x14ac:dyDescent="0.15">
      <c r="A64" s="22"/>
      <c r="B64" s="17"/>
      <c r="C64" s="18"/>
    </row>
    <row r="65" spans="1:3" ht="15" customHeight="1" x14ac:dyDescent="0.15">
      <c r="A65" s="22"/>
      <c r="B65" s="17"/>
      <c r="C65" s="18"/>
    </row>
    <row r="66" spans="1:3" ht="15" customHeight="1" x14ac:dyDescent="0.15">
      <c r="A66" s="22"/>
      <c r="B66" s="17"/>
      <c r="C66" s="18"/>
    </row>
    <row r="67" spans="1:3" ht="15" customHeight="1" x14ac:dyDescent="0.15">
      <c r="A67" s="22"/>
      <c r="B67" s="17"/>
      <c r="C67" s="18"/>
    </row>
    <row r="68" spans="1:3" ht="15" customHeight="1" x14ac:dyDescent="0.15">
      <c r="A68" s="22"/>
      <c r="B68" s="17"/>
      <c r="C68" s="18"/>
    </row>
    <row r="69" spans="1:3" ht="15" customHeight="1" x14ac:dyDescent="0.15">
      <c r="A69" s="22"/>
      <c r="B69" s="17"/>
      <c r="C69" s="18"/>
    </row>
    <row r="70" spans="1:3" ht="15" customHeight="1" x14ac:dyDescent="0.15">
      <c r="A70" s="22"/>
      <c r="B70" s="17"/>
      <c r="C70" s="18"/>
    </row>
    <row r="71" spans="1:3" ht="15" customHeight="1" x14ac:dyDescent="0.15">
      <c r="A71" s="22"/>
      <c r="B71" s="17"/>
      <c r="C71" s="18"/>
    </row>
    <row r="72" spans="1:3" ht="15" customHeight="1" x14ac:dyDescent="0.15">
      <c r="A72" s="22"/>
      <c r="B72" s="17"/>
      <c r="C72" s="18"/>
    </row>
    <row r="73" spans="1:3" ht="15" customHeight="1" x14ac:dyDescent="0.15">
      <c r="A73" s="22"/>
      <c r="B73" s="17"/>
      <c r="C73" s="18"/>
    </row>
    <row r="74" spans="1:3" ht="15" customHeight="1" x14ac:dyDescent="0.15">
      <c r="A74" s="22"/>
      <c r="B74" s="17"/>
      <c r="C74" s="18"/>
    </row>
    <row r="75" spans="1:3" ht="15" customHeight="1" x14ac:dyDescent="0.15">
      <c r="A75" s="22"/>
      <c r="B75" s="17"/>
      <c r="C75" s="18"/>
    </row>
    <row r="76" spans="1:3" ht="15" customHeight="1" x14ac:dyDescent="0.15">
      <c r="A76" s="22"/>
      <c r="B76" s="17"/>
      <c r="C76" s="18"/>
    </row>
    <row r="77" spans="1:3" ht="15" customHeight="1" x14ac:dyDescent="0.15">
      <c r="A77" s="22"/>
      <c r="B77" s="17"/>
      <c r="C77" s="18"/>
    </row>
    <row r="78" spans="1:3" ht="15" customHeight="1" x14ac:dyDescent="0.15">
      <c r="A78" s="22"/>
      <c r="B78" s="17"/>
      <c r="C78" s="18"/>
    </row>
    <row r="79" spans="1:3" ht="15" customHeight="1" x14ac:dyDescent="0.15">
      <c r="A79" s="22"/>
      <c r="B79" s="17"/>
      <c r="C79" s="18"/>
    </row>
    <row r="80" spans="1:3" ht="15" customHeight="1" x14ac:dyDescent="0.15">
      <c r="A80" s="22"/>
      <c r="B80" s="17"/>
      <c r="C80" s="18"/>
    </row>
    <row r="81" spans="1:3" ht="15" customHeight="1" x14ac:dyDescent="0.15">
      <c r="A81" s="22"/>
      <c r="B81" s="17"/>
      <c r="C81" s="18"/>
    </row>
    <row r="82" spans="1:3" ht="15" customHeight="1" x14ac:dyDescent="0.15">
      <c r="A82" s="22"/>
      <c r="B82" s="17"/>
      <c r="C82" s="18"/>
    </row>
    <row r="83" spans="1:3" ht="15" customHeight="1" x14ac:dyDescent="0.15">
      <c r="A83" s="22"/>
      <c r="B83" s="17"/>
      <c r="C83" s="18"/>
    </row>
    <row r="84" spans="1:3" ht="15" customHeight="1" x14ac:dyDescent="0.15">
      <c r="A84" s="22"/>
      <c r="B84" s="17"/>
      <c r="C84" s="18"/>
    </row>
    <row r="85" spans="1:3" ht="15" customHeight="1" x14ac:dyDescent="0.15">
      <c r="A85" s="22"/>
      <c r="B85" s="17"/>
      <c r="C85" s="18"/>
    </row>
    <row r="86" spans="1:3" ht="15" customHeight="1" x14ac:dyDescent="0.15">
      <c r="A86" s="22"/>
      <c r="B86" s="17"/>
      <c r="C86" s="18"/>
    </row>
    <row r="87" spans="1:3" ht="15" customHeight="1" x14ac:dyDescent="0.15">
      <c r="A87" s="22"/>
      <c r="B87" s="17"/>
      <c r="C87" s="18"/>
    </row>
    <row r="88" spans="1:3" ht="15" customHeight="1" x14ac:dyDescent="0.15">
      <c r="A88" s="22"/>
      <c r="B88" s="17"/>
      <c r="C88" s="18"/>
    </row>
    <row r="89" spans="1:3" ht="15" customHeight="1" x14ac:dyDescent="0.15">
      <c r="A89" s="22"/>
      <c r="B89" s="17"/>
      <c r="C89" s="18"/>
    </row>
    <row r="90" spans="1:3" ht="15" customHeight="1" x14ac:dyDescent="0.15">
      <c r="A90" s="22"/>
      <c r="B90" s="17"/>
      <c r="C90" s="18"/>
    </row>
    <row r="91" spans="1:3" ht="15" customHeight="1" x14ac:dyDescent="0.15">
      <c r="A91" s="22"/>
      <c r="B91" s="17"/>
      <c r="C91" s="18"/>
    </row>
    <row r="92" spans="1:3" ht="15" customHeight="1" x14ac:dyDescent="0.15">
      <c r="A92" s="22"/>
      <c r="B92" s="17"/>
      <c r="C92" s="18"/>
    </row>
    <row r="93" spans="1:3" ht="15" customHeight="1" x14ac:dyDescent="0.15">
      <c r="A93" s="22"/>
      <c r="B93" s="17"/>
      <c r="C93" s="18"/>
    </row>
    <row r="94" spans="1:3" ht="15" customHeight="1" x14ac:dyDescent="0.15">
      <c r="A94" s="22"/>
      <c r="B94" s="17"/>
      <c r="C94" s="18"/>
    </row>
    <row r="95" spans="1:3" ht="15" customHeight="1" x14ac:dyDescent="0.15">
      <c r="A95" s="22"/>
      <c r="B95" s="17"/>
      <c r="C95" s="18"/>
    </row>
    <row r="96" spans="1:3" ht="15" customHeight="1" x14ac:dyDescent="0.15">
      <c r="A96" s="22"/>
      <c r="B96" s="17"/>
      <c r="C96" s="18"/>
    </row>
    <row r="97" spans="1:3" ht="15" customHeight="1" x14ac:dyDescent="0.15">
      <c r="A97" s="22"/>
      <c r="B97" s="17"/>
      <c r="C97" s="18"/>
    </row>
    <row r="98" spans="1:3" ht="15" customHeight="1" x14ac:dyDescent="0.15">
      <c r="A98" s="22"/>
      <c r="B98" s="17"/>
      <c r="C98" s="18"/>
    </row>
    <row r="99" spans="1:3" ht="15" customHeight="1" x14ac:dyDescent="0.15">
      <c r="A99" s="22"/>
      <c r="B99" s="17"/>
      <c r="C99" s="18"/>
    </row>
    <row r="100" spans="1:3" ht="15" customHeight="1" x14ac:dyDescent="0.15">
      <c r="A100" s="22"/>
      <c r="B100" s="17"/>
      <c r="C100" s="18"/>
    </row>
    <row r="101" spans="1:3" ht="15" customHeight="1" x14ac:dyDescent="0.15">
      <c r="A101" s="22"/>
      <c r="B101" s="17"/>
      <c r="C101" s="18"/>
    </row>
  </sheetData>
  <pageMargins left="0.75" right="0.75" top="1" bottom="1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Z12"/>
  <sheetViews>
    <sheetView workbookViewId="0"/>
  </sheetViews>
  <sheetFormatPr baseColWidth="10" defaultColWidth="12.6640625" defaultRowHeight="15" customHeight="1" x14ac:dyDescent="0.15"/>
  <cols>
    <col min="1" max="1" width="18.83203125" customWidth="1"/>
  </cols>
  <sheetData>
    <row r="1" spans="1:26" ht="15" customHeight="1" x14ac:dyDescent="0.15">
      <c r="A1" s="1" t="str">
        <f ca="1">IFERROR(__xludf.DUMMYFUNCTION("index(importhtml(""https://finviz.com/groups.ashx?g=sector&amp;v=152&amp;o=name&amp;c=1,2,3,4,5,6,7,8,9,10,11,12,13,14,15,16,17,18,19,20,21,22,23,24,25,26"",""table"",9),0,0)"),"#N/A")</f>
        <v>#N/A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" customHeight="1" x14ac:dyDescent="0.1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" customHeight="1" x14ac:dyDescent="0.1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" customHeight="1" x14ac:dyDescent="0.1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" customHeight="1" x14ac:dyDescent="0.1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" customHeight="1" x14ac:dyDescent="0.1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" customHeight="1" x14ac:dyDescent="0.1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" customHeight="1" x14ac:dyDescent="0.1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" customHeight="1" x14ac:dyDescent="0.1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" customHeight="1" x14ac:dyDescent="0.1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" customHeight="1" x14ac:dyDescent="0.1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" customHeight="1" x14ac:dyDescent="0.1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AL1001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2.6640625" defaultRowHeight="15" customHeight="1" x14ac:dyDescent="0.15"/>
  <cols>
    <col min="1" max="1" width="31.1640625" customWidth="1"/>
    <col min="2" max="2" width="9.6640625" customWidth="1"/>
    <col min="3" max="3" width="6" customWidth="1"/>
    <col min="4" max="4" width="7" customWidth="1"/>
    <col min="5" max="6" width="5.1640625" customWidth="1"/>
    <col min="7" max="7" width="6" customWidth="1"/>
    <col min="8" max="8" width="6.83203125" customWidth="1"/>
    <col min="9" max="9" width="6" customWidth="1"/>
    <col min="10" max="10" width="7.6640625" customWidth="1"/>
    <col min="11" max="11" width="9.5" customWidth="1"/>
    <col min="12" max="12" width="9.6640625" customWidth="1"/>
    <col min="13" max="13" width="10.6640625" customWidth="1"/>
    <col min="14" max="14" width="9.1640625" customWidth="1"/>
    <col min="15" max="15" width="8.6640625" customWidth="1"/>
    <col min="16" max="16" width="9.5" customWidth="1"/>
    <col min="17" max="17" width="8.6640625" customWidth="1"/>
    <col min="18" max="18" width="7.5" customWidth="1"/>
    <col min="19" max="19" width="7.6640625" customWidth="1"/>
    <col min="20" max="20" width="7.33203125" customWidth="1"/>
    <col min="21" max="21" width="6" customWidth="1"/>
    <col min="22" max="22" width="9.6640625" customWidth="1"/>
    <col min="23" max="23" width="9.33203125" customWidth="1"/>
    <col min="24" max="24" width="6.5" customWidth="1"/>
    <col min="25" max="25" width="7.5" customWidth="1"/>
    <col min="26" max="27" width="5.6640625" customWidth="1"/>
  </cols>
  <sheetData>
    <row r="1" spans="1:38" x14ac:dyDescent="0.2">
      <c r="A1" s="1" t="str">
        <f ca="1">IFERROR(__xludf.DUMMYFUNCTION("index(importhtml(""https://finviz.com/groups.ashx?g=industry&amp;v=152&amp;o=name&amp;c=1,2,3,4,5,6,7,8,9,10,11,12,13,14,15,16,17,18,19,20,21,22,23,24,25,26"",""table"",9),0,0)"),"#N/A")</f>
        <v>#N/A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4"/>
      <c r="AD1" s="4"/>
      <c r="AE1" s="4"/>
      <c r="AF1" s="4"/>
      <c r="AG1" s="4"/>
      <c r="AH1" s="4"/>
      <c r="AI1" s="4"/>
      <c r="AJ1" s="4"/>
      <c r="AK1" s="4"/>
      <c r="AL1" s="4"/>
    </row>
    <row r="2" spans="1:38" x14ac:dyDescent="0.2">
      <c r="A2" s="2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4"/>
      <c r="AD2" s="4"/>
      <c r="AE2" s="4"/>
      <c r="AF2" s="4"/>
      <c r="AG2" s="4"/>
      <c r="AH2" s="4"/>
      <c r="AI2" s="4"/>
      <c r="AJ2" s="4"/>
      <c r="AK2" s="4"/>
      <c r="AL2" s="4"/>
    </row>
    <row r="3" spans="1:38" x14ac:dyDescent="0.2">
      <c r="A3" s="2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4"/>
      <c r="AD3" s="4"/>
      <c r="AE3" s="4"/>
      <c r="AF3" s="4"/>
      <c r="AG3" s="4"/>
      <c r="AH3" s="4"/>
      <c r="AI3" s="4"/>
      <c r="AJ3" s="4"/>
      <c r="AK3" s="4"/>
      <c r="AL3" s="4"/>
    </row>
    <row r="4" spans="1:38" x14ac:dyDescent="0.2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4"/>
      <c r="AD4" s="4"/>
      <c r="AE4" s="4"/>
      <c r="AF4" s="4"/>
      <c r="AG4" s="4"/>
      <c r="AH4" s="4"/>
      <c r="AI4" s="4"/>
      <c r="AJ4" s="4"/>
      <c r="AK4" s="4"/>
      <c r="AL4" s="4"/>
    </row>
    <row r="5" spans="1:38" x14ac:dyDescent="0.2">
      <c r="A5" s="2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4"/>
      <c r="AD5" s="4"/>
      <c r="AE5" s="4"/>
      <c r="AF5" s="4"/>
      <c r="AG5" s="4"/>
      <c r="AH5" s="4"/>
      <c r="AI5" s="4"/>
      <c r="AJ5" s="4"/>
      <c r="AK5" s="4"/>
      <c r="AL5" s="4"/>
    </row>
    <row r="6" spans="1:38" x14ac:dyDescent="0.2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4"/>
      <c r="AD6" s="4"/>
      <c r="AE6" s="4"/>
      <c r="AF6" s="4"/>
      <c r="AG6" s="4"/>
      <c r="AH6" s="4"/>
      <c r="AI6" s="4"/>
      <c r="AJ6" s="4"/>
      <c r="AK6" s="4"/>
      <c r="AL6" s="4"/>
    </row>
    <row r="7" spans="1:38" x14ac:dyDescent="0.2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4"/>
      <c r="AD7" s="4"/>
      <c r="AE7" s="4"/>
      <c r="AF7" s="4"/>
      <c r="AG7" s="4"/>
      <c r="AH7" s="4"/>
      <c r="AI7" s="4"/>
      <c r="AJ7" s="4"/>
      <c r="AK7" s="4"/>
      <c r="AL7" s="4"/>
    </row>
    <row r="8" spans="1:38" x14ac:dyDescent="0.2">
      <c r="A8" s="6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4"/>
      <c r="AD8" s="4"/>
      <c r="AE8" s="4"/>
      <c r="AF8" s="4"/>
      <c r="AG8" s="4"/>
      <c r="AH8" s="4"/>
      <c r="AI8" s="4"/>
      <c r="AJ8" s="4"/>
      <c r="AK8" s="4"/>
      <c r="AL8" s="4"/>
    </row>
    <row r="9" spans="1:38" x14ac:dyDescent="0.2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4"/>
      <c r="AD9" s="4"/>
      <c r="AE9" s="4"/>
      <c r="AF9" s="4"/>
      <c r="AG9" s="4"/>
      <c r="AH9" s="4"/>
      <c r="AI9" s="4"/>
      <c r="AJ9" s="4"/>
      <c r="AK9" s="4"/>
      <c r="AL9" s="4"/>
    </row>
    <row r="10" spans="1:38" x14ac:dyDescent="0.2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4"/>
      <c r="AD10" s="4"/>
      <c r="AE10" s="4"/>
      <c r="AF10" s="4"/>
      <c r="AG10" s="4"/>
      <c r="AH10" s="4"/>
      <c r="AI10" s="4"/>
      <c r="AJ10" s="4"/>
      <c r="AK10" s="4"/>
      <c r="AL10" s="4"/>
    </row>
    <row r="11" spans="1:38" x14ac:dyDescent="0.2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4"/>
      <c r="AD11" s="4"/>
      <c r="AE11" s="4"/>
      <c r="AF11" s="4"/>
      <c r="AG11" s="4"/>
      <c r="AH11" s="4"/>
      <c r="AI11" s="4"/>
      <c r="AJ11" s="4"/>
      <c r="AK11" s="4"/>
      <c r="AL11" s="4"/>
    </row>
    <row r="12" spans="1:38" x14ac:dyDescent="0.2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4"/>
      <c r="AD12" s="4"/>
      <c r="AE12" s="4"/>
      <c r="AF12" s="4"/>
      <c r="AG12" s="4"/>
      <c r="AH12" s="4"/>
      <c r="AI12" s="4"/>
      <c r="AJ12" s="4"/>
      <c r="AK12" s="4"/>
      <c r="AL12" s="4"/>
    </row>
    <row r="13" spans="1:38" x14ac:dyDescent="0.2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4"/>
      <c r="AD13" s="4"/>
      <c r="AE13" s="4"/>
      <c r="AF13" s="4"/>
      <c r="AG13" s="4"/>
      <c r="AH13" s="4"/>
      <c r="AI13" s="4"/>
      <c r="AJ13" s="4"/>
      <c r="AK13" s="4"/>
      <c r="AL13" s="4"/>
    </row>
    <row r="14" spans="1:38" x14ac:dyDescent="0.2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4"/>
      <c r="AD14" s="4"/>
      <c r="AE14" s="4"/>
      <c r="AF14" s="4"/>
      <c r="AG14" s="4"/>
      <c r="AH14" s="4"/>
      <c r="AI14" s="4"/>
      <c r="AJ14" s="4"/>
      <c r="AK14" s="4"/>
      <c r="AL14" s="4"/>
    </row>
    <row r="15" spans="1:38" x14ac:dyDescent="0.2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4"/>
      <c r="AD15" s="4"/>
      <c r="AE15" s="4"/>
      <c r="AF15" s="4"/>
      <c r="AG15" s="4"/>
      <c r="AH15" s="4"/>
      <c r="AI15" s="4"/>
      <c r="AJ15" s="4"/>
      <c r="AK15" s="4"/>
      <c r="AL15" s="4"/>
    </row>
    <row r="16" spans="1:38" x14ac:dyDescent="0.2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4"/>
      <c r="AD16" s="4"/>
      <c r="AE16" s="4"/>
      <c r="AF16" s="4"/>
      <c r="AG16" s="4"/>
      <c r="AH16" s="4"/>
      <c r="AI16" s="4"/>
      <c r="AJ16" s="4"/>
      <c r="AK16" s="4"/>
      <c r="AL16" s="4"/>
    </row>
    <row r="17" spans="1:38" x14ac:dyDescent="0.2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4"/>
      <c r="AD17" s="4"/>
      <c r="AE17" s="4"/>
      <c r="AF17" s="4"/>
      <c r="AG17" s="4"/>
      <c r="AH17" s="4"/>
      <c r="AI17" s="4"/>
      <c r="AJ17" s="4"/>
      <c r="AK17" s="4"/>
      <c r="AL17" s="4"/>
    </row>
    <row r="18" spans="1:38" x14ac:dyDescent="0.2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4"/>
      <c r="AD18" s="4"/>
      <c r="AE18" s="4"/>
      <c r="AF18" s="4"/>
      <c r="AG18" s="4"/>
      <c r="AH18" s="4"/>
      <c r="AI18" s="4"/>
      <c r="AJ18" s="4"/>
      <c r="AK18" s="4"/>
      <c r="AL18" s="4"/>
    </row>
    <row r="19" spans="1:38" x14ac:dyDescent="0.2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4"/>
      <c r="AD19" s="4"/>
      <c r="AE19" s="4"/>
      <c r="AF19" s="4"/>
      <c r="AG19" s="4"/>
      <c r="AH19" s="4"/>
      <c r="AI19" s="4"/>
      <c r="AJ19" s="4"/>
      <c r="AK19" s="4"/>
      <c r="AL19" s="4"/>
    </row>
    <row r="20" spans="1:38" x14ac:dyDescent="0.2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4"/>
      <c r="AD20" s="4"/>
      <c r="AE20" s="4"/>
      <c r="AF20" s="4"/>
      <c r="AG20" s="4"/>
      <c r="AH20" s="4"/>
      <c r="AI20" s="4"/>
      <c r="AJ20" s="4"/>
      <c r="AK20" s="4"/>
      <c r="AL20" s="4"/>
    </row>
    <row r="21" spans="1:38" x14ac:dyDescent="0.2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4"/>
      <c r="AD21" s="4"/>
      <c r="AE21" s="4"/>
      <c r="AF21" s="4"/>
      <c r="AG21" s="4"/>
      <c r="AH21" s="4"/>
      <c r="AI21" s="4"/>
      <c r="AJ21" s="4"/>
      <c r="AK21" s="4"/>
      <c r="AL21" s="4"/>
    </row>
    <row r="22" spans="1:38" x14ac:dyDescent="0.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4"/>
      <c r="AD22" s="4"/>
      <c r="AE22" s="4"/>
      <c r="AF22" s="4"/>
      <c r="AG22" s="4"/>
      <c r="AH22" s="4"/>
      <c r="AI22" s="4"/>
      <c r="AJ22" s="4"/>
      <c r="AK22" s="4"/>
      <c r="AL22" s="4"/>
    </row>
    <row r="23" spans="1:38" x14ac:dyDescent="0.2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4"/>
      <c r="AD23" s="4"/>
      <c r="AE23" s="4"/>
      <c r="AF23" s="4"/>
      <c r="AG23" s="4"/>
      <c r="AH23" s="4"/>
      <c r="AI23" s="4"/>
      <c r="AJ23" s="4"/>
      <c r="AK23" s="4"/>
      <c r="AL23" s="4"/>
    </row>
    <row r="24" spans="1:38" x14ac:dyDescent="0.2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4"/>
      <c r="AD24" s="4"/>
      <c r="AE24" s="4"/>
      <c r="AF24" s="4"/>
      <c r="AG24" s="4"/>
      <c r="AH24" s="4"/>
      <c r="AI24" s="4"/>
      <c r="AJ24" s="4"/>
      <c r="AK24" s="4"/>
      <c r="AL24" s="4"/>
    </row>
    <row r="25" spans="1:38" x14ac:dyDescent="0.2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4"/>
      <c r="AD25" s="4"/>
      <c r="AE25" s="4"/>
      <c r="AF25" s="4"/>
      <c r="AG25" s="4"/>
      <c r="AH25" s="4"/>
      <c r="AI25" s="4"/>
      <c r="AJ25" s="4"/>
      <c r="AK25" s="4"/>
      <c r="AL25" s="4"/>
    </row>
    <row r="26" spans="1:38" x14ac:dyDescent="0.2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4"/>
      <c r="AD26" s="4"/>
      <c r="AE26" s="4"/>
      <c r="AF26" s="4"/>
      <c r="AG26" s="4"/>
      <c r="AH26" s="4"/>
      <c r="AI26" s="4"/>
      <c r="AJ26" s="4"/>
      <c r="AK26" s="4"/>
      <c r="AL26" s="4"/>
    </row>
    <row r="27" spans="1:38" x14ac:dyDescent="0.2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4"/>
      <c r="AD27" s="4"/>
      <c r="AE27" s="4"/>
      <c r="AF27" s="4"/>
      <c r="AG27" s="4"/>
      <c r="AH27" s="4"/>
      <c r="AI27" s="4"/>
      <c r="AJ27" s="4"/>
      <c r="AK27" s="4"/>
      <c r="AL27" s="4"/>
    </row>
    <row r="28" spans="1:38" x14ac:dyDescent="0.2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4"/>
      <c r="AD28" s="4"/>
      <c r="AE28" s="4"/>
      <c r="AF28" s="4"/>
      <c r="AG28" s="4"/>
      <c r="AH28" s="4"/>
      <c r="AI28" s="4"/>
      <c r="AJ28" s="4"/>
      <c r="AK28" s="4"/>
      <c r="AL28" s="4"/>
    </row>
    <row r="29" spans="1:38" x14ac:dyDescent="0.2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4"/>
      <c r="AD29" s="4"/>
      <c r="AE29" s="4"/>
      <c r="AF29" s="4"/>
      <c r="AG29" s="4"/>
      <c r="AH29" s="4"/>
      <c r="AI29" s="4"/>
      <c r="AJ29" s="4"/>
      <c r="AK29" s="4"/>
      <c r="AL29" s="4"/>
    </row>
    <row r="30" spans="1:38" x14ac:dyDescent="0.2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4"/>
      <c r="AD30" s="4"/>
      <c r="AE30" s="4"/>
      <c r="AF30" s="4"/>
      <c r="AG30" s="4"/>
      <c r="AH30" s="4"/>
      <c r="AI30" s="4"/>
      <c r="AJ30" s="4"/>
      <c r="AK30" s="4"/>
      <c r="AL30" s="4"/>
    </row>
    <row r="31" spans="1:38" x14ac:dyDescent="0.2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4"/>
      <c r="AD31" s="4"/>
      <c r="AE31" s="4"/>
      <c r="AF31" s="4"/>
      <c r="AG31" s="4"/>
      <c r="AH31" s="4"/>
      <c r="AI31" s="4"/>
      <c r="AJ31" s="4"/>
      <c r="AK31" s="4"/>
      <c r="AL31" s="4"/>
    </row>
    <row r="32" spans="1:38" x14ac:dyDescent="0.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4"/>
      <c r="AD32" s="4"/>
      <c r="AE32" s="4"/>
      <c r="AF32" s="4"/>
      <c r="AG32" s="4"/>
      <c r="AH32" s="4"/>
      <c r="AI32" s="4"/>
      <c r="AJ32" s="4"/>
      <c r="AK32" s="4"/>
      <c r="AL32" s="4"/>
    </row>
    <row r="33" spans="1:38" x14ac:dyDescent="0.2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4"/>
      <c r="AD33" s="4"/>
      <c r="AE33" s="4"/>
      <c r="AF33" s="4"/>
      <c r="AG33" s="4"/>
      <c r="AH33" s="4"/>
      <c r="AI33" s="4"/>
      <c r="AJ33" s="4"/>
      <c r="AK33" s="4"/>
      <c r="AL33" s="4"/>
    </row>
    <row r="34" spans="1:38" x14ac:dyDescent="0.2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4"/>
      <c r="AD34" s="4"/>
      <c r="AE34" s="4"/>
      <c r="AF34" s="4"/>
      <c r="AG34" s="4"/>
      <c r="AH34" s="4"/>
      <c r="AI34" s="4"/>
      <c r="AJ34" s="4"/>
      <c r="AK34" s="4"/>
      <c r="AL34" s="4"/>
    </row>
    <row r="35" spans="1:38" x14ac:dyDescent="0.2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4"/>
      <c r="AD35" s="4"/>
      <c r="AE35" s="4"/>
      <c r="AF35" s="4"/>
      <c r="AG35" s="4"/>
      <c r="AH35" s="4"/>
      <c r="AI35" s="4"/>
      <c r="AJ35" s="4"/>
      <c r="AK35" s="4"/>
      <c r="AL35" s="4"/>
    </row>
    <row r="36" spans="1:38" x14ac:dyDescent="0.2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4"/>
      <c r="AD36" s="4"/>
      <c r="AE36" s="4"/>
      <c r="AF36" s="4"/>
      <c r="AG36" s="4"/>
      <c r="AH36" s="4"/>
      <c r="AI36" s="4"/>
      <c r="AJ36" s="4"/>
      <c r="AK36" s="4"/>
      <c r="AL36" s="4"/>
    </row>
    <row r="37" spans="1:38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4"/>
      <c r="AD37" s="4"/>
      <c r="AE37" s="4"/>
      <c r="AF37" s="4"/>
      <c r="AG37" s="4"/>
      <c r="AH37" s="4"/>
      <c r="AI37" s="4"/>
      <c r="AJ37" s="4"/>
      <c r="AK37" s="4"/>
      <c r="AL37" s="4"/>
    </row>
    <row r="38" spans="1:38" x14ac:dyDescent="0.2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4"/>
      <c r="AD38" s="4"/>
      <c r="AE38" s="4"/>
      <c r="AF38" s="4"/>
      <c r="AG38" s="4"/>
      <c r="AH38" s="4"/>
      <c r="AI38" s="4"/>
      <c r="AJ38" s="4"/>
      <c r="AK38" s="4"/>
      <c r="AL38" s="4"/>
    </row>
    <row r="39" spans="1:38" x14ac:dyDescent="0.2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4"/>
      <c r="AD39" s="4"/>
      <c r="AE39" s="4"/>
      <c r="AF39" s="4"/>
      <c r="AG39" s="4"/>
      <c r="AH39" s="4"/>
      <c r="AI39" s="4"/>
      <c r="AJ39" s="4"/>
      <c r="AK39" s="4"/>
      <c r="AL39" s="4"/>
    </row>
    <row r="40" spans="1:38" x14ac:dyDescent="0.2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4"/>
      <c r="AD40" s="4"/>
      <c r="AE40" s="4"/>
      <c r="AF40" s="4"/>
      <c r="AG40" s="4"/>
      <c r="AH40" s="4"/>
      <c r="AI40" s="4"/>
      <c r="AJ40" s="4"/>
      <c r="AK40" s="4"/>
      <c r="AL40" s="4"/>
    </row>
    <row r="41" spans="1:38" x14ac:dyDescent="0.2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4"/>
      <c r="AD41" s="4"/>
      <c r="AE41" s="4"/>
      <c r="AF41" s="4"/>
      <c r="AG41" s="4"/>
      <c r="AH41" s="4"/>
      <c r="AI41" s="4"/>
      <c r="AJ41" s="4"/>
      <c r="AK41" s="4"/>
      <c r="AL41" s="4"/>
    </row>
    <row r="42" spans="1:38" x14ac:dyDescent="0.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4"/>
      <c r="AD42" s="4"/>
      <c r="AE42" s="4"/>
      <c r="AF42" s="4"/>
      <c r="AG42" s="4"/>
      <c r="AH42" s="4"/>
      <c r="AI42" s="4"/>
      <c r="AJ42" s="4"/>
      <c r="AK42" s="4"/>
      <c r="AL42" s="4"/>
    </row>
    <row r="43" spans="1:38" x14ac:dyDescent="0.2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4"/>
      <c r="AD43" s="4"/>
      <c r="AE43" s="4"/>
      <c r="AF43" s="4"/>
      <c r="AG43" s="4"/>
      <c r="AH43" s="4"/>
      <c r="AI43" s="4"/>
      <c r="AJ43" s="4"/>
      <c r="AK43" s="4"/>
      <c r="AL43" s="4"/>
    </row>
    <row r="44" spans="1:38" x14ac:dyDescent="0.2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4"/>
      <c r="AD44" s="4"/>
      <c r="AE44" s="4"/>
      <c r="AF44" s="4"/>
      <c r="AG44" s="4"/>
      <c r="AH44" s="4"/>
      <c r="AI44" s="4"/>
      <c r="AJ44" s="4"/>
      <c r="AK44" s="4"/>
      <c r="AL44" s="4"/>
    </row>
    <row r="45" spans="1:38" x14ac:dyDescent="0.2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4"/>
      <c r="AD45" s="4"/>
      <c r="AE45" s="4"/>
      <c r="AF45" s="4"/>
      <c r="AG45" s="4"/>
      <c r="AH45" s="4"/>
      <c r="AI45" s="4"/>
      <c r="AJ45" s="4"/>
      <c r="AK45" s="4"/>
      <c r="AL45" s="4"/>
    </row>
    <row r="46" spans="1:38" x14ac:dyDescent="0.2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4"/>
      <c r="AD46" s="4"/>
      <c r="AE46" s="4"/>
      <c r="AF46" s="4"/>
      <c r="AG46" s="4"/>
      <c r="AH46" s="4"/>
      <c r="AI46" s="4"/>
      <c r="AJ46" s="4"/>
      <c r="AK46" s="4"/>
      <c r="AL46" s="4"/>
    </row>
    <row r="47" spans="1:38" x14ac:dyDescent="0.2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4"/>
      <c r="AD47" s="4"/>
      <c r="AE47" s="4"/>
      <c r="AF47" s="4"/>
      <c r="AG47" s="4"/>
      <c r="AH47" s="4"/>
      <c r="AI47" s="4"/>
      <c r="AJ47" s="4"/>
      <c r="AK47" s="4"/>
      <c r="AL47" s="4"/>
    </row>
    <row r="48" spans="1:38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4"/>
      <c r="AD48" s="4"/>
      <c r="AE48" s="4"/>
      <c r="AF48" s="4"/>
      <c r="AG48" s="4"/>
      <c r="AH48" s="4"/>
      <c r="AI48" s="4"/>
      <c r="AJ48" s="4"/>
      <c r="AK48" s="4"/>
      <c r="AL48" s="4"/>
    </row>
    <row r="49" spans="1:38" x14ac:dyDescent="0.2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4"/>
      <c r="AD49" s="4"/>
      <c r="AE49" s="4"/>
      <c r="AF49" s="4"/>
      <c r="AG49" s="4"/>
      <c r="AH49" s="4"/>
      <c r="AI49" s="4"/>
      <c r="AJ49" s="4"/>
      <c r="AK49" s="4"/>
      <c r="AL49" s="4"/>
    </row>
    <row r="50" spans="1:38" x14ac:dyDescent="0.2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4"/>
      <c r="AD50" s="4"/>
      <c r="AE50" s="4"/>
      <c r="AF50" s="4"/>
      <c r="AG50" s="4"/>
      <c r="AH50" s="4"/>
      <c r="AI50" s="4"/>
      <c r="AJ50" s="4"/>
      <c r="AK50" s="4"/>
      <c r="AL50" s="4"/>
    </row>
    <row r="51" spans="1:38" x14ac:dyDescent="0.2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4"/>
      <c r="AD51" s="4"/>
      <c r="AE51" s="4"/>
      <c r="AF51" s="4"/>
      <c r="AG51" s="4"/>
      <c r="AH51" s="4"/>
      <c r="AI51" s="4"/>
      <c r="AJ51" s="4"/>
      <c r="AK51" s="4"/>
      <c r="AL51" s="4"/>
    </row>
    <row r="52" spans="1:38" x14ac:dyDescent="0.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4"/>
      <c r="AD52" s="4"/>
      <c r="AE52" s="4"/>
      <c r="AF52" s="4"/>
      <c r="AG52" s="4"/>
      <c r="AH52" s="4"/>
      <c r="AI52" s="4"/>
      <c r="AJ52" s="4"/>
      <c r="AK52" s="4"/>
      <c r="AL52" s="4"/>
    </row>
    <row r="53" spans="1:38" x14ac:dyDescent="0.2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4"/>
      <c r="AD53" s="4"/>
      <c r="AE53" s="4"/>
      <c r="AF53" s="4"/>
      <c r="AG53" s="4"/>
      <c r="AH53" s="4"/>
      <c r="AI53" s="4"/>
      <c r="AJ53" s="4"/>
      <c r="AK53" s="4"/>
      <c r="AL53" s="4"/>
    </row>
    <row r="54" spans="1:38" x14ac:dyDescent="0.2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4"/>
      <c r="AD54" s="4"/>
      <c r="AE54" s="4"/>
      <c r="AF54" s="4"/>
      <c r="AG54" s="4"/>
      <c r="AH54" s="4"/>
      <c r="AI54" s="4"/>
      <c r="AJ54" s="4"/>
      <c r="AK54" s="4"/>
      <c r="AL54" s="4"/>
    </row>
    <row r="55" spans="1:38" x14ac:dyDescent="0.2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4"/>
      <c r="AD55" s="4"/>
      <c r="AE55" s="4"/>
      <c r="AF55" s="4"/>
      <c r="AG55" s="4"/>
      <c r="AH55" s="4"/>
      <c r="AI55" s="4"/>
      <c r="AJ55" s="4"/>
      <c r="AK55" s="4"/>
      <c r="AL55" s="4"/>
    </row>
    <row r="56" spans="1:38" x14ac:dyDescent="0.2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4"/>
      <c r="AD56" s="4"/>
      <c r="AE56" s="4"/>
      <c r="AF56" s="4"/>
      <c r="AG56" s="4"/>
      <c r="AH56" s="4"/>
      <c r="AI56" s="4"/>
      <c r="AJ56" s="4"/>
      <c r="AK56" s="4"/>
      <c r="AL56" s="4"/>
    </row>
    <row r="57" spans="1:38" x14ac:dyDescent="0.2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4"/>
      <c r="AD57" s="4"/>
      <c r="AE57" s="4"/>
      <c r="AF57" s="4"/>
      <c r="AG57" s="4"/>
      <c r="AH57" s="4"/>
      <c r="AI57" s="4"/>
      <c r="AJ57" s="4"/>
      <c r="AK57" s="4"/>
      <c r="AL57" s="4"/>
    </row>
    <row r="58" spans="1:38" x14ac:dyDescent="0.2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4"/>
      <c r="AD58" s="4"/>
      <c r="AE58" s="4"/>
      <c r="AF58" s="4"/>
      <c r="AG58" s="4"/>
      <c r="AH58" s="4"/>
      <c r="AI58" s="4"/>
      <c r="AJ58" s="4"/>
      <c r="AK58" s="4"/>
      <c r="AL58" s="4"/>
    </row>
    <row r="59" spans="1:38" x14ac:dyDescent="0.2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4"/>
      <c r="AD59" s="4"/>
      <c r="AE59" s="4"/>
      <c r="AF59" s="4"/>
      <c r="AG59" s="4"/>
      <c r="AH59" s="4"/>
      <c r="AI59" s="4"/>
      <c r="AJ59" s="4"/>
      <c r="AK59" s="4"/>
      <c r="AL59" s="4"/>
    </row>
    <row r="60" spans="1:38" x14ac:dyDescent="0.2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4"/>
      <c r="AD60" s="4"/>
      <c r="AE60" s="4"/>
      <c r="AF60" s="4"/>
      <c r="AG60" s="4"/>
      <c r="AH60" s="4"/>
      <c r="AI60" s="4"/>
      <c r="AJ60" s="4"/>
      <c r="AK60" s="4"/>
      <c r="AL60" s="4"/>
    </row>
    <row r="61" spans="1:38" x14ac:dyDescent="0.2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4"/>
      <c r="AD61" s="4"/>
      <c r="AE61" s="4"/>
      <c r="AF61" s="4"/>
      <c r="AG61" s="4"/>
      <c r="AH61" s="4"/>
      <c r="AI61" s="4"/>
      <c r="AJ61" s="4"/>
      <c r="AK61" s="4"/>
      <c r="AL61" s="4"/>
    </row>
    <row r="62" spans="1:38" x14ac:dyDescent="0.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4"/>
      <c r="AD62" s="4"/>
      <c r="AE62" s="4"/>
      <c r="AF62" s="4"/>
      <c r="AG62" s="4"/>
      <c r="AH62" s="4"/>
      <c r="AI62" s="4"/>
      <c r="AJ62" s="4"/>
      <c r="AK62" s="4"/>
      <c r="AL62" s="4"/>
    </row>
    <row r="63" spans="1:38" x14ac:dyDescent="0.2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4"/>
      <c r="AD63" s="4"/>
      <c r="AE63" s="4"/>
      <c r="AF63" s="4"/>
      <c r="AG63" s="4"/>
      <c r="AH63" s="4"/>
      <c r="AI63" s="4"/>
      <c r="AJ63" s="4"/>
      <c r="AK63" s="4"/>
      <c r="AL63" s="4"/>
    </row>
    <row r="64" spans="1:38" x14ac:dyDescent="0.2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4"/>
      <c r="AD64" s="4"/>
      <c r="AE64" s="4"/>
      <c r="AF64" s="4"/>
      <c r="AG64" s="4"/>
      <c r="AH64" s="4"/>
      <c r="AI64" s="4"/>
      <c r="AJ64" s="4"/>
      <c r="AK64" s="4"/>
      <c r="AL64" s="4"/>
    </row>
    <row r="65" spans="1:38" x14ac:dyDescent="0.2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4"/>
      <c r="AD65" s="4"/>
      <c r="AE65" s="4"/>
      <c r="AF65" s="4"/>
      <c r="AG65" s="4"/>
      <c r="AH65" s="4"/>
      <c r="AI65" s="4"/>
      <c r="AJ65" s="4"/>
      <c r="AK65" s="4"/>
      <c r="AL65" s="4"/>
    </row>
    <row r="66" spans="1:38" x14ac:dyDescent="0.2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4"/>
      <c r="AD66" s="4"/>
      <c r="AE66" s="4"/>
      <c r="AF66" s="4"/>
      <c r="AG66" s="4"/>
      <c r="AH66" s="4"/>
      <c r="AI66" s="4"/>
      <c r="AJ66" s="4"/>
      <c r="AK66" s="4"/>
      <c r="AL66" s="4"/>
    </row>
    <row r="67" spans="1:38" x14ac:dyDescent="0.2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4"/>
      <c r="AD67" s="4"/>
      <c r="AE67" s="4"/>
      <c r="AF67" s="4"/>
      <c r="AG67" s="4"/>
      <c r="AH67" s="4"/>
      <c r="AI67" s="4"/>
      <c r="AJ67" s="4"/>
      <c r="AK67" s="4"/>
      <c r="AL67" s="4"/>
    </row>
    <row r="68" spans="1:38" x14ac:dyDescent="0.2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4"/>
      <c r="AD68" s="4"/>
      <c r="AE68" s="4"/>
      <c r="AF68" s="4"/>
      <c r="AG68" s="4"/>
      <c r="AH68" s="4"/>
      <c r="AI68" s="4"/>
      <c r="AJ68" s="4"/>
      <c r="AK68" s="4"/>
      <c r="AL68" s="4"/>
    </row>
    <row r="69" spans="1:38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4"/>
      <c r="AD69" s="4"/>
      <c r="AE69" s="4"/>
      <c r="AF69" s="4"/>
      <c r="AG69" s="4"/>
      <c r="AH69" s="4"/>
      <c r="AI69" s="4"/>
      <c r="AJ69" s="4"/>
      <c r="AK69" s="4"/>
      <c r="AL69" s="4"/>
    </row>
    <row r="70" spans="1:38" x14ac:dyDescent="0.2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4"/>
      <c r="AD70" s="4"/>
      <c r="AE70" s="4"/>
      <c r="AF70" s="4"/>
      <c r="AG70" s="4"/>
      <c r="AH70" s="4"/>
      <c r="AI70" s="4"/>
      <c r="AJ70" s="4"/>
      <c r="AK70" s="4"/>
      <c r="AL70" s="4"/>
    </row>
    <row r="71" spans="1:38" x14ac:dyDescent="0.2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4"/>
      <c r="AD71" s="4"/>
      <c r="AE71" s="4"/>
      <c r="AF71" s="4"/>
      <c r="AG71" s="4"/>
      <c r="AH71" s="4"/>
      <c r="AI71" s="4"/>
      <c r="AJ71" s="4"/>
      <c r="AK71" s="4"/>
      <c r="AL71" s="4"/>
    </row>
    <row r="72" spans="1:38" x14ac:dyDescent="0.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4"/>
      <c r="AD72" s="4"/>
      <c r="AE72" s="4"/>
      <c r="AF72" s="4"/>
      <c r="AG72" s="4"/>
      <c r="AH72" s="4"/>
      <c r="AI72" s="4"/>
      <c r="AJ72" s="4"/>
      <c r="AK72" s="4"/>
      <c r="AL72" s="4"/>
    </row>
    <row r="73" spans="1:38" x14ac:dyDescent="0.2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4"/>
      <c r="AD73" s="4"/>
      <c r="AE73" s="4"/>
      <c r="AF73" s="4"/>
      <c r="AG73" s="4"/>
      <c r="AH73" s="4"/>
      <c r="AI73" s="4"/>
      <c r="AJ73" s="4"/>
      <c r="AK73" s="4"/>
      <c r="AL73" s="4"/>
    </row>
    <row r="74" spans="1:38" x14ac:dyDescent="0.2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4"/>
      <c r="AD74" s="4"/>
      <c r="AE74" s="4"/>
      <c r="AF74" s="4"/>
      <c r="AG74" s="4"/>
      <c r="AH74" s="4"/>
      <c r="AI74" s="4"/>
      <c r="AJ74" s="4"/>
      <c r="AK74" s="4"/>
      <c r="AL74" s="4"/>
    </row>
    <row r="75" spans="1:38" x14ac:dyDescent="0.2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4"/>
      <c r="AD75" s="4"/>
      <c r="AE75" s="4"/>
      <c r="AF75" s="4"/>
      <c r="AG75" s="4"/>
      <c r="AH75" s="4"/>
      <c r="AI75" s="4"/>
      <c r="AJ75" s="4"/>
      <c r="AK75" s="4"/>
      <c r="AL75" s="4"/>
    </row>
    <row r="76" spans="1:38" x14ac:dyDescent="0.2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4"/>
      <c r="AD76" s="4"/>
      <c r="AE76" s="4"/>
      <c r="AF76" s="4"/>
      <c r="AG76" s="4"/>
      <c r="AH76" s="4"/>
      <c r="AI76" s="4"/>
      <c r="AJ76" s="4"/>
      <c r="AK76" s="4"/>
      <c r="AL76" s="4"/>
    </row>
    <row r="77" spans="1:38" x14ac:dyDescent="0.2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4"/>
      <c r="AD77" s="4"/>
      <c r="AE77" s="4"/>
      <c r="AF77" s="4"/>
      <c r="AG77" s="4"/>
      <c r="AH77" s="4"/>
      <c r="AI77" s="4"/>
      <c r="AJ77" s="4"/>
      <c r="AK77" s="4"/>
      <c r="AL77" s="4"/>
    </row>
    <row r="78" spans="1:38" x14ac:dyDescent="0.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4"/>
      <c r="AD78" s="4"/>
      <c r="AE78" s="4"/>
      <c r="AF78" s="4"/>
      <c r="AG78" s="4"/>
      <c r="AH78" s="4"/>
      <c r="AI78" s="4"/>
      <c r="AJ78" s="4"/>
      <c r="AK78" s="4"/>
      <c r="AL78" s="4"/>
    </row>
    <row r="79" spans="1:38" x14ac:dyDescent="0.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4"/>
      <c r="AD79" s="4"/>
      <c r="AE79" s="4"/>
      <c r="AF79" s="4"/>
      <c r="AG79" s="4"/>
      <c r="AH79" s="4"/>
      <c r="AI79" s="4"/>
      <c r="AJ79" s="4"/>
      <c r="AK79" s="4"/>
      <c r="AL79" s="4"/>
    </row>
    <row r="80" spans="1:38" x14ac:dyDescent="0.2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4"/>
      <c r="AD80" s="4"/>
      <c r="AE80" s="4"/>
      <c r="AF80" s="4"/>
      <c r="AG80" s="4"/>
      <c r="AH80" s="4"/>
      <c r="AI80" s="4"/>
      <c r="AJ80" s="4"/>
      <c r="AK80" s="4"/>
      <c r="AL80" s="4"/>
    </row>
    <row r="81" spans="1:38" x14ac:dyDescent="0.2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4"/>
      <c r="AD81" s="4"/>
      <c r="AE81" s="4"/>
      <c r="AF81" s="4"/>
      <c r="AG81" s="4"/>
      <c r="AH81" s="4"/>
      <c r="AI81" s="4"/>
      <c r="AJ81" s="4"/>
      <c r="AK81" s="4"/>
      <c r="AL81" s="4"/>
    </row>
    <row r="82" spans="1:38" x14ac:dyDescent="0.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4"/>
      <c r="AD82" s="4"/>
      <c r="AE82" s="4"/>
      <c r="AF82" s="4"/>
      <c r="AG82" s="4"/>
      <c r="AH82" s="4"/>
      <c r="AI82" s="4"/>
      <c r="AJ82" s="4"/>
      <c r="AK82" s="4"/>
      <c r="AL82" s="4"/>
    </row>
    <row r="83" spans="1:38" x14ac:dyDescent="0.2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4"/>
      <c r="AD83" s="4"/>
      <c r="AE83" s="4"/>
      <c r="AF83" s="4"/>
      <c r="AG83" s="4"/>
      <c r="AH83" s="4"/>
      <c r="AI83" s="4"/>
      <c r="AJ83" s="4"/>
      <c r="AK83" s="4"/>
      <c r="AL83" s="4"/>
    </row>
    <row r="84" spans="1:38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4"/>
      <c r="AD84" s="4"/>
      <c r="AE84" s="4"/>
      <c r="AF84" s="4"/>
      <c r="AG84" s="4"/>
      <c r="AH84" s="4"/>
      <c r="AI84" s="4"/>
      <c r="AJ84" s="4"/>
      <c r="AK84" s="4"/>
      <c r="AL84" s="4"/>
    </row>
    <row r="85" spans="1:38" x14ac:dyDescent="0.2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4"/>
      <c r="AD85" s="4"/>
      <c r="AE85" s="4"/>
      <c r="AF85" s="4"/>
      <c r="AG85" s="4"/>
      <c r="AH85" s="4"/>
      <c r="AI85" s="4"/>
      <c r="AJ85" s="4"/>
      <c r="AK85" s="4"/>
      <c r="AL85" s="4"/>
    </row>
    <row r="86" spans="1:38" x14ac:dyDescent="0.2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4"/>
      <c r="AD86" s="4"/>
      <c r="AE86" s="4"/>
      <c r="AF86" s="4"/>
      <c r="AG86" s="4"/>
      <c r="AH86" s="4"/>
      <c r="AI86" s="4"/>
      <c r="AJ86" s="4"/>
      <c r="AK86" s="4"/>
      <c r="AL86" s="4"/>
    </row>
    <row r="87" spans="1:38" x14ac:dyDescent="0.2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4"/>
      <c r="AD87" s="4"/>
      <c r="AE87" s="4"/>
      <c r="AF87" s="4"/>
      <c r="AG87" s="4"/>
      <c r="AH87" s="4"/>
      <c r="AI87" s="4"/>
      <c r="AJ87" s="4"/>
      <c r="AK87" s="4"/>
      <c r="AL87" s="4"/>
    </row>
    <row r="88" spans="1:38" x14ac:dyDescent="0.2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4"/>
      <c r="AD88" s="4"/>
      <c r="AE88" s="4"/>
      <c r="AF88" s="4"/>
      <c r="AG88" s="4"/>
      <c r="AH88" s="4"/>
      <c r="AI88" s="4"/>
      <c r="AJ88" s="4"/>
      <c r="AK88" s="4"/>
      <c r="AL88" s="4"/>
    </row>
    <row r="89" spans="1:38" x14ac:dyDescent="0.2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4"/>
      <c r="AD89" s="4"/>
      <c r="AE89" s="4"/>
      <c r="AF89" s="4"/>
      <c r="AG89" s="4"/>
      <c r="AH89" s="4"/>
      <c r="AI89" s="4"/>
      <c r="AJ89" s="4"/>
      <c r="AK89" s="4"/>
      <c r="AL89" s="4"/>
    </row>
    <row r="90" spans="1:38" x14ac:dyDescent="0.2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4"/>
      <c r="AD90" s="4"/>
      <c r="AE90" s="4"/>
      <c r="AF90" s="4"/>
      <c r="AG90" s="4"/>
      <c r="AH90" s="4"/>
      <c r="AI90" s="4"/>
      <c r="AJ90" s="4"/>
      <c r="AK90" s="4"/>
      <c r="AL90" s="4"/>
    </row>
    <row r="91" spans="1:38" x14ac:dyDescent="0.2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4"/>
      <c r="AD91" s="4"/>
      <c r="AE91" s="4"/>
      <c r="AF91" s="4"/>
      <c r="AG91" s="4"/>
      <c r="AH91" s="4"/>
      <c r="AI91" s="4"/>
      <c r="AJ91" s="4"/>
      <c r="AK91" s="4"/>
      <c r="AL91" s="4"/>
    </row>
    <row r="92" spans="1:38" x14ac:dyDescent="0.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4"/>
      <c r="AD92" s="4"/>
      <c r="AE92" s="4"/>
      <c r="AF92" s="4"/>
      <c r="AG92" s="4"/>
      <c r="AH92" s="4"/>
      <c r="AI92" s="4"/>
      <c r="AJ92" s="4"/>
      <c r="AK92" s="4"/>
      <c r="AL92" s="4"/>
    </row>
    <row r="93" spans="1:38" x14ac:dyDescent="0.2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4"/>
      <c r="AD93" s="4"/>
      <c r="AE93" s="4"/>
      <c r="AF93" s="4"/>
      <c r="AG93" s="4"/>
      <c r="AH93" s="4"/>
      <c r="AI93" s="4"/>
      <c r="AJ93" s="4"/>
      <c r="AK93" s="4"/>
      <c r="AL93" s="4"/>
    </row>
    <row r="94" spans="1:38" x14ac:dyDescent="0.2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4"/>
      <c r="AD94" s="4"/>
      <c r="AE94" s="4"/>
      <c r="AF94" s="4"/>
      <c r="AG94" s="4"/>
      <c r="AH94" s="4"/>
      <c r="AI94" s="4"/>
      <c r="AJ94" s="4"/>
      <c r="AK94" s="4"/>
      <c r="AL94" s="4"/>
    </row>
    <row r="95" spans="1:38" x14ac:dyDescent="0.2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4"/>
      <c r="AD95" s="4"/>
      <c r="AE95" s="4"/>
      <c r="AF95" s="4"/>
      <c r="AG95" s="4"/>
      <c r="AH95" s="4"/>
      <c r="AI95" s="4"/>
      <c r="AJ95" s="4"/>
      <c r="AK95" s="4"/>
      <c r="AL95" s="4"/>
    </row>
    <row r="96" spans="1:38" x14ac:dyDescent="0.2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4"/>
      <c r="AD96" s="4"/>
      <c r="AE96" s="4"/>
      <c r="AF96" s="4"/>
      <c r="AG96" s="4"/>
      <c r="AH96" s="4"/>
      <c r="AI96" s="4"/>
      <c r="AJ96" s="4"/>
      <c r="AK96" s="4"/>
      <c r="AL96" s="4"/>
    </row>
    <row r="97" spans="1:38" x14ac:dyDescent="0.2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4"/>
      <c r="AD97" s="4"/>
      <c r="AE97" s="4"/>
      <c r="AF97" s="4"/>
      <c r="AG97" s="4"/>
      <c r="AH97" s="4"/>
      <c r="AI97" s="4"/>
      <c r="AJ97" s="4"/>
      <c r="AK97" s="4"/>
      <c r="AL97" s="4"/>
    </row>
    <row r="98" spans="1:38" x14ac:dyDescent="0.2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4"/>
      <c r="AD98" s="4"/>
      <c r="AE98" s="4"/>
      <c r="AF98" s="4"/>
      <c r="AG98" s="4"/>
      <c r="AH98" s="4"/>
      <c r="AI98" s="4"/>
      <c r="AJ98" s="4"/>
      <c r="AK98" s="4"/>
      <c r="AL98" s="4"/>
    </row>
    <row r="99" spans="1:38" x14ac:dyDescent="0.2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4"/>
      <c r="AD99" s="4"/>
      <c r="AE99" s="4"/>
      <c r="AF99" s="4"/>
      <c r="AG99" s="4"/>
      <c r="AH99" s="4"/>
      <c r="AI99" s="4"/>
      <c r="AJ99" s="4"/>
      <c r="AK99" s="4"/>
      <c r="AL99" s="4"/>
    </row>
    <row r="100" spans="1:38" x14ac:dyDescent="0.2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4"/>
      <c r="AD100" s="4"/>
      <c r="AE100" s="4"/>
      <c r="AF100" s="4"/>
      <c r="AG100" s="4"/>
      <c r="AH100" s="4"/>
      <c r="AI100" s="4"/>
      <c r="AJ100" s="4"/>
      <c r="AK100" s="4"/>
      <c r="AL100" s="4"/>
    </row>
    <row r="101" spans="1:38" x14ac:dyDescent="0.2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4"/>
      <c r="AD101" s="4"/>
      <c r="AE101" s="4"/>
      <c r="AF101" s="4"/>
      <c r="AG101" s="4"/>
      <c r="AH101" s="4"/>
      <c r="AI101" s="4"/>
      <c r="AJ101" s="4"/>
      <c r="AK101" s="4"/>
      <c r="AL101" s="4"/>
    </row>
    <row r="102" spans="1:38" x14ac:dyDescent="0.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4"/>
      <c r="AD102" s="4"/>
      <c r="AE102" s="4"/>
      <c r="AF102" s="4"/>
      <c r="AG102" s="4"/>
      <c r="AH102" s="4"/>
      <c r="AI102" s="4"/>
      <c r="AJ102" s="4"/>
      <c r="AK102" s="4"/>
      <c r="AL102" s="4"/>
    </row>
    <row r="103" spans="1:38" x14ac:dyDescent="0.2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4"/>
      <c r="AD103" s="4"/>
      <c r="AE103" s="4"/>
      <c r="AF103" s="4"/>
      <c r="AG103" s="4"/>
      <c r="AH103" s="4"/>
      <c r="AI103" s="4"/>
      <c r="AJ103" s="4"/>
      <c r="AK103" s="4"/>
      <c r="AL103" s="4"/>
    </row>
    <row r="104" spans="1:38" x14ac:dyDescent="0.2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4"/>
      <c r="AD104" s="4"/>
      <c r="AE104" s="4"/>
      <c r="AF104" s="4"/>
      <c r="AG104" s="4"/>
      <c r="AH104" s="4"/>
      <c r="AI104" s="4"/>
      <c r="AJ104" s="4"/>
      <c r="AK104" s="4"/>
      <c r="AL104" s="4"/>
    </row>
    <row r="105" spans="1:38" x14ac:dyDescent="0.2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4"/>
      <c r="AD105" s="4"/>
      <c r="AE105" s="4"/>
      <c r="AF105" s="4"/>
      <c r="AG105" s="4"/>
      <c r="AH105" s="4"/>
      <c r="AI105" s="4"/>
      <c r="AJ105" s="4"/>
      <c r="AK105" s="4"/>
      <c r="AL105" s="4"/>
    </row>
    <row r="106" spans="1:38" x14ac:dyDescent="0.2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4"/>
      <c r="AD106" s="4"/>
      <c r="AE106" s="4"/>
      <c r="AF106" s="4"/>
      <c r="AG106" s="4"/>
      <c r="AH106" s="4"/>
      <c r="AI106" s="4"/>
      <c r="AJ106" s="4"/>
      <c r="AK106" s="4"/>
      <c r="AL106" s="4"/>
    </row>
    <row r="107" spans="1:38" x14ac:dyDescent="0.2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4"/>
      <c r="AD107" s="4"/>
      <c r="AE107" s="4"/>
      <c r="AF107" s="4"/>
      <c r="AG107" s="4"/>
      <c r="AH107" s="4"/>
      <c r="AI107" s="4"/>
      <c r="AJ107" s="4"/>
      <c r="AK107" s="4"/>
      <c r="AL107" s="4"/>
    </row>
    <row r="108" spans="1:38" x14ac:dyDescent="0.2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4"/>
      <c r="AD108" s="4"/>
      <c r="AE108" s="4"/>
      <c r="AF108" s="4"/>
      <c r="AG108" s="4"/>
      <c r="AH108" s="4"/>
      <c r="AI108" s="4"/>
      <c r="AJ108" s="4"/>
      <c r="AK108" s="4"/>
      <c r="AL108" s="4"/>
    </row>
    <row r="109" spans="1:38" x14ac:dyDescent="0.2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4"/>
      <c r="AD109" s="4"/>
      <c r="AE109" s="4"/>
      <c r="AF109" s="4"/>
      <c r="AG109" s="4"/>
      <c r="AH109" s="4"/>
      <c r="AI109" s="4"/>
      <c r="AJ109" s="4"/>
      <c r="AK109" s="4"/>
      <c r="AL109" s="4"/>
    </row>
    <row r="110" spans="1:38" x14ac:dyDescent="0.2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4"/>
      <c r="AD110" s="4"/>
      <c r="AE110" s="4"/>
      <c r="AF110" s="4"/>
      <c r="AG110" s="4"/>
      <c r="AH110" s="4"/>
      <c r="AI110" s="4"/>
      <c r="AJ110" s="4"/>
      <c r="AK110" s="4"/>
      <c r="AL110" s="4"/>
    </row>
    <row r="111" spans="1:38" x14ac:dyDescent="0.2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4"/>
      <c r="AD111" s="4"/>
      <c r="AE111" s="4"/>
      <c r="AF111" s="4"/>
      <c r="AG111" s="4"/>
      <c r="AH111" s="4"/>
      <c r="AI111" s="4"/>
      <c r="AJ111" s="4"/>
      <c r="AK111" s="4"/>
      <c r="AL111" s="4"/>
    </row>
    <row r="112" spans="1:38" x14ac:dyDescent="0.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4"/>
      <c r="AD112" s="4"/>
      <c r="AE112" s="4"/>
      <c r="AF112" s="4"/>
      <c r="AG112" s="4"/>
      <c r="AH112" s="4"/>
      <c r="AI112" s="4"/>
      <c r="AJ112" s="4"/>
      <c r="AK112" s="4"/>
      <c r="AL112" s="4"/>
    </row>
    <row r="113" spans="1:38" x14ac:dyDescent="0.2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4"/>
      <c r="AD113" s="4"/>
      <c r="AE113" s="4"/>
      <c r="AF113" s="4"/>
      <c r="AG113" s="4"/>
      <c r="AH113" s="4"/>
      <c r="AI113" s="4"/>
      <c r="AJ113" s="4"/>
      <c r="AK113" s="4"/>
      <c r="AL113" s="4"/>
    </row>
    <row r="114" spans="1:38" x14ac:dyDescent="0.2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4"/>
      <c r="AD114" s="4"/>
      <c r="AE114" s="4"/>
      <c r="AF114" s="4"/>
      <c r="AG114" s="4"/>
      <c r="AH114" s="4"/>
      <c r="AI114" s="4"/>
      <c r="AJ114" s="4"/>
      <c r="AK114" s="4"/>
      <c r="AL114" s="4"/>
    </row>
    <row r="115" spans="1:38" x14ac:dyDescent="0.2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4"/>
      <c r="AD115" s="4"/>
      <c r="AE115" s="4"/>
      <c r="AF115" s="4"/>
      <c r="AG115" s="4"/>
      <c r="AH115" s="4"/>
      <c r="AI115" s="4"/>
      <c r="AJ115" s="4"/>
      <c r="AK115" s="4"/>
      <c r="AL115" s="4"/>
    </row>
    <row r="116" spans="1:38" x14ac:dyDescent="0.2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4"/>
      <c r="AD116" s="4"/>
      <c r="AE116" s="4"/>
      <c r="AF116" s="4"/>
      <c r="AG116" s="4"/>
      <c r="AH116" s="4"/>
      <c r="AI116" s="4"/>
      <c r="AJ116" s="4"/>
      <c r="AK116" s="4"/>
      <c r="AL116" s="4"/>
    </row>
    <row r="117" spans="1:38" x14ac:dyDescent="0.2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4"/>
      <c r="AD117" s="4"/>
      <c r="AE117" s="4"/>
      <c r="AF117" s="4"/>
      <c r="AG117" s="4"/>
      <c r="AH117" s="4"/>
      <c r="AI117" s="4"/>
      <c r="AJ117" s="4"/>
      <c r="AK117" s="4"/>
      <c r="AL117" s="4"/>
    </row>
    <row r="118" spans="1:38" x14ac:dyDescent="0.2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4"/>
      <c r="AD118" s="4"/>
      <c r="AE118" s="4"/>
      <c r="AF118" s="4"/>
      <c r="AG118" s="4"/>
      <c r="AH118" s="4"/>
      <c r="AI118" s="4"/>
      <c r="AJ118" s="4"/>
      <c r="AK118" s="4"/>
      <c r="AL118" s="4"/>
    </row>
    <row r="119" spans="1:38" x14ac:dyDescent="0.2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4"/>
      <c r="AD119" s="4"/>
      <c r="AE119" s="4"/>
      <c r="AF119" s="4"/>
      <c r="AG119" s="4"/>
      <c r="AH119" s="4"/>
      <c r="AI119" s="4"/>
      <c r="AJ119" s="4"/>
      <c r="AK119" s="4"/>
      <c r="AL119" s="4"/>
    </row>
    <row r="120" spans="1:38" x14ac:dyDescent="0.2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4"/>
      <c r="AD120" s="4"/>
      <c r="AE120" s="4"/>
      <c r="AF120" s="4"/>
      <c r="AG120" s="4"/>
      <c r="AH120" s="4"/>
      <c r="AI120" s="4"/>
      <c r="AJ120" s="4"/>
      <c r="AK120" s="4"/>
      <c r="AL120" s="4"/>
    </row>
    <row r="121" spans="1:38" x14ac:dyDescent="0.2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4"/>
      <c r="AD121" s="4"/>
      <c r="AE121" s="4"/>
      <c r="AF121" s="4"/>
      <c r="AG121" s="4"/>
      <c r="AH121" s="4"/>
      <c r="AI121" s="4"/>
      <c r="AJ121" s="4"/>
      <c r="AK121" s="4"/>
      <c r="AL121" s="4"/>
    </row>
    <row r="122" spans="1:38" x14ac:dyDescent="0.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4"/>
      <c r="AD122" s="4"/>
      <c r="AE122" s="4"/>
      <c r="AF122" s="4"/>
      <c r="AG122" s="4"/>
      <c r="AH122" s="4"/>
      <c r="AI122" s="4"/>
      <c r="AJ122" s="4"/>
      <c r="AK122" s="4"/>
      <c r="AL122" s="4"/>
    </row>
    <row r="123" spans="1:38" x14ac:dyDescent="0.2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4"/>
      <c r="AD123" s="4"/>
      <c r="AE123" s="4"/>
      <c r="AF123" s="4"/>
      <c r="AG123" s="4"/>
      <c r="AH123" s="4"/>
      <c r="AI123" s="4"/>
      <c r="AJ123" s="4"/>
      <c r="AK123" s="4"/>
      <c r="AL123" s="4"/>
    </row>
    <row r="124" spans="1:38" x14ac:dyDescent="0.2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4"/>
      <c r="AD124" s="4"/>
      <c r="AE124" s="4"/>
      <c r="AF124" s="4"/>
      <c r="AG124" s="4"/>
      <c r="AH124" s="4"/>
      <c r="AI124" s="4"/>
      <c r="AJ124" s="4"/>
      <c r="AK124" s="4"/>
      <c r="AL124" s="4"/>
    </row>
    <row r="125" spans="1:38" x14ac:dyDescent="0.2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4"/>
      <c r="AD125" s="4"/>
      <c r="AE125" s="4"/>
      <c r="AF125" s="4"/>
      <c r="AG125" s="4"/>
      <c r="AH125" s="4"/>
      <c r="AI125" s="4"/>
      <c r="AJ125" s="4"/>
      <c r="AK125" s="4"/>
      <c r="AL125" s="4"/>
    </row>
    <row r="126" spans="1:38" x14ac:dyDescent="0.2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4"/>
      <c r="AD126" s="4"/>
      <c r="AE126" s="4"/>
      <c r="AF126" s="4"/>
      <c r="AG126" s="4"/>
      <c r="AH126" s="4"/>
      <c r="AI126" s="4"/>
      <c r="AJ126" s="4"/>
      <c r="AK126" s="4"/>
      <c r="AL126" s="4"/>
    </row>
    <row r="127" spans="1:38" x14ac:dyDescent="0.2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4"/>
      <c r="AD127" s="4"/>
      <c r="AE127" s="4"/>
      <c r="AF127" s="4"/>
      <c r="AG127" s="4"/>
      <c r="AH127" s="4"/>
      <c r="AI127" s="4"/>
      <c r="AJ127" s="4"/>
      <c r="AK127" s="4"/>
      <c r="AL127" s="4"/>
    </row>
    <row r="128" spans="1:38" x14ac:dyDescent="0.2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4"/>
      <c r="AD128" s="4"/>
      <c r="AE128" s="4"/>
      <c r="AF128" s="4"/>
      <c r="AG128" s="4"/>
      <c r="AH128" s="4"/>
      <c r="AI128" s="4"/>
      <c r="AJ128" s="4"/>
      <c r="AK128" s="4"/>
      <c r="AL128" s="4"/>
    </row>
    <row r="129" spans="1:38" x14ac:dyDescent="0.2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4"/>
      <c r="AD129" s="4"/>
      <c r="AE129" s="4"/>
      <c r="AF129" s="4"/>
      <c r="AG129" s="4"/>
      <c r="AH129" s="4"/>
      <c r="AI129" s="4"/>
      <c r="AJ129" s="4"/>
      <c r="AK129" s="4"/>
      <c r="AL129" s="4"/>
    </row>
    <row r="130" spans="1:38" x14ac:dyDescent="0.2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4"/>
      <c r="AD130" s="4"/>
      <c r="AE130" s="4"/>
      <c r="AF130" s="4"/>
      <c r="AG130" s="4"/>
      <c r="AH130" s="4"/>
      <c r="AI130" s="4"/>
      <c r="AJ130" s="4"/>
      <c r="AK130" s="4"/>
      <c r="AL130" s="4"/>
    </row>
    <row r="131" spans="1:38" x14ac:dyDescent="0.2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4"/>
      <c r="AD131" s="4"/>
      <c r="AE131" s="4"/>
      <c r="AF131" s="4"/>
      <c r="AG131" s="4"/>
      <c r="AH131" s="4"/>
      <c r="AI131" s="4"/>
      <c r="AJ131" s="4"/>
      <c r="AK131" s="4"/>
      <c r="AL131" s="4"/>
    </row>
    <row r="132" spans="1:38" x14ac:dyDescent="0.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4"/>
      <c r="AD132" s="4"/>
      <c r="AE132" s="4"/>
      <c r="AF132" s="4"/>
      <c r="AG132" s="4"/>
      <c r="AH132" s="4"/>
      <c r="AI132" s="4"/>
      <c r="AJ132" s="4"/>
      <c r="AK132" s="4"/>
      <c r="AL132" s="4"/>
    </row>
    <row r="133" spans="1:38" x14ac:dyDescent="0.2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4"/>
      <c r="AD133" s="4"/>
      <c r="AE133" s="4"/>
      <c r="AF133" s="4"/>
      <c r="AG133" s="4"/>
      <c r="AH133" s="4"/>
      <c r="AI133" s="4"/>
      <c r="AJ133" s="4"/>
      <c r="AK133" s="4"/>
      <c r="AL133" s="4"/>
    </row>
    <row r="134" spans="1:38" x14ac:dyDescent="0.2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4"/>
      <c r="AD134" s="4"/>
      <c r="AE134" s="4"/>
      <c r="AF134" s="4"/>
      <c r="AG134" s="4"/>
      <c r="AH134" s="4"/>
      <c r="AI134" s="4"/>
      <c r="AJ134" s="4"/>
      <c r="AK134" s="4"/>
      <c r="AL134" s="4"/>
    </row>
    <row r="135" spans="1:38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4"/>
      <c r="AD135" s="4"/>
      <c r="AE135" s="4"/>
      <c r="AF135" s="4"/>
      <c r="AG135" s="4"/>
      <c r="AH135" s="4"/>
      <c r="AI135" s="4"/>
      <c r="AJ135" s="4"/>
      <c r="AK135" s="4"/>
      <c r="AL135" s="4"/>
    </row>
    <row r="136" spans="1:38" x14ac:dyDescent="0.2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4"/>
      <c r="AD136" s="4"/>
      <c r="AE136" s="4"/>
      <c r="AF136" s="4"/>
      <c r="AG136" s="4"/>
      <c r="AH136" s="4"/>
      <c r="AI136" s="4"/>
      <c r="AJ136" s="4"/>
      <c r="AK136" s="4"/>
      <c r="AL136" s="4"/>
    </row>
    <row r="137" spans="1:38" x14ac:dyDescent="0.2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4"/>
      <c r="AD137" s="4"/>
      <c r="AE137" s="4"/>
      <c r="AF137" s="4"/>
      <c r="AG137" s="4"/>
      <c r="AH137" s="4"/>
      <c r="AI137" s="4"/>
      <c r="AJ137" s="4"/>
      <c r="AK137" s="4"/>
      <c r="AL137" s="4"/>
    </row>
    <row r="138" spans="1:38" x14ac:dyDescent="0.2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4"/>
      <c r="AD138" s="4"/>
      <c r="AE138" s="4"/>
      <c r="AF138" s="4"/>
      <c r="AG138" s="4"/>
      <c r="AH138" s="4"/>
      <c r="AI138" s="4"/>
      <c r="AJ138" s="4"/>
      <c r="AK138" s="4"/>
      <c r="AL138" s="4"/>
    </row>
    <row r="139" spans="1:38" x14ac:dyDescent="0.2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4"/>
      <c r="AD139" s="4"/>
      <c r="AE139" s="4"/>
      <c r="AF139" s="4"/>
      <c r="AG139" s="4"/>
      <c r="AH139" s="4"/>
      <c r="AI139" s="4"/>
      <c r="AJ139" s="4"/>
      <c r="AK139" s="4"/>
      <c r="AL139" s="4"/>
    </row>
    <row r="140" spans="1:38" x14ac:dyDescent="0.2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4"/>
      <c r="AD140" s="4"/>
      <c r="AE140" s="4"/>
      <c r="AF140" s="4"/>
      <c r="AG140" s="4"/>
      <c r="AH140" s="4"/>
      <c r="AI140" s="4"/>
      <c r="AJ140" s="4"/>
      <c r="AK140" s="4"/>
      <c r="AL140" s="4"/>
    </row>
    <row r="141" spans="1:38" x14ac:dyDescent="0.2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4"/>
      <c r="AD141" s="4"/>
      <c r="AE141" s="4"/>
      <c r="AF141" s="4"/>
      <c r="AG141" s="4"/>
      <c r="AH141" s="4"/>
      <c r="AI141" s="4"/>
      <c r="AJ141" s="4"/>
      <c r="AK141" s="4"/>
      <c r="AL141" s="4"/>
    </row>
    <row r="142" spans="1:38" x14ac:dyDescent="0.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4"/>
      <c r="AD142" s="4"/>
      <c r="AE142" s="4"/>
      <c r="AF142" s="4"/>
      <c r="AG142" s="4"/>
      <c r="AH142" s="4"/>
      <c r="AI142" s="4"/>
      <c r="AJ142" s="4"/>
      <c r="AK142" s="4"/>
      <c r="AL142" s="4"/>
    </row>
    <row r="143" spans="1:38" x14ac:dyDescent="0.2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4"/>
      <c r="AD143" s="4"/>
      <c r="AE143" s="4"/>
      <c r="AF143" s="4"/>
      <c r="AG143" s="4"/>
      <c r="AH143" s="4"/>
      <c r="AI143" s="4"/>
      <c r="AJ143" s="4"/>
      <c r="AK143" s="4"/>
      <c r="AL143" s="4"/>
    </row>
    <row r="144" spans="1:38" x14ac:dyDescent="0.2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4"/>
      <c r="AD144" s="4"/>
      <c r="AE144" s="4"/>
      <c r="AF144" s="4"/>
      <c r="AG144" s="4"/>
      <c r="AH144" s="4"/>
      <c r="AI144" s="4"/>
      <c r="AJ144" s="4"/>
      <c r="AK144" s="4"/>
      <c r="AL144" s="4"/>
    </row>
    <row r="145" spans="1:38" x14ac:dyDescent="0.2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4"/>
      <c r="AD145" s="4"/>
      <c r="AE145" s="4"/>
      <c r="AF145" s="4"/>
      <c r="AG145" s="4"/>
      <c r="AH145" s="4"/>
      <c r="AI145" s="4"/>
      <c r="AJ145" s="4"/>
      <c r="AK145" s="4"/>
      <c r="AL145" s="4"/>
    </row>
    <row r="146" spans="1:38" x14ac:dyDescent="0.2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</row>
    <row r="147" spans="1:38" x14ac:dyDescent="0.2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</row>
    <row r="148" spans="1:38" x14ac:dyDescent="0.2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</row>
    <row r="149" spans="1:38" x14ac:dyDescent="0.2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</row>
    <row r="150" spans="1:38" x14ac:dyDescent="0.2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</row>
    <row r="151" spans="1:38" x14ac:dyDescent="0.2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</row>
    <row r="152" spans="1:38" x14ac:dyDescent="0.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</row>
    <row r="153" spans="1:38" x14ac:dyDescent="0.2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</row>
    <row r="154" spans="1:38" x14ac:dyDescent="0.2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</row>
    <row r="155" spans="1:38" x14ac:dyDescent="0.2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</row>
    <row r="156" spans="1:38" x14ac:dyDescent="0.2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</row>
    <row r="157" spans="1:38" x14ac:dyDescent="0.2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</row>
    <row r="158" spans="1:38" x14ac:dyDescent="0.2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</row>
    <row r="159" spans="1:38" x14ac:dyDescent="0.2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</row>
    <row r="160" spans="1:38" x14ac:dyDescent="0.2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</row>
    <row r="161" spans="1:38" x14ac:dyDescent="0.2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</row>
    <row r="162" spans="1:38" x14ac:dyDescent="0.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</row>
    <row r="163" spans="1:38" x14ac:dyDescent="0.2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</row>
    <row r="164" spans="1:38" x14ac:dyDescent="0.2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</row>
    <row r="165" spans="1:38" x14ac:dyDescent="0.2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</row>
    <row r="166" spans="1:38" x14ac:dyDescent="0.2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</row>
    <row r="167" spans="1:38" x14ac:dyDescent="0.2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</row>
    <row r="168" spans="1:38" x14ac:dyDescent="0.2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</row>
    <row r="169" spans="1:38" x14ac:dyDescent="0.2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</row>
    <row r="170" spans="1:38" x14ac:dyDescent="0.2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</row>
    <row r="171" spans="1:38" x14ac:dyDescent="0.2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</row>
    <row r="172" spans="1:38" x14ac:dyDescent="0.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</row>
    <row r="173" spans="1:38" x14ac:dyDescent="0.2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</row>
    <row r="174" spans="1:38" x14ac:dyDescent="0.2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</row>
    <row r="175" spans="1:38" x14ac:dyDescent="0.2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</row>
    <row r="176" spans="1:38" x14ac:dyDescent="0.2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</row>
    <row r="177" spans="1:38" x14ac:dyDescent="0.2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</row>
    <row r="178" spans="1:38" x14ac:dyDescent="0.2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</row>
    <row r="179" spans="1:38" x14ac:dyDescent="0.2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</row>
    <row r="180" spans="1:38" x14ac:dyDescent="0.2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</row>
    <row r="181" spans="1:38" x14ac:dyDescent="0.2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</row>
    <row r="182" spans="1:38" x14ac:dyDescent="0.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</row>
    <row r="183" spans="1:38" x14ac:dyDescent="0.2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</row>
    <row r="184" spans="1:38" x14ac:dyDescent="0.2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</row>
    <row r="185" spans="1:38" x14ac:dyDescent="0.2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</row>
    <row r="186" spans="1:38" x14ac:dyDescent="0.2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</row>
    <row r="187" spans="1:38" x14ac:dyDescent="0.2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</row>
    <row r="188" spans="1:38" x14ac:dyDescent="0.2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</row>
    <row r="189" spans="1:38" x14ac:dyDescent="0.2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</row>
    <row r="190" spans="1:38" x14ac:dyDescent="0.2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</row>
    <row r="191" spans="1:38" x14ac:dyDescent="0.2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</row>
    <row r="192" spans="1:38" x14ac:dyDescent="0.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</row>
    <row r="193" spans="1:38" x14ac:dyDescent="0.2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</row>
    <row r="194" spans="1:38" x14ac:dyDescent="0.2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</row>
    <row r="195" spans="1:38" x14ac:dyDescent="0.2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</row>
    <row r="196" spans="1:38" x14ac:dyDescent="0.2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</row>
    <row r="197" spans="1:38" x14ac:dyDescent="0.2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</row>
    <row r="198" spans="1:38" x14ac:dyDescent="0.2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</row>
    <row r="199" spans="1:38" x14ac:dyDescent="0.2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</row>
    <row r="200" spans="1:38" x14ac:dyDescent="0.2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</row>
    <row r="201" spans="1:38" x14ac:dyDescent="0.2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</row>
    <row r="202" spans="1:38" x14ac:dyDescent="0.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</row>
    <row r="203" spans="1:38" x14ac:dyDescent="0.2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</row>
    <row r="204" spans="1:38" x14ac:dyDescent="0.2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</row>
    <row r="205" spans="1:38" x14ac:dyDescent="0.2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</row>
    <row r="206" spans="1:38" x14ac:dyDescent="0.2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</row>
    <row r="207" spans="1:38" x14ac:dyDescent="0.2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</row>
    <row r="208" spans="1:38" x14ac:dyDescent="0.2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</row>
    <row r="209" spans="1:38" x14ac:dyDescent="0.2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</row>
    <row r="210" spans="1:38" x14ac:dyDescent="0.2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</row>
    <row r="211" spans="1:38" x14ac:dyDescent="0.2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</row>
    <row r="212" spans="1:38" x14ac:dyDescent="0.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</row>
    <row r="213" spans="1:38" x14ac:dyDescent="0.2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</row>
    <row r="214" spans="1:38" x14ac:dyDescent="0.2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</row>
    <row r="215" spans="1:38" x14ac:dyDescent="0.2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</row>
    <row r="216" spans="1:38" x14ac:dyDescent="0.2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</row>
    <row r="217" spans="1:38" x14ac:dyDescent="0.2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</row>
    <row r="218" spans="1:38" x14ac:dyDescent="0.2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</row>
    <row r="219" spans="1:38" x14ac:dyDescent="0.2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</row>
    <row r="220" spans="1:38" x14ac:dyDescent="0.2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</row>
    <row r="221" spans="1:38" x14ac:dyDescent="0.2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</row>
    <row r="222" spans="1:38" x14ac:dyDescent="0.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</row>
    <row r="223" spans="1:38" x14ac:dyDescent="0.2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</row>
    <row r="224" spans="1:38" x14ac:dyDescent="0.2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</row>
    <row r="225" spans="1:38" x14ac:dyDescent="0.2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</row>
    <row r="226" spans="1:38" x14ac:dyDescent="0.2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</row>
    <row r="227" spans="1:38" x14ac:dyDescent="0.2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</row>
    <row r="228" spans="1:38" x14ac:dyDescent="0.2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</row>
    <row r="229" spans="1:38" x14ac:dyDescent="0.2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</row>
    <row r="230" spans="1:38" x14ac:dyDescent="0.2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</row>
    <row r="231" spans="1:38" x14ac:dyDescent="0.2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</row>
    <row r="232" spans="1:38" x14ac:dyDescent="0.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</row>
    <row r="233" spans="1:38" x14ac:dyDescent="0.2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</row>
    <row r="234" spans="1:38" x14ac:dyDescent="0.2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</row>
    <row r="235" spans="1:38" x14ac:dyDescent="0.2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</row>
    <row r="236" spans="1:38" x14ac:dyDescent="0.2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</row>
    <row r="237" spans="1:38" x14ac:dyDescent="0.2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</row>
    <row r="238" spans="1:38" x14ac:dyDescent="0.2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</row>
    <row r="239" spans="1:38" x14ac:dyDescent="0.2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</row>
    <row r="240" spans="1:38" x14ac:dyDescent="0.2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</row>
    <row r="241" spans="1:38" x14ac:dyDescent="0.2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</row>
    <row r="242" spans="1:38" x14ac:dyDescent="0.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</row>
    <row r="243" spans="1:38" x14ac:dyDescent="0.2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</row>
    <row r="244" spans="1:38" x14ac:dyDescent="0.2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</row>
    <row r="245" spans="1:38" x14ac:dyDescent="0.2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</row>
    <row r="246" spans="1:38" x14ac:dyDescent="0.2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</row>
    <row r="247" spans="1:38" x14ac:dyDescent="0.2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</row>
    <row r="248" spans="1:38" x14ac:dyDescent="0.2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</row>
    <row r="249" spans="1:38" x14ac:dyDescent="0.2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</row>
    <row r="250" spans="1:38" x14ac:dyDescent="0.2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</row>
    <row r="251" spans="1:38" x14ac:dyDescent="0.2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</row>
    <row r="252" spans="1:38" x14ac:dyDescent="0.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</row>
    <row r="253" spans="1:38" x14ac:dyDescent="0.2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</row>
    <row r="254" spans="1:38" x14ac:dyDescent="0.2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</row>
    <row r="255" spans="1:38" x14ac:dyDescent="0.2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</row>
    <row r="256" spans="1:38" x14ac:dyDescent="0.2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</row>
    <row r="257" spans="1:38" x14ac:dyDescent="0.2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</row>
    <row r="258" spans="1:38" x14ac:dyDescent="0.2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</row>
    <row r="259" spans="1:38" x14ac:dyDescent="0.2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</row>
    <row r="260" spans="1:38" x14ac:dyDescent="0.2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</row>
    <row r="261" spans="1:38" x14ac:dyDescent="0.2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</row>
    <row r="262" spans="1:38" x14ac:dyDescent="0.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</row>
    <row r="263" spans="1:38" x14ac:dyDescent="0.2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</row>
    <row r="264" spans="1:38" x14ac:dyDescent="0.2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</row>
    <row r="265" spans="1:38" x14ac:dyDescent="0.2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</row>
    <row r="266" spans="1:38" x14ac:dyDescent="0.2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</row>
    <row r="267" spans="1:38" x14ac:dyDescent="0.2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</row>
    <row r="268" spans="1:38" x14ac:dyDescent="0.2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</row>
    <row r="269" spans="1:38" x14ac:dyDescent="0.2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</row>
    <row r="270" spans="1:38" x14ac:dyDescent="0.2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</row>
    <row r="271" spans="1:38" x14ac:dyDescent="0.2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</row>
    <row r="272" spans="1:38" x14ac:dyDescent="0.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</row>
    <row r="273" spans="1:38" x14ac:dyDescent="0.2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</row>
    <row r="274" spans="1:38" x14ac:dyDescent="0.2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</row>
    <row r="275" spans="1:38" x14ac:dyDescent="0.2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</row>
    <row r="276" spans="1:38" x14ac:dyDescent="0.2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</row>
    <row r="277" spans="1:38" x14ac:dyDescent="0.2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</row>
    <row r="278" spans="1:38" x14ac:dyDescent="0.2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</row>
    <row r="279" spans="1:38" x14ac:dyDescent="0.2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</row>
    <row r="280" spans="1:38" x14ac:dyDescent="0.2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</row>
    <row r="281" spans="1:38" x14ac:dyDescent="0.2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</row>
    <row r="282" spans="1:38" x14ac:dyDescent="0.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</row>
    <row r="283" spans="1:38" x14ac:dyDescent="0.2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</row>
    <row r="284" spans="1:38" x14ac:dyDescent="0.2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</row>
    <row r="285" spans="1:38" x14ac:dyDescent="0.2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</row>
    <row r="286" spans="1:38" x14ac:dyDescent="0.2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</row>
    <row r="287" spans="1:38" x14ac:dyDescent="0.2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</row>
    <row r="288" spans="1:38" x14ac:dyDescent="0.2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</row>
    <row r="289" spans="1:38" x14ac:dyDescent="0.2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</row>
    <row r="290" spans="1:38" x14ac:dyDescent="0.2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</row>
    <row r="291" spans="1:38" x14ac:dyDescent="0.2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</row>
    <row r="292" spans="1:38" x14ac:dyDescent="0.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</row>
    <row r="293" spans="1:38" x14ac:dyDescent="0.2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</row>
    <row r="294" spans="1:38" x14ac:dyDescent="0.2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</row>
    <row r="295" spans="1:38" x14ac:dyDescent="0.2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</row>
    <row r="296" spans="1:38" x14ac:dyDescent="0.2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</row>
    <row r="297" spans="1:38" x14ac:dyDescent="0.2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</row>
    <row r="298" spans="1:38" x14ac:dyDescent="0.2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</row>
    <row r="299" spans="1:38" x14ac:dyDescent="0.2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</row>
    <row r="300" spans="1:38" x14ac:dyDescent="0.2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</row>
    <row r="301" spans="1:38" x14ac:dyDescent="0.2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</row>
    <row r="302" spans="1:38" x14ac:dyDescent="0.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</row>
    <row r="303" spans="1:38" x14ac:dyDescent="0.2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</row>
    <row r="304" spans="1:38" x14ac:dyDescent="0.2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</row>
    <row r="305" spans="1:38" x14ac:dyDescent="0.2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</row>
    <row r="306" spans="1:38" x14ac:dyDescent="0.2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</row>
    <row r="307" spans="1:38" x14ac:dyDescent="0.2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</row>
    <row r="308" spans="1:38" x14ac:dyDescent="0.2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</row>
    <row r="309" spans="1:38" x14ac:dyDescent="0.2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</row>
    <row r="310" spans="1:38" x14ac:dyDescent="0.2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</row>
    <row r="311" spans="1:38" x14ac:dyDescent="0.2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</row>
    <row r="312" spans="1:38" x14ac:dyDescent="0.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</row>
    <row r="313" spans="1:38" x14ac:dyDescent="0.2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</row>
    <row r="314" spans="1:38" x14ac:dyDescent="0.2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</row>
    <row r="315" spans="1:38" x14ac:dyDescent="0.2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</row>
    <row r="316" spans="1:38" x14ac:dyDescent="0.2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</row>
    <row r="317" spans="1:38" x14ac:dyDescent="0.2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</row>
    <row r="318" spans="1:38" x14ac:dyDescent="0.2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</row>
    <row r="319" spans="1:38" x14ac:dyDescent="0.2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</row>
    <row r="320" spans="1:38" x14ac:dyDescent="0.2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</row>
    <row r="321" spans="1:38" x14ac:dyDescent="0.2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</row>
    <row r="322" spans="1:38" x14ac:dyDescent="0.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</row>
    <row r="323" spans="1:38" x14ac:dyDescent="0.2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</row>
    <row r="324" spans="1:38" x14ac:dyDescent="0.2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</row>
    <row r="325" spans="1:38" x14ac:dyDescent="0.2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</row>
    <row r="326" spans="1:38" x14ac:dyDescent="0.2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</row>
    <row r="327" spans="1:38" x14ac:dyDescent="0.2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</row>
    <row r="328" spans="1:38" x14ac:dyDescent="0.2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</row>
    <row r="329" spans="1:38" x14ac:dyDescent="0.2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</row>
    <row r="330" spans="1:38" x14ac:dyDescent="0.2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</row>
    <row r="331" spans="1:38" x14ac:dyDescent="0.2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</row>
    <row r="332" spans="1:38" x14ac:dyDescent="0.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</row>
    <row r="333" spans="1:38" x14ac:dyDescent="0.2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</row>
    <row r="334" spans="1:38" x14ac:dyDescent="0.2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</row>
    <row r="335" spans="1:38" x14ac:dyDescent="0.2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</row>
    <row r="336" spans="1:38" x14ac:dyDescent="0.2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</row>
    <row r="337" spans="1:38" x14ac:dyDescent="0.2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</row>
    <row r="338" spans="1:38" x14ac:dyDescent="0.2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</row>
    <row r="339" spans="1:38" x14ac:dyDescent="0.2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</row>
    <row r="340" spans="1:38" x14ac:dyDescent="0.2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</row>
    <row r="341" spans="1:38" x14ac:dyDescent="0.2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</row>
    <row r="342" spans="1:38" x14ac:dyDescent="0.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</row>
    <row r="343" spans="1:38" x14ac:dyDescent="0.2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</row>
    <row r="344" spans="1:38" x14ac:dyDescent="0.2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</row>
    <row r="345" spans="1:38" x14ac:dyDescent="0.2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</row>
    <row r="346" spans="1:38" x14ac:dyDescent="0.2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</row>
    <row r="347" spans="1:38" x14ac:dyDescent="0.2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</row>
    <row r="348" spans="1:38" x14ac:dyDescent="0.2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L348" s="4"/>
    </row>
    <row r="349" spans="1:38" x14ac:dyDescent="0.2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  <c r="AL349" s="4"/>
    </row>
    <row r="350" spans="1:38" x14ac:dyDescent="0.2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  <c r="AL350" s="4"/>
    </row>
    <row r="351" spans="1:38" x14ac:dyDescent="0.2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  <c r="AL351" s="4"/>
    </row>
    <row r="352" spans="1:38" x14ac:dyDescent="0.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  <c r="AL352" s="4"/>
    </row>
    <row r="353" spans="1:38" x14ac:dyDescent="0.2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  <c r="AL353" s="4"/>
    </row>
    <row r="354" spans="1:38" x14ac:dyDescent="0.2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  <c r="AL354" s="4"/>
    </row>
    <row r="355" spans="1:38" x14ac:dyDescent="0.2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  <c r="AL355" s="4"/>
    </row>
    <row r="356" spans="1:38" x14ac:dyDescent="0.2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  <c r="AL356" s="4"/>
    </row>
    <row r="357" spans="1:38" x14ac:dyDescent="0.2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  <c r="AL357" s="4"/>
    </row>
    <row r="358" spans="1:38" x14ac:dyDescent="0.2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  <c r="AL358" s="4"/>
    </row>
    <row r="359" spans="1:38" x14ac:dyDescent="0.2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  <c r="AL359" s="4"/>
    </row>
    <row r="360" spans="1:38" x14ac:dyDescent="0.2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  <c r="AL360" s="4"/>
    </row>
    <row r="361" spans="1:38" x14ac:dyDescent="0.2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  <c r="AL361" s="4"/>
    </row>
    <row r="362" spans="1:38" x14ac:dyDescent="0.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  <c r="AL362" s="4"/>
    </row>
    <row r="363" spans="1:38" x14ac:dyDescent="0.2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  <c r="AL363" s="4"/>
    </row>
    <row r="364" spans="1:38" x14ac:dyDescent="0.2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  <c r="AL364" s="4"/>
    </row>
    <row r="365" spans="1:38" x14ac:dyDescent="0.2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4"/>
      <c r="AL365" s="4"/>
    </row>
    <row r="366" spans="1:38" x14ac:dyDescent="0.2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K366" s="4"/>
      <c r="AL366" s="4"/>
    </row>
    <row r="367" spans="1:38" x14ac:dyDescent="0.2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4"/>
      <c r="AL367" s="4"/>
    </row>
    <row r="368" spans="1:38" x14ac:dyDescent="0.2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K368" s="4"/>
      <c r="AL368" s="4"/>
    </row>
    <row r="369" spans="1:38" x14ac:dyDescent="0.2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4"/>
      <c r="AL369" s="4"/>
    </row>
    <row r="370" spans="1:38" x14ac:dyDescent="0.2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  <c r="AK370" s="4"/>
      <c r="AL370" s="4"/>
    </row>
    <row r="371" spans="1:38" x14ac:dyDescent="0.2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  <c r="AK371" s="4"/>
      <c r="AL371" s="4"/>
    </row>
    <row r="372" spans="1:38" x14ac:dyDescent="0.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  <c r="AK372" s="4"/>
      <c r="AL372" s="4"/>
    </row>
    <row r="373" spans="1:38" x14ac:dyDescent="0.2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  <c r="AK373" s="4"/>
      <c r="AL373" s="4"/>
    </row>
    <row r="374" spans="1:38" x14ac:dyDescent="0.2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4"/>
      <c r="AL374" s="4"/>
    </row>
    <row r="375" spans="1:38" x14ac:dyDescent="0.2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K375" s="4"/>
      <c r="AL375" s="4"/>
    </row>
    <row r="376" spans="1:38" x14ac:dyDescent="0.2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4"/>
      <c r="AL376" s="4"/>
    </row>
    <row r="377" spans="1:38" x14ac:dyDescent="0.2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4"/>
      <c r="AL377" s="4"/>
    </row>
    <row r="378" spans="1:38" x14ac:dyDescent="0.2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K378" s="4"/>
      <c r="AL378" s="4"/>
    </row>
    <row r="379" spans="1:38" x14ac:dyDescent="0.2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  <c r="AK379" s="4"/>
      <c r="AL379" s="4"/>
    </row>
    <row r="380" spans="1:38" x14ac:dyDescent="0.2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  <c r="AK380" s="4"/>
      <c r="AL380" s="4"/>
    </row>
    <row r="381" spans="1:38" x14ac:dyDescent="0.2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4"/>
      <c r="AL381" s="4"/>
    </row>
    <row r="382" spans="1:38" x14ac:dyDescent="0.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K382" s="4"/>
      <c r="AL382" s="4"/>
    </row>
    <row r="383" spans="1:38" x14ac:dyDescent="0.2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  <c r="AK383" s="4"/>
      <c r="AL383" s="4"/>
    </row>
    <row r="384" spans="1:38" x14ac:dyDescent="0.2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  <c r="AK384" s="4"/>
      <c r="AL384" s="4"/>
    </row>
    <row r="385" spans="1:38" x14ac:dyDescent="0.2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  <c r="AK385" s="4"/>
      <c r="AL385" s="4"/>
    </row>
    <row r="386" spans="1:38" x14ac:dyDescent="0.2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  <c r="AK386" s="4"/>
      <c r="AL386" s="4"/>
    </row>
    <row r="387" spans="1:38" x14ac:dyDescent="0.2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4"/>
      <c r="AK387" s="4"/>
      <c r="AL387" s="4"/>
    </row>
    <row r="388" spans="1:38" x14ac:dyDescent="0.2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  <c r="AJ388" s="4"/>
      <c r="AK388" s="4"/>
      <c r="AL388" s="4"/>
    </row>
    <row r="389" spans="1:38" x14ac:dyDescent="0.2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  <c r="AJ389" s="4"/>
      <c r="AK389" s="4"/>
      <c r="AL389" s="4"/>
    </row>
    <row r="390" spans="1:38" x14ac:dyDescent="0.2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  <c r="AJ390" s="4"/>
      <c r="AK390" s="4"/>
      <c r="AL390" s="4"/>
    </row>
    <row r="391" spans="1:38" x14ac:dyDescent="0.2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  <c r="AJ391" s="4"/>
      <c r="AK391" s="4"/>
      <c r="AL391" s="4"/>
    </row>
    <row r="392" spans="1:38" x14ac:dyDescent="0.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  <c r="AJ392" s="4"/>
      <c r="AK392" s="4"/>
      <c r="AL392" s="4"/>
    </row>
    <row r="393" spans="1:38" x14ac:dyDescent="0.2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  <c r="AK393" s="4"/>
      <c r="AL393" s="4"/>
    </row>
    <row r="394" spans="1:38" x14ac:dyDescent="0.2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  <c r="AJ394" s="4"/>
      <c r="AK394" s="4"/>
      <c r="AL394" s="4"/>
    </row>
    <row r="395" spans="1:38" x14ac:dyDescent="0.2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  <c r="AJ395" s="4"/>
      <c r="AK395" s="4"/>
      <c r="AL395" s="4"/>
    </row>
    <row r="396" spans="1:38" x14ac:dyDescent="0.2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  <c r="AJ396" s="4"/>
      <c r="AK396" s="4"/>
      <c r="AL396" s="4"/>
    </row>
    <row r="397" spans="1:38" x14ac:dyDescent="0.2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  <c r="AJ397" s="4"/>
      <c r="AK397" s="4"/>
      <c r="AL397" s="4"/>
    </row>
    <row r="398" spans="1:38" x14ac:dyDescent="0.2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  <c r="AJ398" s="4"/>
      <c r="AK398" s="4"/>
      <c r="AL398" s="4"/>
    </row>
    <row r="399" spans="1:38" x14ac:dyDescent="0.2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  <c r="AJ399" s="4"/>
      <c r="AK399" s="4"/>
      <c r="AL399" s="4"/>
    </row>
    <row r="400" spans="1:38" x14ac:dyDescent="0.2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  <c r="AJ400" s="4"/>
      <c r="AK400" s="4"/>
      <c r="AL400" s="4"/>
    </row>
    <row r="401" spans="1:38" x14ac:dyDescent="0.2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  <c r="AJ401" s="4"/>
      <c r="AK401" s="4"/>
      <c r="AL401" s="4"/>
    </row>
    <row r="402" spans="1:38" x14ac:dyDescent="0.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4"/>
      <c r="AK402" s="4"/>
      <c r="AL402" s="4"/>
    </row>
    <row r="403" spans="1:38" x14ac:dyDescent="0.2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  <c r="AJ403" s="4"/>
      <c r="AK403" s="4"/>
      <c r="AL403" s="4"/>
    </row>
    <row r="404" spans="1:38" x14ac:dyDescent="0.2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4"/>
      <c r="AK404" s="4"/>
      <c r="AL404" s="4"/>
    </row>
    <row r="405" spans="1:38" x14ac:dyDescent="0.2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4"/>
      <c r="AK405" s="4"/>
      <c r="AL405" s="4"/>
    </row>
    <row r="406" spans="1:38" x14ac:dyDescent="0.2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  <c r="AJ406" s="4"/>
      <c r="AK406" s="4"/>
      <c r="AL406" s="4"/>
    </row>
    <row r="407" spans="1:38" x14ac:dyDescent="0.2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4"/>
      <c r="AK407" s="4"/>
      <c r="AL407" s="4"/>
    </row>
    <row r="408" spans="1:38" x14ac:dyDescent="0.2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4"/>
      <c r="AK408" s="4"/>
      <c r="AL408" s="4"/>
    </row>
    <row r="409" spans="1:38" x14ac:dyDescent="0.2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  <c r="AJ409" s="4"/>
      <c r="AK409" s="4"/>
      <c r="AL409" s="4"/>
    </row>
    <row r="410" spans="1:38" x14ac:dyDescent="0.2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  <c r="AJ410" s="4"/>
      <c r="AK410" s="4"/>
      <c r="AL410" s="4"/>
    </row>
    <row r="411" spans="1:38" x14ac:dyDescent="0.2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  <c r="AJ411" s="4"/>
      <c r="AK411" s="4"/>
      <c r="AL411" s="4"/>
    </row>
    <row r="412" spans="1:38" x14ac:dyDescent="0.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  <c r="AJ412" s="4"/>
      <c r="AK412" s="4"/>
      <c r="AL412" s="4"/>
    </row>
    <row r="413" spans="1:38" x14ac:dyDescent="0.2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  <c r="AJ413" s="4"/>
      <c r="AK413" s="4"/>
      <c r="AL413" s="4"/>
    </row>
    <row r="414" spans="1:38" x14ac:dyDescent="0.2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  <c r="AJ414" s="4"/>
      <c r="AK414" s="4"/>
      <c r="AL414" s="4"/>
    </row>
    <row r="415" spans="1:38" x14ac:dyDescent="0.2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  <c r="AJ415" s="4"/>
      <c r="AK415" s="4"/>
      <c r="AL415" s="4"/>
    </row>
    <row r="416" spans="1:38" x14ac:dyDescent="0.2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4"/>
      <c r="AJ416" s="4"/>
      <c r="AK416" s="4"/>
      <c r="AL416" s="4"/>
    </row>
    <row r="417" spans="1:38" x14ac:dyDescent="0.2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  <c r="AJ417" s="4"/>
      <c r="AK417" s="4"/>
      <c r="AL417" s="4"/>
    </row>
    <row r="418" spans="1:38" x14ac:dyDescent="0.2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4"/>
      <c r="AJ418" s="4"/>
      <c r="AK418" s="4"/>
      <c r="AL418" s="4"/>
    </row>
    <row r="419" spans="1:38" x14ac:dyDescent="0.2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  <c r="AJ419" s="4"/>
      <c r="AK419" s="4"/>
      <c r="AL419" s="4"/>
    </row>
    <row r="420" spans="1:38" x14ac:dyDescent="0.2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  <c r="AJ420" s="4"/>
      <c r="AK420" s="4"/>
      <c r="AL420" s="4"/>
    </row>
    <row r="421" spans="1:38" x14ac:dyDescent="0.2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  <c r="AJ421" s="4"/>
      <c r="AK421" s="4"/>
      <c r="AL421" s="4"/>
    </row>
    <row r="422" spans="1:38" x14ac:dyDescent="0.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4"/>
      <c r="AJ422" s="4"/>
      <c r="AK422" s="4"/>
      <c r="AL422" s="4"/>
    </row>
    <row r="423" spans="1:38" x14ac:dyDescent="0.2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4"/>
      <c r="AJ423" s="4"/>
      <c r="AK423" s="4"/>
      <c r="AL423" s="4"/>
    </row>
    <row r="424" spans="1:38" x14ac:dyDescent="0.2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4"/>
      <c r="AJ424" s="4"/>
      <c r="AK424" s="4"/>
      <c r="AL424" s="4"/>
    </row>
    <row r="425" spans="1:38" x14ac:dyDescent="0.2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4"/>
      <c r="AJ425" s="4"/>
      <c r="AK425" s="4"/>
      <c r="AL425" s="4"/>
    </row>
    <row r="426" spans="1:38" x14ac:dyDescent="0.2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  <c r="AJ426" s="4"/>
      <c r="AK426" s="4"/>
      <c r="AL426" s="4"/>
    </row>
    <row r="427" spans="1:38" x14ac:dyDescent="0.2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  <c r="AJ427" s="4"/>
      <c r="AK427" s="4"/>
      <c r="AL427" s="4"/>
    </row>
    <row r="428" spans="1:38" x14ac:dyDescent="0.2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4"/>
      <c r="AJ428" s="4"/>
      <c r="AK428" s="4"/>
      <c r="AL428" s="4"/>
    </row>
    <row r="429" spans="1:38" x14ac:dyDescent="0.2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  <c r="AJ429" s="4"/>
      <c r="AK429" s="4"/>
      <c r="AL429" s="4"/>
    </row>
    <row r="430" spans="1:38" x14ac:dyDescent="0.2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4"/>
      <c r="AJ430" s="4"/>
      <c r="AK430" s="4"/>
      <c r="AL430" s="4"/>
    </row>
    <row r="431" spans="1:38" x14ac:dyDescent="0.2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4"/>
      <c r="AJ431" s="4"/>
      <c r="AK431" s="4"/>
      <c r="AL431" s="4"/>
    </row>
    <row r="432" spans="1:38" x14ac:dyDescent="0.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  <c r="AJ432" s="4"/>
      <c r="AK432" s="4"/>
      <c r="AL432" s="4"/>
    </row>
    <row r="433" spans="1:38" x14ac:dyDescent="0.2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  <c r="AJ433" s="4"/>
      <c r="AK433" s="4"/>
      <c r="AL433" s="4"/>
    </row>
    <row r="434" spans="1:38" x14ac:dyDescent="0.2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4"/>
      <c r="AJ434" s="4"/>
      <c r="AK434" s="4"/>
      <c r="AL434" s="4"/>
    </row>
    <row r="435" spans="1:38" x14ac:dyDescent="0.2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4"/>
      <c r="AJ435" s="4"/>
      <c r="AK435" s="4"/>
      <c r="AL435" s="4"/>
    </row>
    <row r="436" spans="1:38" x14ac:dyDescent="0.2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  <c r="AI436" s="4"/>
      <c r="AJ436" s="4"/>
      <c r="AK436" s="4"/>
      <c r="AL436" s="4"/>
    </row>
    <row r="437" spans="1:38" x14ac:dyDescent="0.2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4"/>
      <c r="AJ437" s="4"/>
      <c r="AK437" s="4"/>
      <c r="AL437" s="4"/>
    </row>
    <row r="438" spans="1:38" x14ac:dyDescent="0.2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4"/>
      <c r="AJ438" s="4"/>
      <c r="AK438" s="4"/>
      <c r="AL438" s="4"/>
    </row>
    <row r="439" spans="1:38" x14ac:dyDescent="0.2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4"/>
      <c r="AJ439" s="4"/>
      <c r="AK439" s="4"/>
      <c r="AL439" s="4"/>
    </row>
    <row r="440" spans="1:38" x14ac:dyDescent="0.2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  <c r="AI440" s="4"/>
      <c r="AJ440" s="4"/>
      <c r="AK440" s="4"/>
      <c r="AL440" s="4"/>
    </row>
    <row r="441" spans="1:38" x14ac:dyDescent="0.2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4"/>
      <c r="AJ441" s="4"/>
      <c r="AK441" s="4"/>
      <c r="AL441" s="4"/>
    </row>
    <row r="442" spans="1:38" x14ac:dyDescent="0.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4"/>
      <c r="AJ442" s="4"/>
      <c r="AK442" s="4"/>
      <c r="AL442" s="4"/>
    </row>
    <row r="443" spans="1:38" x14ac:dyDescent="0.2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4"/>
      <c r="AJ443" s="4"/>
      <c r="AK443" s="4"/>
      <c r="AL443" s="4"/>
    </row>
    <row r="444" spans="1:38" x14ac:dyDescent="0.2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4"/>
      <c r="AJ444" s="4"/>
      <c r="AK444" s="4"/>
      <c r="AL444" s="4"/>
    </row>
    <row r="445" spans="1:38" x14ac:dyDescent="0.2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4"/>
      <c r="AJ445" s="4"/>
      <c r="AK445" s="4"/>
      <c r="AL445" s="4"/>
    </row>
    <row r="446" spans="1:38" x14ac:dyDescent="0.2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  <c r="AI446" s="4"/>
      <c r="AJ446" s="4"/>
      <c r="AK446" s="4"/>
      <c r="AL446" s="4"/>
    </row>
    <row r="447" spans="1:38" x14ac:dyDescent="0.2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4"/>
      <c r="AJ447" s="4"/>
      <c r="AK447" s="4"/>
      <c r="AL447" s="4"/>
    </row>
    <row r="448" spans="1:38" x14ac:dyDescent="0.2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  <c r="AI448" s="4"/>
      <c r="AJ448" s="4"/>
      <c r="AK448" s="4"/>
      <c r="AL448" s="4"/>
    </row>
    <row r="449" spans="1:38" x14ac:dyDescent="0.2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4"/>
      <c r="AJ449" s="4"/>
      <c r="AK449" s="4"/>
      <c r="AL449" s="4"/>
    </row>
    <row r="450" spans="1:38" x14ac:dyDescent="0.2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  <c r="AI450" s="4"/>
      <c r="AJ450" s="4"/>
      <c r="AK450" s="4"/>
      <c r="AL450" s="4"/>
    </row>
    <row r="451" spans="1:38" x14ac:dyDescent="0.2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  <c r="AI451" s="4"/>
      <c r="AJ451" s="4"/>
      <c r="AK451" s="4"/>
      <c r="AL451" s="4"/>
    </row>
    <row r="452" spans="1:38" x14ac:dyDescent="0.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  <c r="AI452" s="4"/>
      <c r="AJ452" s="4"/>
      <c r="AK452" s="4"/>
      <c r="AL452" s="4"/>
    </row>
    <row r="453" spans="1:38" x14ac:dyDescent="0.2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  <c r="AI453" s="4"/>
      <c r="AJ453" s="4"/>
      <c r="AK453" s="4"/>
      <c r="AL453" s="4"/>
    </row>
    <row r="454" spans="1:38" x14ac:dyDescent="0.2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  <c r="AI454" s="4"/>
      <c r="AJ454" s="4"/>
      <c r="AK454" s="4"/>
      <c r="AL454" s="4"/>
    </row>
    <row r="455" spans="1:38" x14ac:dyDescent="0.2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  <c r="AI455" s="4"/>
      <c r="AJ455" s="4"/>
      <c r="AK455" s="4"/>
      <c r="AL455" s="4"/>
    </row>
    <row r="456" spans="1:38" x14ac:dyDescent="0.2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  <c r="AI456" s="4"/>
      <c r="AJ456" s="4"/>
      <c r="AK456" s="4"/>
      <c r="AL456" s="4"/>
    </row>
    <row r="457" spans="1:38" x14ac:dyDescent="0.2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  <c r="AI457" s="4"/>
      <c r="AJ457" s="4"/>
      <c r="AK457" s="4"/>
      <c r="AL457" s="4"/>
    </row>
    <row r="458" spans="1:38" x14ac:dyDescent="0.2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  <c r="AI458" s="4"/>
      <c r="AJ458" s="4"/>
      <c r="AK458" s="4"/>
      <c r="AL458" s="4"/>
    </row>
    <row r="459" spans="1:38" x14ac:dyDescent="0.2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  <c r="AI459" s="4"/>
      <c r="AJ459" s="4"/>
      <c r="AK459" s="4"/>
      <c r="AL459" s="4"/>
    </row>
    <row r="460" spans="1:38" x14ac:dyDescent="0.2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  <c r="AI460" s="4"/>
      <c r="AJ460" s="4"/>
      <c r="AK460" s="4"/>
      <c r="AL460" s="4"/>
    </row>
    <row r="461" spans="1:38" x14ac:dyDescent="0.2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  <c r="AI461" s="4"/>
      <c r="AJ461" s="4"/>
      <c r="AK461" s="4"/>
      <c r="AL461" s="4"/>
    </row>
    <row r="462" spans="1:38" x14ac:dyDescent="0.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  <c r="AI462" s="4"/>
      <c r="AJ462" s="4"/>
      <c r="AK462" s="4"/>
      <c r="AL462" s="4"/>
    </row>
    <row r="463" spans="1:38" x14ac:dyDescent="0.2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  <c r="AI463" s="4"/>
      <c r="AJ463" s="4"/>
      <c r="AK463" s="4"/>
      <c r="AL463" s="4"/>
    </row>
    <row r="464" spans="1:38" x14ac:dyDescent="0.2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  <c r="AI464" s="4"/>
      <c r="AJ464" s="4"/>
      <c r="AK464" s="4"/>
      <c r="AL464" s="4"/>
    </row>
    <row r="465" spans="1:38" x14ac:dyDescent="0.2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  <c r="AI465" s="4"/>
      <c r="AJ465" s="4"/>
      <c r="AK465" s="4"/>
      <c r="AL465" s="4"/>
    </row>
    <row r="466" spans="1:38" x14ac:dyDescent="0.2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  <c r="AI466" s="4"/>
      <c r="AJ466" s="4"/>
      <c r="AK466" s="4"/>
      <c r="AL466" s="4"/>
    </row>
    <row r="467" spans="1:38" x14ac:dyDescent="0.2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  <c r="AI467" s="4"/>
      <c r="AJ467" s="4"/>
      <c r="AK467" s="4"/>
      <c r="AL467" s="4"/>
    </row>
    <row r="468" spans="1:38" x14ac:dyDescent="0.2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  <c r="AI468" s="4"/>
      <c r="AJ468" s="4"/>
      <c r="AK468" s="4"/>
      <c r="AL468" s="4"/>
    </row>
    <row r="469" spans="1:38" x14ac:dyDescent="0.2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  <c r="AI469" s="4"/>
      <c r="AJ469" s="4"/>
      <c r="AK469" s="4"/>
      <c r="AL469" s="4"/>
    </row>
    <row r="470" spans="1:38" x14ac:dyDescent="0.2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  <c r="AI470" s="4"/>
      <c r="AJ470" s="4"/>
      <c r="AK470" s="4"/>
      <c r="AL470" s="4"/>
    </row>
    <row r="471" spans="1:38" x14ac:dyDescent="0.2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  <c r="AI471" s="4"/>
      <c r="AJ471" s="4"/>
      <c r="AK471" s="4"/>
      <c r="AL471" s="4"/>
    </row>
    <row r="472" spans="1:38" x14ac:dyDescent="0.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  <c r="AI472" s="4"/>
      <c r="AJ472" s="4"/>
      <c r="AK472" s="4"/>
      <c r="AL472" s="4"/>
    </row>
    <row r="473" spans="1:38" x14ac:dyDescent="0.2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  <c r="AI473" s="4"/>
      <c r="AJ473" s="4"/>
      <c r="AK473" s="4"/>
      <c r="AL473" s="4"/>
    </row>
    <row r="474" spans="1:38" x14ac:dyDescent="0.2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  <c r="AI474" s="4"/>
      <c r="AJ474" s="4"/>
      <c r="AK474" s="4"/>
      <c r="AL474" s="4"/>
    </row>
    <row r="475" spans="1:38" x14ac:dyDescent="0.2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  <c r="AI475" s="4"/>
      <c r="AJ475" s="4"/>
      <c r="AK475" s="4"/>
      <c r="AL475" s="4"/>
    </row>
    <row r="476" spans="1:38" x14ac:dyDescent="0.2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  <c r="AI476" s="4"/>
      <c r="AJ476" s="4"/>
      <c r="AK476" s="4"/>
      <c r="AL476" s="4"/>
    </row>
    <row r="477" spans="1:38" x14ac:dyDescent="0.2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  <c r="AI477" s="4"/>
      <c r="AJ477" s="4"/>
      <c r="AK477" s="4"/>
      <c r="AL477" s="4"/>
    </row>
    <row r="478" spans="1:38" x14ac:dyDescent="0.2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  <c r="AI478" s="4"/>
      <c r="AJ478" s="4"/>
      <c r="AK478" s="4"/>
      <c r="AL478" s="4"/>
    </row>
    <row r="479" spans="1:38" x14ac:dyDescent="0.2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  <c r="AI479" s="4"/>
      <c r="AJ479" s="4"/>
      <c r="AK479" s="4"/>
      <c r="AL479" s="4"/>
    </row>
    <row r="480" spans="1:38" x14ac:dyDescent="0.2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  <c r="AI480" s="4"/>
      <c r="AJ480" s="4"/>
      <c r="AK480" s="4"/>
      <c r="AL480" s="4"/>
    </row>
    <row r="481" spans="1:38" x14ac:dyDescent="0.2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  <c r="AI481" s="4"/>
      <c r="AJ481" s="4"/>
      <c r="AK481" s="4"/>
      <c r="AL481" s="4"/>
    </row>
    <row r="482" spans="1:38" x14ac:dyDescent="0.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  <c r="AI482" s="4"/>
      <c r="AJ482" s="4"/>
      <c r="AK482" s="4"/>
      <c r="AL482" s="4"/>
    </row>
    <row r="483" spans="1:38" x14ac:dyDescent="0.2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  <c r="AI483" s="4"/>
      <c r="AJ483" s="4"/>
      <c r="AK483" s="4"/>
      <c r="AL483" s="4"/>
    </row>
    <row r="484" spans="1:38" x14ac:dyDescent="0.2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  <c r="AI484" s="4"/>
      <c r="AJ484" s="4"/>
      <c r="AK484" s="4"/>
      <c r="AL484" s="4"/>
    </row>
    <row r="485" spans="1:38" x14ac:dyDescent="0.2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  <c r="AI485" s="4"/>
      <c r="AJ485" s="4"/>
      <c r="AK485" s="4"/>
      <c r="AL485" s="4"/>
    </row>
    <row r="486" spans="1:38" x14ac:dyDescent="0.2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  <c r="AI486" s="4"/>
      <c r="AJ486" s="4"/>
      <c r="AK486" s="4"/>
      <c r="AL486" s="4"/>
    </row>
    <row r="487" spans="1:38" x14ac:dyDescent="0.2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  <c r="AI487" s="4"/>
      <c r="AJ487" s="4"/>
      <c r="AK487" s="4"/>
      <c r="AL487" s="4"/>
    </row>
    <row r="488" spans="1:38" x14ac:dyDescent="0.2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  <c r="AI488" s="4"/>
      <c r="AJ488" s="4"/>
      <c r="AK488" s="4"/>
      <c r="AL488" s="4"/>
    </row>
    <row r="489" spans="1:38" x14ac:dyDescent="0.2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  <c r="AI489" s="4"/>
      <c r="AJ489" s="4"/>
      <c r="AK489" s="4"/>
      <c r="AL489" s="4"/>
    </row>
    <row r="490" spans="1:38" x14ac:dyDescent="0.2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  <c r="AI490" s="4"/>
      <c r="AJ490" s="4"/>
      <c r="AK490" s="4"/>
      <c r="AL490" s="4"/>
    </row>
    <row r="491" spans="1:38" x14ac:dyDescent="0.2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  <c r="AI491" s="4"/>
      <c r="AJ491" s="4"/>
      <c r="AK491" s="4"/>
      <c r="AL491" s="4"/>
    </row>
    <row r="492" spans="1:38" x14ac:dyDescent="0.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  <c r="AI492" s="4"/>
      <c r="AJ492" s="4"/>
      <c r="AK492" s="4"/>
      <c r="AL492" s="4"/>
    </row>
    <row r="493" spans="1:38" x14ac:dyDescent="0.2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  <c r="AI493" s="4"/>
      <c r="AJ493" s="4"/>
      <c r="AK493" s="4"/>
      <c r="AL493" s="4"/>
    </row>
    <row r="494" spans="1:38" x14ac:dyDescent="0.2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  <c r="AI494" s="4"/>
      <c r="AJ494" s="4"/>
      <c r="AK494" s="4"/>
      <c r="AL494" s="4"/>
    </row>
    <row r="495" spans="1:38" x14ac:dyDescent="0.2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  <c r="AI495" s="4"/>
      <c r="AJ495" s="4"/>
      <c r="AK495" s="4"/>
      <c r="AL495" s="4"/>
    </row>
    <row r="496" spans="1:38" x14ac:dyDescent="0.2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  <c r="AI496" s="4"/>
      <c r="AJ496" s="4"/>
      <c r="AK496" s="4"/>
      <c r="AL496" s="4"/>
    </row>
    <row r="497" spans="1:38" x14ac:dyDescent="0.2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  <c r="AI497" s="4"/>
      <c r="AJ497" s="4"/>
      <c r="AK497" s="4"/>
      <c r="AL497" s="4"/>
    </row>
    <row r="498" spans="1:38" x14ac:dyDescent="0.2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  <c r="AI498" s="4"/>
      <c r="AJ498" s="4"/>
      <c r="AK498" s="4"/>
      <c r="AL498" s="4"/>
    </row>
    <row r="499" spans="1:38" x14ac:dyDescent="0.2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  <c r="AI499" s="4"/>
      <c r="AJ499" s="4"/>
      <c r="AK499" s="4"/>
      <c r="AL499" s="4"/>
    </row>
    <row r="500" spans="1:38" x14ac:dyDescent="0.2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  <c r="AI500" s="4"/>
      <c r="AJ500" s="4"/>
      <c r="AK500" s="4"/>
      <c r="AL500" s="4"/>
    </row>
    <row r="501" spans="1:38" x14ac:dyDescent="0.2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  <c r="AI501" s="4"/>
      <c r="AJ501" s="4"/>
      <c r="AK501" s="4"/>
      <c r="AL501" s="4"/>
    </row>
    <row r="502" spans="1:38" x14ac:dyDescent="0.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  <c r="AI502" s="4"/>
      <c r="AJ502" s="4"/>
      <c r="AK502" s="4"/>
      <c r="AL502" s="4"/>
    </row>
    <row r="503" spans="1:38" x14ac:dyDescent="0.2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  <c r="AI503" s="4"/>
      <c r="AJ503" s="4"/>
      <c r="AK503" s="4"/>
      <c r="AL503" s="4"/>
    </row>
    <row r="504" spans="1:38" x14ac:dyDescent="0.2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  <c r="AI504" s="4"/>
      <c r="AJ504" s="4"/>
      <c r="AK504" s="4"/>
      <c r="AL504" s="4"/>
    </row>
    <row r="505" spans="1:38" x14ac:dyDescent="0.2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  <c r="AI505" s="4"/>
      <c r="AJ505" s="4"/>
      <c r="AK505" s="4"/>
      <c r="AL505" s="4"/>
    </row>
    <row r="506" spans="1:38" x14ac:dyDescent="0.2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  <c r="AI506" s="4"/>
      <c r="AJ506" s="4"/>
      <c r="AK506" s="4"/>
      <c r="AL506" s="4"/>
    </row>
    <row r="507" spans="1:38" x14ac:dyDescent="0.2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  <c r="AI507" s="4"/>
      <c r="AJ507" s="4"/>
      <c r="AK507" s="4"/>
      <c r="AL507" s="4"/>
    </row>
    <row r="508" spans="1:38" x14ac:dyDescent="0.2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  <c r="AI508" s="4"/>
      <c r="AJ508" s="4"/>
      <c r="AK508" s="4"/>
      <c r="AL508" s="4"/>
    </row>
    <row r="509" spans="1:38" x14ac:dyDescent="0.2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  <c r="AI509" s="4"/>
      <c r="AJ509" s="4"/>
      <c r="AK509" s="4"/>
      <c r="AL509" s="4"/>
    </row>
    <row r="510" spans="1:38" x14ac:dyDescent="0.2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  <c r="AI510" s="4"/>
      <c r="AJ510" s="4"/>
      <c r="AK510" s="4"/>
      <c r="AL510" s="4"/>
    </row>
    <row r="511" spans="1:38" x14ac:dyDescent="0.2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  <c r="AI511" s="4"/>
      <c r="AJ511" s="4"/>
      <c r="AK511" s="4"/>
      <c r="AL511" s="4"/>
    </row>
    <row r="512" spans="1:38" x14ac:dyDescent="0.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  <c r="AI512" s="4"/>
      <c r="AJ512" s="4"/>
      <c r="AK512" s="4"/>
      <c r="AL512" s="4"/>
    </row>
    <row r="513" spans="1:38" x14ac:dyDescent="0.2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  <c r="AI513" s="4"/>
      <c r="AJ513" s="4"/>
      <c r="AK513" s="4"/>
      <c r="AL513" s="4"/>
    </row>
    <row r="514" spans="1:38" x14ac:dyDescent="0.2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  <c r="AI514" s="4"/>
      <c r="AJ514" s="4"/>
      <c r="AK514" s="4"/>
      <c r="AL514" s="4"/>
    </row>
    <row r="515" spans="1:38" x14ac:dyDescent="0.2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  <c r="AI515" s="4"/>
      <c r="AJ515" s="4"/>
      <c r="AK515" s="4"/>
      <c r="AL515" s="4"/>
    </row>
    <row r="516" spans="1:38" x14ac:dyDescent="0.2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  <c r="AI516" s="4"/>
      <c r="AJ516" s="4"/>
      <c r="AK516" s="4"/>
      <c r="AL516" s="4"/>
    </row>
    <row r="517" spans="1:38" x14ac:dyDescent="0.2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  <c r="AI517" s="4"/>
      <c r="AJ517" s="4"/>
      <c r="AK517" s="4"/>
      <c r="AL517" s="4"/>
    </row>
    <row r="518" spans="1:38" x14ac:dyDescent="0.2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  <c r="AI518" s="4"/>
      <c r="AJ518" s="4"/>
      <c r="AK518" s="4"/>
      <c r="AL518" s="4"/>
    </row>
    <row r="519" spans="1:38" x14ac:dyDescent="0.2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  <c r="AI519" s="4"/>
      <c r="AJ519" s="4"/>
      <c r="AK519" s="4"/>
      <c r="AL519" s="4"/>
    </row>
    <row r="520" spans="1:38" x14ac:dyDescent="0.2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  <c r="AH520" s="4"/>
      <c r="AI520" s="4"/>
      <c r="AJ520" s="4"/>
      <c r="AK520" s="4"/>
      <c r="AL520" s="4"/>
    </row>
    <row r="521" spans="1:38" x14ac:dyDescent="0.2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  <c r="AI521" s="4"/>
      <c r="AJ521" s="4"/>
      <c r="AK521" s="4"/>
      <c r="AL521" s="4"/>
    </row>
    <row r="522" spans="1:38" x14ac:dyDescent="0.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  <c r="AI522" s="4"/>
      <c r="AJ522" s="4"/>
      <c r="AK522" s="4"/>
      <c r="AL522" s="4"/>
    </row>
    <row r="523" spans="1:38" x14ac:dyDescent="0.2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  <c r="AI523" s="4"/>
      <c r="AJ523" s="4"/>
      <c r="AK523" s="4"/>
      <c r="AL523" s="4"/>
    </row>
    <row r="524" spans="1:38" x14ac:dyDescent="0.2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  <c r="AI524" s="4"/>
      <c r="AJ524" s="4"/>
      <c r="AK524" s="4"/>
      <c r="AL524" s="4"/>
    </row>
    <row r="525" spans="1:38" x14ac:dyDescent="0.2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  <c r="AI525" s="4"/>
      <c r="AJ525" s="4"/>
      <c r="AK525" s="4"/>
      <c r="AL525" s="4"/>
    </row>
    <row r="526" spans="1:38" x14ac:dyDescent="0.2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  <c r="AI526" s="4"/>
      <c r="AJ526" s="4"/>
      <c r="AK526" s="4"/>
      <c r="AL526" s="4"/>
    </row>
    <row r="527" spans="1:38" x14ac:dyDescent="0.2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  <c r="AI527" s="4"/>
      <c r="AJ527" s="4"/>
      <c r="AK527" s="4"/>
      <c r="AL527" s="4"/>
    </row>
    <row r="528" spans="1:38" x14ac:dyDescent="0.2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  <c r="AI528" s="4"/>
      <c r="AJ528" s="4"/>
      <c r="AK528" s="4"/>
      <c r="AL528" s="4"/>
    </row>
    <row r="529" spans="1:38" x14ac:dyDescent="0.2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  <c r="AI529" s="4"/>
      <c r="AJ529" s="4"/>
      <c r="AK529" s="4"/>
      <c r="AL529" s="4"/>
    </row>
    <row r="530" spans="1:38" x14ac:dyDescent="0.2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  <c r="AI530" s="4"/>
      <c r="AJ530" s="4"/>
      <c r="AK530" s="4"/>
      <c r="AL530" s="4"/>
    </row>
    <row r="531" spans="1:38" x14ac:dyDescent="0.2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  <c r="AI531" s="4"/>
      <c r="AJ531" s="4"/>
      <c r="AK531" s="4"/>
      <c r="AL531" s="4"/>
    </row>
    <row r="532" spans="1:38" x14ac:dyDescent="0.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4"/>
      <c r="AI532" s="4"/>
      <c r="AJ532" s="4"/>
      <c r="AK532" s="4"/>
      <c r="AL532" s="4"/>
    </row>
    <row r="533" spans="1:38" x14ac:dyDescent="0.2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  <c r="AH533" s="4"/>
      <c r="AI533" s="4"/>
      <c r="AJ533" s="4"/>
      <c r="AK533" s="4"/>
      <c r="AL533" s="4"/>
    </row>
    <row r="534" spans="1:38" x14ac:dyDescent="0.2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  <c r="AI534" s="4"/>
      <c r="AJ534" s="4"/>
      <c r="AK534" s="4"/>
      <c r="AL534" s="4"/>
    </row>
    <row r="535" spans="1:38" x14ac:dyDescent="0.2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  <c r="AI535" s="4"/>
      <c r="AJ535" s="4"/>
      <c r="AK535" s="4"/>
      <c r="AL535" s="4"/>
    </row>
    <row r="536" spans="1:38" x14ac:dyDescent="0.2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  <c r="AH536" s="4"/>
      <c r="AI536" s="4"/>
      <c r="AJ536" s="4"/>
      <c r="AK536" s="4"/>
      <c r="AL536" s="4"/>
    </row>
    <row r="537" spans="1:38" x14ac:dyDescent="0.2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H537" s="4"/>
      <c r="AI537" s="4"/>
      <c r="AJ537" s="4"/>
      <c r="AK537" s="4"/>
      <c r="AL537" s="4"/>
    </row>
    <row r="538" spans="1:38" x14ac:dyDescent="0.2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  <c r="AI538" s="4"/>
      <c r="AJ538" s="4"/>
      <c r="AK538" s="4"/>
      <c r="AL538" s="4"/>
    </row>
    <row r="539" spans="1:38" x14ac:dyDescent="0.2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  <c r="AI539" s="4"/>
      <c r="AJ539" s="4"/>
      <c r="AK539" s="4"/>
      <c r="AL539" s="4"/>
    </row>
    <row r="540" spans="1:38" x14ac:dyDescent="0.2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  <c r="AI540" s="4"/>
      <c r="AJ540" s="4"/>
      <c r="AK540" s="4"/>
      <c r="AL540" s="4"/>
    </row>
    <row r="541" spans="1:38" x14ac:dyDescent="0.2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  <c r="AI541" s="4"/>
      <c r="AJ541" s="4"/>
      <c r="AK541" s="4"/>
      <c r="AL541" s="4"/>
    </row>
    <row r="542" spans="1:38" x14ac:dyDescent="0.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H542" s="4"/>
      <c r="AI542" s="4"/>
      <c r="AJ542" s="4"/>
      <c r="AK542" s="4"/>
      <c r="AL542" s="4"/>
    </row>
    <row r="543" spans="1:38" x14ac:dyDescent="0.2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  <c r="AI543" s="4"/>
      <c r="AJ543" s="4"/>
      <c r="AK543" s="4"/>
      <c r="AL543" s="4"/>
    </row>
    <row r="544" spans="1:38" x14ac:dyDescent="0.2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  <c r="AI544" s="4"/>
      <c r="AJ544" s="4"/>
      <c r="AK544" s="4"/>
      <c r="AL544" s="4"/>
    </row>
    <row r="545" spans="1:38" x14ac:dyDescent="0.2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  <c r="AI545" s="4"/>
      <c r="AJ545" s="4"/>
      <c r="AK545" s="4"/>
      <c r="AL545" s="4"/>
    </row>
    <row r="546" spans="1:38" x14ac:dyDescent="0.2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  <c r="AI546" s="4"/>
      <c r="AJ546" s="4"/>
      <c r="AK546" s="4"/>
      <c r="AL546" s="4"/>
    </row>
    <row r="547" spans="1:38" x14ac:dyDescent="0.2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  <c r="AI547" s="4"/>
      <c r="AJ547" s="4"/>
      <c r="AK547" s="4"/>
      <c r="AL547" s="4"/>
    </row>
    <row r="548" spans="1:38" x14ac:dyDescent="0.2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H548" s="4"/>
      <c r="AI548" s="4"/>
      <c r="AJ548" s="4"/>
      <c r="AK548" s="4"/>
      <c r="AL548" s="4"/>
    </row>
    <row r="549" spans="1:38" x14ac:dyDescent="0.2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  <c r="AI549" s="4"/>
      <c r="AJ549" s="4"/>
      <c r="AK549" s="4"/>
      <c r="AL549" s="4"/>
    </row>
    <row r="550" spans="1:38" x14ac:dyDescent="0.2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  <c r="AH550" s="4"/>
      <c r="AI550" s="4"/>
      <c r="AJ550" s="4"/>
      <c r="AK550" s="4"/>
      <c r="AL550" s="4"/>
    </row>
    <row r="551" spans="1:38" x14ac:dyDescent="0.2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  <c r="AH551" s="4"/>
      <c r="AI551" s="4"/>
      <c r="AJ551" s="4"/>
      <c r="AK551" s="4"/>
      <c r="AL551" s="4"/>
    </row>
    <row r="552" spans="1:38" x14ac:dyDescent="0.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  <c r="AH552" s="4"/>
      <c r="AI552" s="4"/>
      <c r="AJ552" s="4"/>
      <c r="AK552" s="4"/>
      <c r="AL552" s="4"/>
    </row>
    <row r="553" spans="1:38" x14ac:dyDescent="0.2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  <c r="AH553" s="4"/>
      <c r="AI553" s="4"/>
      <c r="AJ553" s="4"/>
      <c r="AK553" s="4"/>
      <c r="AL553" s="4"/>
    </row>
    <row r="554" spans="1:38" x14ac:dyDescent="0.2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  <c r="AH554" s="4"/>
      <c r="AI554" s="4"/>
      <c r="AJ554" s="4"/>
      <c r="AK554" s="4"/>
      <c r="AL554" s="4"/>
    </row>
    <row r="555" spans="1:38" x14ac:dyDescent="0.2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H555" s="4"/>
      <c r="AI555" s="4"/>
      <c r="AJ555" s="4"/>
      <c r="AK555" s="4"/>
      <c r="AL555" s="4"/>
    </row>
    <row r="556" spans="1:38" x14ac:dyDescent="0.2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  <c r="AH556" s="4"/>
      <c r="AI556" s="4"/>
      <c r="AJ556" s="4"/>
      <c r="AK556" s="4"/>
      <c r="AL556" s="4"/>
    </row>
    <row r="557" spans="1:38" x14ac:dyDescent="0.2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  <c r="AH557" s="4"/>
      <c r="AI557" s="4"/>
      <c r="AJ557" s="4"/>
      <c r="AK557" s="4"/>
      <c r="AL557" s="4"/>
    </row>
    <row r="558" spans="1:38" x14ac:dyDescent="0.2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  <c r="AH558" s="4"/>
      <c r="AI558" s="4"/>
      <c r="AJ558" s="4"/>
      <c r="AK558" s="4"/>
      <c r="AL558" s="4"/>
    </row>
    <row r="559" spans="1:38" x14ac:dyDescent="0.2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  <c r="AH559" s="4"/>
      <c r="AI559" s="4"/>
      <c r="AJ559" s="4"/>
      <c r="AK559" s="4"/>
      <c r="AL559" s="4"/>
    </row>
    <row r="560" spans="1:38" x14ac:dyDescent="0.2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  <c r="AH560" s="4"/>
      <c r="AI560" s="4"/>
      <c r="AJ560" s="4"/>
      <c r="AK560" s="4"/>
      <c r="AL560" s="4"/>
    </row>
    <row r="561" spans="1:38" x14ac:dyDescent="0.2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  <c r="AH561" s="4"/>
      <c r="AI561" s="4"/>
      <c r="AJ561" s="4"/>
      <c r="AK561" s="4"/>
      <c r="AL561" s="4"/>
    </row>
    <row r="562" spans="1:38" x14ac:dyDescent="0.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  <c r="AH562" s="4"/>
      <c r="AI562" s="4"/>
      <c r="AJ562" s="4"/>
      <c r="AK562" s="4"/>
      <c r="AL562" s="4"/>
    </row>
    <row r="563" spans="1:38" x14ac:dyDescent="0.2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  <c r="AH563" s="4"/>
      <c r="AI563" s="4"/>
      <c r="AJ563" s="4"/>
      <c r="AK563" s="4"/>
      <c r="AL563" s="4"/>
    </row>
    <row r="564" spans="1:38" x14ac:dyDescent="0.2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  <c r="AH564" s="4"/>
      <c r="AI564" s="4"/>
      <c r="AJ564" s="4"/>
      <c r="AK564" s="4"/>
      <c r="AL564" s="4"/>
    </row>
    <row r="565" spans="1:38" x14ac:dyDescent="0.2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  <c r="AH565" s="4"/>
      <c r="AI565" s="4"/>
      <c r="AJ565" s="4"/>
      <c r="AK565" s="4"/>
      <c r="AL565" s="4"/>
    </row>
    <row r="566" spans="1:38" x14ac:dyDescent="0.2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  <c r="AH566" s="4"/>
      <c r="AI566" s="4"/>
      <c r="AJ566" s="4"/>
      <c r="AK566" s="4"/>
      <c r="AL566" s="4"/>
    </row>
    <row r="567" spans="1:38" x14ac:dyDescent="0.2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  <c r="AH567" s="4"/>
      <c r="AI567" s="4"/>
      <c r="AJ567" s="4"/>
      <c r="AK567" s="4"/>
      <c r="AL567" s="4"/>
    </row>
    <row r="568" spans="1:38" x14ac:dyDescent="0.2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  <c r="AH568" s="4"/>
      <c r="AI568" s="4"/>
      <c r="AJ568" s="4"/>
      <c r="AK568" s="4"/>
      <c r="AL568" s="4"/>
    </row>
    <row r="569" spans="1:38" x14ac:dyDescent="0.2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  <c r="AH569" s="4"/>
      <c r="AI569" s="4"/>
      <c r="AJ569" s="4"/>
      <c r="AK569" s="4"/>
      <c r="AL569" s="4"/>
    </row>
    <row r="570" spans="1:38" x14ac:dyDescent="0.2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  <c r="AH570" s="4"/>
      <c r="AI570" s="4"/>
      <c r="AJ570" s="4"/>
      <c r="AK570" s="4"/>
      <c r="AL570" s="4"/>
    </row>
    <row r="571" spans="1:38" x14ac:dyDescent="0.2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  <c r="AH571" s="4"/>
      <c r="AI571" s="4"/>
      <c r="AJ571" s="4"/>
      <c r="AK571" s="4"/>
      <c r="AL571" s="4"/>
    </row>
    <row r="572" spans="1:38" x14ac:dyDescent="0.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  <c r="AH572" s="4"/>
      <c r="AI572" s="4"/>
      <c r="AJ572" s="4"/>
      <c r="AK572" s="4"/>
      <c r="AL572" s="4"/>
    </row>
    <row r="573" spans="1:38" x14ac:dyDescent="0.2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  <c r="AH573" s="4"/>
      <c r="AI573" s="4"/>
      <c r="AJ573" s="4"/>
      <c r="AK573" s="4"/>
      <c r="AL573" s="4"/>
    </row>
    <row r="574" spans="1:38" x14ac:dyDescent="0.2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  <c r="AH574" s="4"/>
      <c r="AI574" s="4"/>
      <c r="AJ574" s="4"/>
      <c r="AK574" s="4"/>
      <c r="AL574" s="4"/>
    </row>
    <row r="575" spans="1:38" x14ac:dyDescent="0.2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  <c r="AH575" s="4"/>
      <c r="AI575" s="4"/>
      <c r="AJ575" s="4"/>
      <c r="AK575" s="4"/>
      <c r="AL575" s="4"/>
    </row>
    <row r="576" spans="1:38" x14ac:dyDescent="0.2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  <c r="AH576" s="4"/>
      <c r="AI576" s="4"/>
      <c r="AJ576" s="4"/>
      <c r="AK576" s="4"/>
      <c r="AL576" s="4"/>
    </row>
    <row r="577" spans="1:38" x14ac:dyDescent="0.2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  <c r="AH577" s="4"/>
      <c r="AI577" s="4"/>
      <c r="AJ577" s="4"/>
      <c r="AK577" s="4"/>
      <c r="AL577" s="4"/>
    </row>
    <row r="578" spans="1:38" x14ac:dyDescent="0.2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  <c r="AH578" s="4"/>
      <c r="AI578" s="4"/>
      <c r="AJ578" s="4"/>
      <c r="AK578" s="4"/>
      <c r="AL578" s="4"/>
    </row>
    <row r="579" spans="1:38" x14ac:dyDescent="0.2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  <c r="AH579" s="4"/>
      <c r="AI579" s="4"/>
      <c r="AJ579" s="4"/>
      <c r="AK579" s="4"/>
      <c r="AL579" s="4"/>
    </row>
    <row r="580" spans="1:38" x14ac:dyDescent="0.2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  <c r="AH580" s="4"/>
      <c r="AI580" s="4"/>
      <c r="AJ580" s="4"/>
      <c r="AK580" s="4"/>
      <c r="AL580" s="4"/>
    </row>
    <row r="581" spans="1:38" x14ac:dyDescent="0.2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  <c r="AH581" s="4"/>
      <c r="AI581" s="4"/>
      <c r="AJ581" s="4"/>
      <c r="AK581" s="4"/>
      <c r="AL581" s="4"/>
    </row>
    <row r="582" spans="1:38" x14ac:dyDescent="0.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  <c r="AH582" s="4"/>
      <c r="AI582" s="4"/>
      <c r="AJ582" s="4"/>
      <c r="AK582" s="4"/>
      <c r="AL582" s="4"/>
    </row>
    <row r="583" spans="1:38" x14ac:dyDescent="0.2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  <c r="AH583" s="4"/>
      <c r="AI583" s="4"/>
      <c r="AJ583" s="4"/>
      <c r="AK583" s="4"/>
      <c r="AL583" s="4"/>
    </row>
    <row r="584" spans="1:38" x14ac:dyDescent="0.2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  <c r="AH584" s="4"/>
      <c r="AI584" s="4"/>
      <c r="AJ584" s="4"/>
      <c r="AK584" s="4"/>
      <c r="AL584" s="4"/>
    </row>
    <row r="585" spans="1:38" x14ac:dyDescent="0.2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  <c r="AH585" s="4"/>
      <c r="AI585" s="4"/>
      <c r="AJ585" s="4"/>
      <c r="AK585" s="4"/>
      <c r="AL585" s="4"/>
    </row>
    <row r="586" spans="1:38" x14ac:dyDescent="0.2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  <c r="AH586" s="4"/>
      <c r="AI586" s="4"/>
      <c r="AJ586" s="4"/>
      <c r="AK586" s="4"/>
      <c r="AL586" s="4"/>
    </row>
    <row r="587" spans="1:38" x14ac:dyDescent="0.2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  <c r="AH587" s="4"/>
      <c r="AI587" s="4"/>
      <c r="AJ587" s="4"/>
      <c r="AK587" s="4"/>
      <c r="AL587" s="4"/>
    </row>
    <row r="588" spans="1:38" x14ac:dyDescent="0.2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  <c r="AH588" s="4"/>
      <c r="AI588" s="4"/>
      <c r="AJ588" s="4"/>
      <c r="AK588" s="4"/>
      <c r="AL588" s="4"/>
    </row>
    <row r="589" spans="1:38" x14ac:dyDescent="0.2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  <c r="AH589" s="4"/>
      <c r="AI589" s="4"/>
      <c r="AJ589" s="4"/>
      <c r="AK589" s="4"/>
      <c r="AL589" s="4"/>
    </row>
    <row r="590" spans="1:38" x14ac:dyDescent="0.2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  <c r="AH590" s="4"/>
      <c r="AI590" s="4"/>
      <c r="AJ590" s="4"/>
      <c r="AK590" s="4"/>
      <c r="AL590" s="4"/>
    </row>
    <row r="591" spans="1:38" x14ac:dyDescent="0.2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  <c r="AH591" s="4"/>
      <c r="AI591" s="4"/>
      <c r="AJ591" s="4"/>
      <c r="AK591" s="4"/>
      <c r="AL591" s="4"/>
    </row>
    <row r="592" spans="1:38" x14ac:dyDescent="0.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  <c r="AH592" s="4"/>
      <c r="AI592" s="4"/>
      <c r="AJ592" s="4"/>
      <c r="AK592" s="4"/>
      <c r="AL592" s="4"/>
    </row>
    <row r="593" spans="1:38" x14ac:dyDescent="0.2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  <c r="AH593" s="4"/>
      <c r="AI593" s="4"/>
      <c r="AJ593" s="4"/>
      <c r="AK593" s="4"/>
      <c r="AL593" s="4"/>
    </row>
    <row r="594" spans="1:38" x14ac:dyDescent="0.2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  <c r="AH594" s="4"/>
      <c r="AI594" s="4"/>
      <c r="AJ594" s="4"/>
      <c r="AK594" s="4"/>
      <c r="AL594" s="4"/>
    </row>
    <row r="595" spans="1:38" x14ac:dyDescent="0.2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  <c r="AH595" s="4"/>
      <c r="AI595" s="4"/>
      <c r="AJ595" s="4"/>
      <c r="AK595" s="4"/>
      <c r="AL595" s="4"/>
    </row>
    <row r="596" spans="1:38" x14ac:dyDescent="0.2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  <c r="AH596" s="4"/>
      <c r="AI596" s="4"/>
      <c r="AJ596" s="4"/>
      <c r="AK596" s="4"/>
      <c r="AL596" s="4"/>
    </row>
    <row r="597" spans="1:38" x14ac:dyDescent="0.2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  <c r="AH597" s="4"/>
      <c r="AI597" s="4"/>
      <c r="AJ597" s="4"/>
      <c r="AK597" s="4"/>
      <c r="AL597" s="4"/>
    </row>
    <row r="598" spans="1:38" x14ac:dyDescent="0.2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  <c r="AH598" s="4"/>
      <c r="AI598" s="4"/>
      <c r="AJ598" s="4"/>
      <c r="AK598" s="4"/>
      <c r="AL598" s="4"/>
    </row>
    <row r="599" spans="1:38" x14ac:dyDescent="0.2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  <c r="AH599" s="4"/>
      <c r="AI599" s="4"/>
      <c r="AJ599" s="4"/>
      <c r="AK599" s="4"/>
      <c r="AL599" s="4"/>
    </row>
    <row r="600" spans="1:38" x14ac:dyDescent="0.2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  <c r="AH600" s="4"/>
      <c r="AI600" s="4"/>
      <c r="AJ600" s="4"/>
      <c r="AK600" s="4"/>
      <c r="AL600" s="4"/>
    </row>
    <row r="601" spans="1:38" x14ac:dyDescent="0.2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  <c r="AH601" s="4"/>
      <c r="AI601" s="4"/>
      <c r="AJ601" s="4"/>
      <c r="AK601" s="4"/>
      <c r="AL601" s="4"/>
    </row>
    <row r="602" spans="1:38" x14ac:dyDescent="0.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  <c r="AH602" s="4"/>
      <c r="AI602" s="4"/>
      <c r="AJ602" s="4"/>
      <c r="AK602" s="4"/>
      <c r="AL602" s="4"/>
    </row>
    <row r="603" spans="1:38" x14ac:dyDescent="0.2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  <c r="AH603" s="4"/>
      <c r="AI603" s="4"/>
      <c r="AJ603" s="4"/>
      <c r="AK603" s="4"/>
      <c r="AL603" s="4"/>
    </row>
    <row r="604" spans="1:38" x14ac:dyDescent="0.2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  <c r="AH604" s="4"/>
      <c r="AI604" s="4"/>
      <c r="AJ604" s="4"/>
      <c r="AK604" s="4"/>
      <c r="AL604" s="4"/>
    </row>
    <row r="605" spans="1:38" x14ac:dyDescent="0.2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  <c r="AH605" s="4"/>
      <c r="AI605" s="4"/>
      <c r="AJ605" s="4"/>
      <c r="AK605" s="4"/>
      <c r="AL605" s="4"/>
    </row>
    <row r="606" spans="1:38" x14ac:dyDescent="0.2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  <c r="AH606" s="4"/>
      <c r="AI606" s="4"/>
      <c r="AJ606" s="4"/>
      <c r="AK606" s="4"/>
      <c r="AL606" s="4"/>
    </row>
    <row r="607" spans="1:38" x14ac:dyDescent="0.2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  <c r="AH607" s="4"/>
      <c r="AI607" s="4"/>
      <c r="AJ607" s="4"/>
      <c r="AK607" s="4"/>
      <c r="AL607" s="4"/>
    </row>
    <row r="608" spans="1:38" x14ac:dyDescent="0.2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  <c r="AH608" s="4"/>
      <c r="AI608" s="4"/>
      <c r="AJ608" s="4"/>
      <c r="AK608" s="4"/>
      <c r="AL608" s="4"/>
    </row>
    <row r="609" spans="1:38" x14ac:dyDescent="0.2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  <c r="AH609" s="4"/>
      <c r="AI609" s="4"/>
      <c r="AJ609" s="4"/>
      <c r="AK609" s="4"/>
      <c r="AL609" s="4"/>
    </row>
    <row r="610" spans="1:38" x14ac:dyDescent="0.2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  <c r="AH610" s="4"/>
      <c r="AI610" s="4"/>
      <c r="AJ610" s="4"/>
      <c r="AK610" s="4"/>
      <c r="AL610" s="4"/>
    </row>
    <row r="611" spans="1:38" x14ac:dyDescent="0.2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  <c r="AH611" s="4"/>
      <c r="AI611" s="4"/>
      <c r="AJ611" s="4"/>
      <c r="AK611" s="4"/>
      <c r="AL611" s="4"/>
    </row>
    <row r="612" spans="1:38" x14ac:dyDescent="0.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  <c r="AH612" s="4"/>
      <c r="AI612" s="4"/>
      <c r="AJ612" s="4"/>
      <c r="AK612" s="4"/>
      <c r="AL612" s="4"/>
    </row>
    <row r="613" spans="1:38" x14ac:dyDescent="0.2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  <c r="AH613" s="4"/>
      <c r="AI613" s="4"/>
      <c r="AJ613" s="4"/>
      <c r="AK613" s="4"/>
      <c r="AL613" s="4"/>
    </row>
    <row r="614" spans="1:38" x14ac:dyDescent="0.2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  <c r="AH614" s="4"/>
      <c r="AI614" s="4"/>
      <c r="AJ614" s="4"/>
      <c r="AK614" s="4"/>
      <c r="AL614" s="4"/>
    </row>
    <row r="615" spans="1:38" x14ac:dyDescent="0.2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  <c r="AH615" s="4"/>
      <c r="AI615" s="4"/>
      <c r="AJ615" s="4"/>
      <c r="AK615" s="4"/>
      <c r="AL615" s="4"/>
    </row>
    <row r="616" spans="1:38" x14ac:dyDescent="0.2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  <c r="AH616" s="4"/>
      <c r="AI616" s="4"/>
      <c r="AJ616" s="4"/>
      <c r="AK616" s="4"/>
      <c r="AL616" s="4"/>
    </row>
    <row r="617" spans="1:38" x14ac:dyDescent="0.2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  <c r="AH617" s="4"/>
      <c r="AI617" s="4"/>
      <c r="AJ617" s="4"/>
      <c r="AK617" s="4"/>
      <c r="AL617" s="4"/>
    </row>
    <row r="618" spans="1:38" x14ac:dyDescent="0.2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  <c r="AH618" s="4"/>
      <c r="AI618" s="4"/>
      <c r="AJ618" s="4"/>
      <c r="AK618" s="4"/>
      <c r="AL618" s="4"/>
    </row>
    <row r="619" spans="1:38" x14ac:dyDescent="0.2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  <c r="AH619" s="4"/>
      <c r="AI619" s="4"/>
      <c r="AJ619" s="4"/>
      <c r="AK619" s="4"/>
      <c r="AL619" s="4"/>
    </row>
    <row r="620" spans="1:38" x14ac:dyDescent="0.2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  <c r="AH620" s="4"/>
      <c r="AI620" s="4"/>
      <c r="AJ620" s="4"/>
      <c r="AK620" s="4"/>
      <c r="AL620" s="4"/>
    </row>
    <row r="621" spans="1:38" x14ac:dyDescent="0.2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  <c r="AH621" s="4"/>
      <c r="AI621" s="4"/>
      <c r="AJ621" s="4"/>
      <c r="AK621" s="4"/>
      <c r="AL621" s="4"/>
    </row>
    <row r="622" spans="1:38" x14ac:dyDescent="0.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  <c r="AH622" s="4"/>
      <c r="AI622" s="4"/>
      <c r="AJ622" s="4"/>
      <c r="AK622" s="4"/>
      <c r="AL622" s="4"/>
    </row>
    <row r="623" spans="1:38" x14ac:dyDescent="0.2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  <c r="AH623" s="4"/>
      <c r="AI623" s="4"/>
      <c r="AJ623" s="4"/>
      <c r="AK623" s="4"/>
      <c r="AL623" s="4"/>
    </row>
    <row r="624" spans="1:38" x14ac:dyDescent="0.2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  <c r="AH624" s="4"/>
      <c r="AI624" s="4"/>
      <c r="AJ624" s="4"/>
      <c r="AK624" s="4"/>
      <c r="AL624" s="4"/>
    </row>
    <row r="625" spans="1:38" x14ac:dyDescent="0.2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  <c r="AH625" s="4"/>
      <c r="AI625" s="4"/>
      <c r="AJ625" s="4"/>
      <c r="AK625" s="4"/>
      <c r="AL625" s="4"/>
    </row>
    <row r="626" spans="1:38" x14ac:dyDescent="0.2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  <c r="AH626" s="4"/>
      <c r="AI626" s="4"/>
      <c r="AJ626" s="4"/>
      <c r="AK626" s="4"/>
      <c r="AL626" s="4"/>
    </row>
    <row r="627" spans="1:38" x14ac:dyDescent="0.2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  <c r="AH627" s="4"/>
      <c r="AI627" s="4"/>
      <c r="AJ627" s="4"/>
      <c r="AK627" s="4"/>
      <c r="AL627" s="4"/>
    </row>
    <row r="628" spans="1:38" x14ac:dyDescent="0.2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  <c r="AH628" s="4"/>
      <c r="AI628" s="4"/>
      <c r="AJ628" s="4"/>
      <c r="AK628" s="4"/>
      <c r="AL628" s="4"/>
    </row>
    <row r="629" spans="1:38" x14ac:dyDescent="0.2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  <c r="AH629" s="4"/>
      <c r="AI629" s="4"/>
      <c r="AJ629" s="4"/>
      <c r="AK629" s="4"/>
      <c r="AL629" s="4"/>
    </row>
    <row r="630" spans="1:38" x14ac:dyDescent="0.2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  <c r="AH630" s="4"/>
      <c r="AI630" s="4"/>
      <c r="AJ630" s="4"/>
      <c r="AK630" s="4"/>
      <c r="AL630" s="4"/>
    </row>
    <row r="631" spans="1:38" x14ac:dyDescent="0.2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  <c r="AH631" s="4"/>
      <c r="AI631" s="4"/>
      <c r="AJ631" s="4"/>
      <c r="AK631" s="4"/>
      <c r="AL631" s="4"/>
    </row>
    <row r="632" spans="1:38" x14ac:dyDescent="0.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  <c r="AH632" s="4"/>
      <c r="AI632" s="4"/>
      <c r="AJ632" s="4"/>
      <c r="AK632" s="4"/>
      <c r="AL632" s="4"/>
    </row>
    <row r="633" spans="1:38" x14ac:dyDescent="0.2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  <c r="AH633" s="4"/>
      <c r="AI633" s="4"/>
      <c r="AJ633" s="4"/>
      <c r="AK633" s="4"/>
      <c r="AL633" s="4"/>
    </row>
    <row r="634" spans="1:38" x14ac:dyDescent="0.2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  <c r="AH634" s="4"/>
      <c r="AI634" s="4"/>
      <c r="AJ634" s="4"/>
      <c r="AK634" s="4"/>
      <c r="AL634" s="4"/>
    </row>
    <row r="635" spans="1:38" x14ac:dyDescent="0.2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  <c r="AH635" s="4"/>
      <c r="AI635" s="4"/>
      <c r="AJ635" s="4"/>
      <c r="AK635" s="4"/>
      <c r="AL635" s="4"/>
    </row>
    <row r="636" spans="1:38" x14ac:dyDescent="0.2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  <c r="AH636" s="4"/>
      <c r="AI636" s="4"/>
      <c r="AJ636" s="4"/>
      <c r="AK636" s="4"/>
      <c r="AL636" s="4"/>
    </row>
    <row r="637" spans="1:38" x14ac:dyDescent="0.2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  <c r="AH637" s="4"/>
      <c r="AI637" s="4"/>
      <c r="AJ637" s="4"/>
      <c r="AK637" s="4"/>
      <c r="AL637" s="4"/>
    </row>
    <row r="638" spans="1:38" x14ac:dyDescent="0.2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  <c r="AH638" s="4"/>
      <c r="AI638" s="4"/>
      <c r="AJ638" s="4"/>
      <c r="AK638" s="4"/>
      <c r="AL638" s="4"/>
    </row>
    <row r="639" spans="1:38" x14ac:dyDescent="0.2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  <c r="AH639" s="4"/>
      <c r="AI639" s="4"/>
      <c r="AJ639" s="4"/>
      <c r="AK639" s="4"/>
      <c r="AL639" s="4"/>
    </row>
    <row r="640" spans="1:38" x14ac:dyDescent="0.2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  <c r="AH640" s="4"/>
      <c r="AI640" s="4"/>
      <c r="AJ640" s="4"/>
      <c r="AK640" s="4"/>
      <c r="AL640" s="4"/>
    </row>
    <row r="641" spans="1:38" x14ac:dyDescent="0.2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  <c r="AH641" s="4"/>
      <c r="AI641" s="4"/>
      <c r="AJ641" s="4"/>
      <c r="AK641" s="4"/>
      <c r="AL641" s="4"/>
    </row>
    <row r="642" spans="1:38" x14ac:dyDescent="0.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  <c r="AH642" s="4"/>
      <c r="AI642" s="4"/>
      <c r="AJ642" s="4"/>
      <c r="AK642" s="4"/>
      <c r="AL642" s="4"/>
    </row>
    <row r="643" spans="1:38" x14ac:dyDescent="0.2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  <c r="AH643" s="4"/>
      <c r="AI643" s="4"/>
      <c r="AJ643" s="4"/>
      <c r="AK643" s="4"/>
      <c r="AL643" s="4"/>
    </row>
    <row r="644" spans="1:38" x14ac:dyDescent="0.2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  <c r="AH644" s="4"/>
      <c r="AI644" s="4"/>
      <c r="AJ644" s="4"/>
      <c r="AK644" s="4"/>
      <c r="AL644" s="4"/>
    </row>
    <row r="645" spans="1:38" x14ac:dyDescent="0.2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  <c r="AH645" s="4"/>
      <c r="AI645" s="4"/>
      <c r="AJ645" s="4"/>
      <c r="AK645" s="4"/>
      <c r="AL645" s="4"/>
    </row>
    <row r="646" spans="1:38" x14ac:dyDescent="0.2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  <c r="AH646" s="4"/>
      <c r="AI646" s="4"/>
      <c r="AJ646" s="4"/>
      <c r="AK646" s="4"/>
      <c r="AL646" s="4"/>
    </row>
    <row r="647" spans="1:38" x14ac:dyDescent="0.2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  <c r="AH647" s="4"/>
      <c r="AI647" s="4"/>
      <c r="AJ647" s="4"/>
      <c r="AK647" s="4"/>
      <c r="AL647" s="4"/>
    </row>
    <row r="648" spans="1:38" x14ac:dyDescent="0.2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  <c r="AH648" s="4"/>
      <c r="AI648" s="4"/>
      <c r="AJ648" s="4"/>
      <c r="AK648" s="4"/>
      <c r="AL648" s="4"/>
    </row>
    <row r="649" spans="1:38" x14ac:dyDescent="0.2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  <c r="AH649" s="4"/>
      <c r="AI649" s="4"/>
      <c r="AJ649" s="4"/>
      <c r="AK649" s="4"/>
      <c r="AL649" s="4"/>
    </row>
    <row r="650" spans="1:38" x14ac:dyDescent="0.2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  <c r="AH650" s="4"/>
      <c r="AI650" s="4"/>
      <c r="AJ650" s="4"/>
      <c r="AK650" s="4"/>
      <c r="AL650" s="4"/>
    </row>
    <row r="651" spans="1:38" x14ac:dyDescent="0.2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  <c r="AH651" s="4"/>
      <c r="AI651" s="4"/>
      <c r="AJ651" s="4"/>
      <c r="AK651" s="4"/>
      <c r="AL651" s="4"/>
    </row>
    <row r="652" spans="1:38" x14ac:dyDescent="0.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  <c r="AH652" s="4"/>
      <c r="AI652" s="4"/>
      <c r="AJ652" s="4"/>
      <c r="AK652" s="4"/>
      <c r="AL652" s="4"/>
    </row>
    <row r="653" spans="1:38" x14ac:dyDescent="0.2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  <c r="AH653" s="4"/>
      <c r="AI653" s="4"/>
      <c r="AJ653" s="4"/>
      <c r="AK653" s="4"/>
      <c r="AL653" s="4"/>
    </row>
    <row r="654" spans="1:38" x14ac:dyDescent="0.2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  <c r="AH654" s="4"/>
      <c r="AI654" s="4"/>
      <c r="AJ654" s="4"/>
      <c r="AK654" s="4"/>
      <c r="AL654" s="4"/>
    </row>
    <row r="655" spans="1:38" x14ac:dyDescent="0.2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  <c r="AH655" s="4"/>
      <c r="AI655" s="4"/>
      <c r="AJ655" s="4"/>
      <c r="AK655" s="4"/>
      <c r="AL655" s="4"/>
    </row>
    <row r="656" spans="1:38" x14ac:dyDescent="0.2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  <c r="AH656" s="4"/>
      <c r="AI656" s="4"/>
      <c r="AJ656" s="4"/>
      <c r="AK656" s="4"/>
      <c r="AL656" s="4"/>
    </row>
    <row r="657" spans="1:38" x14ac:dyDescent="0.2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  <c r="AH657" s="4"/>
      <c r="AI657" s="4"/>
      <c r="AJ657" s="4"/>
      <c r="AK657" s="4"/>
      <c r="AL657" s="4"/>
    </row>
    <row r="658" spans="1:38" x14ac:dyDescent="0.2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  <c r="AH658" s="4"/>
      <c r="AI658" s="4"/>
      <c r="AJ658" s="4"/>
      <c r="AK658" s="4"/>
      <c r="AL658" s="4"/>
    </row>
    <row r="659" spans="1:38" x14ac:dyDescent="0.2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  <c r="AH659" s="4"/>
      <c r="AI659" s="4"/>
      <c r="AJ659" s="4"/>
      <c r="AK659" s="4"/>
      <c r="AL659" s="4"/>
    </row>
    <row r="660" spans="1:38" x14ac:dyDescent="0.2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  <c r="AH660" s="4"/>
      <c r="AI660" s="4"/>
      <c r="AJ660" s="4"/>
      <c r="AK660" s="4"/>
      <c r="AL660" s="4"/>
    </row>
    <row r="661" spans="1:38" x14ac:dyDescent="0.2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  <c r="AH661" s="4"/>
      <c r="AI661" s="4"/>
      <c r="AJ661" s="4"/>
      <c r="AK661" s="4"/>
      <c r="AL661" s="4"/>
    </row>
    <row r="662" spans="1:38" x14ac:dyDescent="0.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  <c r="AH662" s="4"/>
      <c r="AI662" s="4"/>
      <c r="AJ662" s="4"/>
      <c r="AK662" s="4"/>
      <c r="AL662" s="4"/>
    </row>
    <row r="663" spans="1:38" x14ac:dyDescent="0.2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  <c r="AH663" s="4"/>
      <c r="AI663" s="4"/>
      <c r="AJ663" s="4"/>
      <c r="AK663" s="4"/>
      <c r="AL663" s="4"/>
    </row>
    <row r="664" spans="1:38" x14ac:dyDescent="0.2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  <c r="AH664" s="4"/>
      <c r="AI664" s="4"/>
      <c r="AJ664" s="4"/>
      <c r="AK664" s="4"/>
      <c r="AL664" s="4"/>
    </row>
    <row r="665" spans="1:38" x14ac:dyDescent="0.2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  <c r="AH665" s="4"/>
      <c r="AI665" s="4"/>
      <c r="AJ665" s="4"/>
      <c r="AK665" s="4"/>
      <c r="AL665" s="4"/>
    </row>
    <row r="666" spans="1:38" x14ac:dyDescent="0.2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  <c r="AH666" s="4"/>
      <c r="AI666" s="4"/>
      <c r="AJ666" s="4"/>
      <c r="AK666" s="4"/>
      <c r="AL666" s="4"/>
    </row>
    <row r="667" spans="1:38" x14ac:dyDescent="0.2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  <c r="AH667" s="4"/>
      <c r="AI667" s="4"/>
      <c r="AJ667" s="4"/>
      <c r="AK667" s="4"/>
      <c r="AL667" s="4"/>
    </row>
    <row r="668" spans="1:38" x14ac:dyDescent="0.2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  <c r="AH668" s="4"/>
      <c r="AI668" s="4"/>
      <c r="AJ668" s="4"/>
      <c r="AK668" s="4"/>
      <c r="AL668" s="4"/>
    </row>
    <row r="669" spans="1:38" x14ac:dyDescent="0.2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  <c r="AH669" s="4"/>
      <c r="AI669" s="4"/>
      <c r="AJ669" s="4"/>
      <c r="AK669" s="4"/>
      <c r="AL669" s="4"/>
    </row>
    <row r="670" spans="1:38" x14ac:dyDescent="0.2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  <c r="AH670" s="4"/>
      <c r="AI670" s="4"/>
      <c r="AJ670" s="4"/>
      <c r="AK670" s="4"/>
      <c r="AL670" s="4"/>
    </row>
    <row r="671" spans="1:38" x14ac:dyDescent="0.2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  <c r="AH671" s="4"/>
      <c r="AI671" s="4"/>
      <c r="AJ671" s="4"/>
      <c r="AK671" s="4"/>
      <c r="AL671" s="4"/>
    </row>
    <row r="672" spans="1:38" x14ac:dyDescent="0.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  <c r="AH672" s="4"/>
      <c r="AI672" s="4"/>
      <c r="AJ672" s="4"/>
      <c r="AK672" s="4"/>
      <c r="AL672" s="4"/>
    </row>
    <row r="673" spans="1:38" x14ac:dyDescent="0.2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  <c r="AH673" s="4"/>
      <c r="AI673" s="4"/>
      <c r="AJ673" s="4"/>
      <c r="AK673" s="4"/>
      <c r="AL673" s="4"/>
    </row>
    <row r="674" spans="1:38" x14ac:dyDescent="0.2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  <c r="AH674" s="4"/>
      <c r="AI674" s="4"/>
      <c r="AJ674" s="4"/>
      <c r="AK674" s="4"/>
      <c r="AL674" s="4"/>
    </row>
    <row r="675" spans="1:38" x14ac:dyDescent="0.2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  <c r="AH675" s="4"/>
      <c r="AI675" s="4"/>
      <c r="AJ675" s="4"/>
      <c r="AK675" s="4"/>
      <c r="AL675" s="4"/>
    </row>
    <row r="676" spans="1:38" x14ac:dyDescent="0.2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  <c r="AH676" s="4"/>
      <c r="AI676" s="4"/>
      <c r="AJ676" s="4"/>
      <c r="AK676" s="4"/>
      <c r="AL676" s="4"/>
    </row>
    <row r="677" spans="1:38" x14ac:dyDescent="0.2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  <c r="AH677" s="4"/>
      <c r="AI677" s="4"/>
      <c r="AJ677" s="4"/>
      <c r="AK677" s="4"/>
      <c r="AL677" s="4"/>
    </row>
    <row r="678" spans="1:38" x14ac:dyDescent="0.2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  <c r="AH678" s="4"/>
      <c r="AI678" s="4"/>
      <c r="AJ678" s="4"/>
      <c r="AK678" s="4"/>
      <c r="AL678" s="4"/>
    </row>
    <row r="679" spans="1:38" x14ac:dyDescent="0.2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  <c r="AH679" s="4"/>
      <c r="AI679" s="4"/>
      <c r="AJ679" s="4"/>
      <c r="AK679" s="4"/>
      <c r="AL679" s="4"/>
    </row>
    <row r="680" spans="1:38" x14ac:dyDescent="0.2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  <c r="AH680" s="4"/>
      <c r="AI680" s="4"/>
      <c r="AJ680" s="4"/>
      <c r="AK680" s="4"/>
      <c r="AL680" s="4"/>
    </row>
    <row r="681" spans="1:38" x14ac:dyDescent="0.2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  <c r="AH681" s="4"/>
      <c r="AI681" s="4"/>
      <c r="AJ681" s="4"/>
      <c r="AK681" s="4"/>
      <c r="AL681" s="4"/>
    </row>
    <row r="682" spans="1:38" x14ac:dyDescent="0.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  <c r="AH682" s="4"/>
      <c r="AI682" s="4"/>
      <c r="AJ682" s="4"/>
      <c r="AK682" s="4"/>
      <c r="AL682" s="4"/>
    </row>
    <row r="683" spans="1:38" x14ac:dyDescent="0.2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  <c r="AH683" s="4"/>
      <c r="AI683" s="4"/>
      <c r="AJ683" s="4"/>
      <c r="AK683" s="4"/>
      <c r="AL683" s="4"/>
    </row>
    <row r="684" spans="1:38" x14ac:dyDescent="0.2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  <c r="AH684" s="4"/>
      <c r="AI684" s="4"/>
      <c r="AJ684" s="4"/>
      <c r="AK684" s="4"/>
      <c r="AL684" s="4"/>
    </row>
    <row r="685" spans="1:38" x14ac:dyDescent="0.2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  <c r="AH685" s="4"/>
      <c r="AI685" s="4"/>
      <c r="AJ685" s="4"/>
      <c r="AK685" s="4"/>
      <c r="AL685" s="4"/>
    </row>
    <row r="686" spans="1:38" x14ac:dyDescent="0.2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  <c r="AH686" s="4"/>
      <c r="AI686" s="4"/>
      <c r="AJ686" s="4"/>
      <c r="AK686" s="4"/>
      <c r="AL686" s="4"/>
    </row>
    <row r="687" spans="1:38" x14ac:dyDescent="0.2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  <c r="AH687" s="4"/>
      <c r="AI687" s="4"/>
      <c r="AJ687" s="4"/>
      <c r="AK687" s="4"/>
      <c r="AL687" s="4"/>
    </row>
    <row r="688" spans="1:38" x14ac:dyDescent="0.2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  <c r="AH688" s="4"/>
      <c r="AI688" s="4"/>
      <c r="AJ688" s="4"/>
      <c r="AK688" s="4"/>
      <c r="AL688" s="4"/>
    </row>
    <row r="689" spans="1:38" x14ac:dyDescent="0.2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  <c r="AH689" s="4"/>
      <c r="AI689" s="4"/>
      <c r="AJ689" s="4"/>
      <c r="AK689" s="4"/>
      <c r="AL689" s="4"/>
    </row>
    <row r="690" spans="1:38" x14ac:dyDescent="0.2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  <c r="AH690" s="4"/>
      <c r="AI690" s="4"/>
      <c r="AJ690" s="4"/>
      <c r="AK690" s="4"/>
      <c r="AL690" s="4"/>
    </row>
    <row r="691" spans="1:38" x14ac:dyDescent="0.2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  <c r="AH691" s="4"/>
      <c r="AI691" s="4"/>
      <c r="AJ691" s="4"/>
      <c r="AK691" s="4"/>
      <c r="AL691" s="4"/>
    </row>
    <row r="692" spans="1:38" x14ac:dyDescent="0.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  <c r="AH692" s="4"/>
      <c r="AI692" s="4"/>
      <c r="AJ692" s="4"/>
      <c r="AK692" s="4"/>
      <c r="AL692" s="4"/>
    </row>
    <row r="693" spans="1:38" x14ac:dyDescent="0.2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  <c r="AH693" s="4"/>
      <c r="AI693" s="4"/>
      <c r="AJ693" s="4"/>
      <c r="AK693" s="4"/>
      <c r="AL693" s="4"/>
    </row>
    <row r="694" spans="1:38" x14ac:dyDescent="0.2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  <c r="AH694" s="4"/>
      <c r="AI694" s="4"/>
      <c r="AJ694" s="4"/>
      <c r="AK694" s="4"/>
      <c r="AL694" s="4"/>
    </row>
    <row r="695" spans="1:38" x14ac:dyDescent="0.2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  <c r="AH695" s="4"/>
      <c r="AI695" s="4"/>
      <c r="AJ695" s="4"/>
      <c r="AK695" s="4"/>
      <c r="AL695" s="4"/>
    </row>
    <row r="696" spans="1:38" x14ac:dyDescent="0.2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  <c r="AH696" s="4"/>
      <c r="AI696" s="4"/>
      <c r="AJ696" s="4"/>
      <c r="AK696" s="4"/>
      <c r="AL696" s="4"/>
    </row>
    <row r="697" spans="1:38" x14ac:dyDescent="0.2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  <c r="AH697" s="4"/>
      <c r="AI697" s="4"/>
      <c r="AJ697" s="4"/>
      <c r="AK697" s="4"/>
      <c r="AL697" s="4"/>
    </row>
    <row r="698" spans="1:38" x14ac:dyDescent="0.2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  <c r="AH698" s="4"/>
      <c r="AI698" s="4"/>
      <c r="AJ698" s="4"/>
      <c r="AK698" s="4"/>
      <c r="AL698" s="4"/>
    </row>
    <row r="699" spans="1:38" x14ac:dyDescent="0.2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  <c r="AH699" s="4"/>
      <c r="AI699" s="4"/>
      <c r="AJ699" s="4"/>
      <c r="AK699" s="4"/>
      <c r="AL699" s="4"/>
    </row>
    <row r="700" spans="1:38" x14ac:dyDescent="0.2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  <c r="AH700" s="4"/>
      <c r="AI700" s="4"/>
      <c r="AJ700" s="4"/>
      <c r="AK700" s="4"/>
      <c r="AL700" s="4"/>
    </row>
    <row r="701" spans="1:38" x14ac:dyDescent="0.2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  <c r="AH701" s="4"/>
      <c r="AI701" s="4"/>
      <c r="AJ701" s="4"/>
      <c r="AK701" s="4"/>
      <c r="AL701" s="4"/>
    </row>
    <row r="702" spans="1:38" x14ac:dyDescent="0.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  <c r="AH702" s="4"/>
      <c r="AI702" s="4"/>
      <c r="AJ702" s="4"/>
      <c r="AK702" s="4"/>
      <c r="AL702" s="4"/>
    </row>
    <row r="703" spans="1:38" x14ac:dyDescent="0.2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  <c r="AH703" s="4"/>
      <c r="AI703" s="4"/>
      <c r="AJ703" s="4"/>
      <c r="AK703" s="4"/>
      <c r="AL703" s="4"/>
    </row>
    <row r="704" spans="1:38" x14ac:dyDescent="0.2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  <c r="AH704" s="4"/>
      <c r="AI704" s="4"/>
      <c r="AJ704" s="4"/>
      <c r="AK704" s="4"/>
      <c r="AL704" s="4"/>
    </row>
    <row r="705" spans="1:38" x14ac:dyDescent="0.2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  <c r="AH705" s="4"/>
      <c r="AI705" s="4"/>
      <c r="AJ705" s="4"/>
      <c r="AK705" s="4"/>
      <c r="AL705" s="4"/>
    </row>
    <row r="706" spans="1:38" x14ac:dyDescent="0.2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  <c r="AH706" s="4"/>
      <c r="AI706" s="4"/>
      <c r="AJ706" s="4"/>
      <c r="AK706" s="4"/>
      <c r="AL706" s="4"/>
    </row>
    <row r="707" spans="1:38" x14ac:dyDescent="0.2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  <c r="AH707" s="4"/>
      <c r="AI707" s="4"/>
      <c r="AJ707" s="4"/>
      <c r="AK707" s="4"/>
      <c r="AL707" s="4"/>
    </row>
    <row r="708" spans="1:38" x14ac:dyDescent="0.2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  <c r="AH708" s="4"/>
      <c r="AI708" s="4"/>
      <c r="AJ708" s="4"/>
      <c r="AK708" s="4"/>
      <c r="AL708" s="4"/>
    </row>
    <row r="709" spans="1:38" x14ac:dyDescent="0.2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  <c r="AH709" s="4"/>
      <c r="AI709" s="4"/>
      <c r="AJ709" s="4"/>
      <c r="AK709" s="4"/>
      <c r="AL709" s="4"/>
    </row>
    <row r="710" spans="1:38" x14ac:dyDescent="0.2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  <c r="AH710" s="4"/>
      <c r="AI710" s="4"/>
      <c r="AJ710" s="4"/>
      <c r="AK710" s="4"/>
      <c r="AL710" s="4"/>
    </row>
    <row r="711" spans="1:38" x14ac:dyDescent="0.2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  <c r="AH711" s="4"/>
      <c r="AI711" s="4"/>
      <c r="AJ711" s="4"/>
      <c r="AK711" s="4"/>
      <c r="AL711" s="4"/>
    </row>
    <row r="712" spans="1:38" x14ac:dyDescent="0.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  <c r="AH712" s="4"/>
      <c r="AI712" s="4"/>
      <c r="AJ712" s="4"/>
      <c r="AK712" s="4"/>
      <c r="AL712" s="4"/>
    </row>
    <row r="713" spans="1:38" x14ac:dyDescent="0.2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  <c r="AH713" s="4"/>
      <c r="AI713" s="4"/>
      <c r="AJ713" s="4"/>
      <c r="AK713" s="4"/>
      <c r="AL713" s="4"/>
    </row>
    <row r="714" spans="1:38" x14ac:dyDescent="0.2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  <c r="AH714" s="4"/>
      <c r="AI714" s="4"/>
      <c r="AJ714" s="4"/>
      <c r="AK714" s="4"/>
      <c r="AL714" s="4"/>
    </row>
    <row r="715" spans="1:38" x14ac:dyDescent="0.2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  <c r="AH715" s="4"/>
      <c r="AI715" s="4"/>
      <c r="AJ715" s="4"/>
      <c r="AK715" s="4"/>
      <c r="AL715" s="4"/>
    </row>
    <row r="716" spans="1:38" x14ac:dyDescent="0.2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  <c r="AH716" s="4"/>
      <c r="AI716" s="4"/>
      <c r="AJ716" s="4"/>
      <c r="AK716" s="4"/>
      <c r="AL716" s="4"/>
    </row>
    <row r="717" spans="1:38" x14ac:dyDescent="0.2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  <c r="AH717" s="4"/>
      <c r="AI717" s="4"/>
      <c r="AJ717" s="4"/>
      <c r="AK717" s="4"/>
      <c r="AL717" s="4"/>
    </row>
    <row r="718" spans="1:38" x14ac:dyDescent="0.2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  <c r="AH718" s="4"/>
      <c r="AI718" s="4"/>
      <c r="AJ718" s="4"/>
      <c r="AK718" s="4"/>
      <c r="AL718" s="4"/>
    </row>
    <row r="719" spans="1:38" x14ac:dyDescent="0.2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  <c r="AH719" s="4"/>
      <c r="AI719" s="4"/>
      <c r="AJ719" s="4"/>
      <c r="AK719" s="4"/>
      <c r="AL719" s="4"/>
    </row>
    <row r="720" spans="1:38" x14ac:dyDescent="0.2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  <c r="AH720" s="4"/>
      <c r="AI720" s="4"/>
      <c r="AJ720" s="4"/>
      <c r="AK720" s="4"/>
      <c r="AL720" s="4"/>
    </row>
    <row r="721" spans="1:38" x14ac:dyDescent="0.2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  <c r="AH721" s="4"/>
      <c r="AI721" s="4"/>
      <c r="AJ721" s="4"/>
      <c r="AK721" s="4"/>
      <c r="AL721" s="4"/>
    </row>
    <row r="722" spans="1:38" x14ac:dyDescent="0.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  <c r="AH722" s="4"/>
      <c r="AI722" s="4"/>
      <c r="AJ722" s="4"/>
      <c r="AK722" s="4"/>
      <c r="AL722" s="4"/>
    </row>
    <row r="723" spans="1:38" x14ac:dyDescent="0.2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  <c r="AH723" s="4"/>
      <c r="AI723" s="4"/>
      <c r="AJ723" s="4"/>
      <c r="AK723" s="4"/>
      <c r="AL723" s="4"/>
    </row>
    <row r="724" spans="1:38" x14ac:dyDescent="0.2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  <c r="AG724" s="4"/>
      <c r="AH724" s="4"/>
      <c r="AI724" s="4"/>
      <c r="AJ724" s="4"/>
      <c r="AK724" s="4"/>
      <c r="AL724" s="4"/>
    </row>
    <row r="725" spans="1:38" x14ac:dyDescent="0.2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  <c r="AH725" s="4"/>
      <c r="AI725" s="4"/>
      <c r="AJ725" s="4"/>
      <c r="AK725" s="4"/>
      <c r="AL725" s="4"/>
    </row>
    <row r="726" spans="1:38" x14ac:dyDescent="0.2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  <c r="AH726" s="4"/>
      <c r="AI726" s="4"/>
      <c r="AJ726" s="4"/>
      <c r="AK726" s="4"/>
      <c r="AL726" s="4"/>
    </row>
    <row r="727" spans="1:38" x14ac:dyDescent="0.2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  <c r="AH727" s="4"/>
      <c r="AI727" s="4"/>
      <c r="AJ727" s="4"/>
      <c r="AK727" s="4"/>
      <c r="AL727" s="4"/>
    </row>
    <row r="728" spans="1:38" x14ac:dyDescent="0.2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  <c r="AH728" s="4"/>
      <c r="AI728" s="4"/>
      <c r="AJ728" s="4"/>
      <c r="AK728" s="4"/>
      <c r="AL728" s="4"/>
    </row>
    <row r="729" spans="1:38" x14ac:dyDescent="0.2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  <c r="AH729" s="4"/>
      <c r="AI729" s="4"/>
      <c r="AJ729" s="4"/>
      <c r="AK729" s="4"/>
      <c r="AL729" s="4"/>
    </row>
    <row r="730" spans="1:38" x14ac:dyDescent="0.2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  <c r="AH730" s="4"/>
      <c r="AI730" s="4"/>
      <c r="AJ730" s="4"/>
      <c r="AK730" s="4"/>
      <c r="AL730" s="4"/>
    </row>
    <row r="731" spans="1:38" x14ac:dyDescent="0.2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  <c r="AH731" s="4"/>
      <c r="AI731" s="4"/>
      <c r="AJ731" s="4"/>
      <c r="AK731" s="4"/>
      <c r="AL731" s="4"/>
    </row>
    <row r="732" spans="1:38" x14ac:dyDescent="0.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  <c r="AH732" s="4"/>
      <c r="AI732" s="4"/>
      <c r="AJ732" s="4"/>
      <c r="AK732" s="4"/>
      <c r="AL732" s="4"/>
    </row>
    <row r="733" spans="1:38" x14ac:dyDescent="0.2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  <c r="AH733" s="4"/>
      <c r="AI733" s="4"/>
      <c r="AJ733" s="4"/>
      <c r="AK733" s="4"/>
      <c r="AL733" s="4"/>
    </row>
    <row r="734" spans="1:38" x14ac:dyDescent="0.2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  <c r="AH734" s="4"/>
      <c r="AI734" s="4"/>
      <c r="AJ734" s="4"/>
      <c r="AK734" s="4"/>
      <c r="AL734" s="4"/>
    </row>
    <row r="735" spans="1:38" x14ac:dyDescent="0.2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  <c r="AH735" s="4"/>
      <c r="AI735" s="4"/>
      <c r="AJ735" s="4"/>
      <c r="AK735" s="4"/>
      <c r="AL735" s="4"/>
    </row>
    <row r="736" spans="1:38" x14ac:dyDescent="0.2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  <c r="AG736" s="4"/>
      <c r="AH736" s="4"/>
      <c r="AI736" s="4"/>
      <c r="AJ736" s="4"/>
      <c r="AK736" s="4"/>
      <c r="AL736" s="4"/>
    </row>
    <row r="737" spans="1:38" x14ac:dyDescent="0.2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  <c r="AH737" s="4"/>
      <c r="AI737" s="4"/>
      <c r="AJ737" s="4"/>
      <c r="AK737" s="4"/>
      <c r="AL737" s="4"/>
    </row>
    <row r="738" spans="1:38" x14ac:dyDescent="0.2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  <c r="AH738" s="4"/>
      <c r="AI738" s="4"/>
      <c r="AJ738" s="4"/>
      <c r="AK738" s="4"/>
      <c r="AL738" s="4"/>
    </row>
    <row r="739" spans="1:38" x14ac:dyDescent="0.2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  <c r="AG739" s="4"/>
      <c r="AH739" s="4"/>
      <c r="AI739" s="4"/>
      <c r="AJ739" s="4"/>
      <c r="AK739" s="4"/>
      <c r="AL739" s="4"/>
    </row>
    <row r="740" spans="1:38" x14ac:dyDescent="0.2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  <c r="AH740" s="4"/>
      <c r="AI740" s="4"/>
      <c r="AJ740" s="4"/>
      <c r="AK740" s="4"/>
      <c r="AL740" s="4"/>
    </row>
    <row r="741" spans="1:38" x14ac:dyDescent="0.2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  <c r="AH741" s="4"/>
      <c r="AI741" s="4"/>
      <c r="AJ741" s="4"/>
      <c r="AK741" s="4"/>
      <c r="AL741" s="4"/>
    </row>
    <row r="742" spans="1:38" x14ac:dyDescent="0.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  <c r="AG742" s="4"/>
      <c r="AH742" s="4"/>
      <c r="AI742" s="4"/>
      <c r="AJ742" s="4"/>
      <c r="AK742" s="4"/>
      <c r="AL742" s="4"/>
    </row>
    <row r="743" spans="1:38" x14ac:dyDescent="0.2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  <c r="AH743" s="4"/>
      <c r="AI743" s="4"/>
      <c r="AJ743" s="4"/>
      <c r="AK743" s="4"/>
      <c r="AL743" s="4"/>
    </row>
    <row r="744" spans="1:38" x14ac:dyDescent="0.2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  <c r="AH744" s="4"/>
      <c r="AI744" s="4"/>
      <c r="AJ744" s="4"/>
      <c r="AK744" s="4"/>
      <c r="AL744" s="4"/>
    </row>
    <row r="745" spans="1:38" x14ac:dyDescent="0.2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  <c r="AH745" s="4"/>
      <c r="AI745" s="4"/>
      <c r="AJ745" s="4"/>
      <c r="AK745" s="4"/>
      <c r="AL745" s="4"/>
    </row>
    <row r="746" spans="1:38" x14ac:dyDescent="0.2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  <c r="AH746" s="4"/>
      <c r="AI746" s="4"/>
      <c r="AJ746" s="4"/>
      <c r="AK746" s="4"/>
      <c r="AL746" s="4"/>
    </row>
    <row r="747" spans="1:38" x14ac:dyDescent="0.2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  <c r="AH747" s="4"/>
      <c r="AI747" s="4"/>
      <c r="AJ747" s="4"/>
      <c r="AK747" s="4"/>
      <c r="AL747" s="4"/>
    </row>
    <row r="748" spans="1:38" x14ac:dyDescent="0.2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  <c r="AH748" s="4"/>
      <c r="AI748" s="4"/>
      <c r="AJ748" s="4"/>
      <c r="AK748" s="4"/>
      <c r="AL748" s="4"/>
    </row>
    <row r="749" spans="1:38" x14ac:dyDescent="0.2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  <c r="AH749" s="4"/>
      <c r="AI749" s="4"/>
      <c r="AJ749" s="4"/>
      <c r="AK749" s="4"/>
      <c r="AL749" s="4"/>
    </row>
    <row r="750" spans="1:38" x14ac:dyDescent="0.2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  <c r="AH750" s="4"/>
      <c r="AI750" s="4"/>
      <c r="AJ750" s="4"/>
      <c r="AK750" s="4"/>
      <c r="AL750" s="4"/>
    </row>
    <row r="751" spans="1:38" x14ac:dyDescent="0.2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  <c r="AH751" s="4"/>
      <c r="AI751" s="4"/>
      <c r="AJ751" s="4"/>
      <c r="AK751" s="4"/>
      <c r="AL751" s="4"/>
    </row>
    <row r="752" spans="1:38" x14ac:dyDescent="0.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  <c r="AH752" s="4"/>
      <c r="AI752" s="4"/>
      <c r="AJ752" s="4"/>
      <c r="AK752" s="4"/>
      <c r="AL752" s="4"/>
    </row>
    <row r="753" spans="1:38" x14ac:dyDescent="0.2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  <c r="AH753" s="4"/>
      <c r="AI753" s="4"/>
      <c r="AJ753" s="4"/>
      <c r="AK753" s="4"/>
      <c r="AL753" s="4"/>
    </row>
    <row r="754" spans="1:38" x14ac:dyDescent="0.2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G754" s="4"/>
      <c r="AH754" s="4"/>
      <c r="AI754" s="4"/>
      <c r="AJ754" s="4"/>
      <c r="AK754" s="4"/>
      <c r="AL754" s="4"/>
    </row>
    <row r="755" spans="1:38" x14ac:dyDescent="0.2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  <c r="AG755" s="4"/>
      <c r="AH755" s="4"/>
      <c r="AI755" s="4"/>
      <c r="AJ755" s="4"/>
      <c r="AK755" s="4"/>
      <c r="AL755" s="4"/>
    </row>
    <row r="756" spans="1:38" x14ac:dyDescent="0.2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  <c r="AH756" s="4"/>
      <c r="AI756" s="4"/>
      <c r="AJ756" s="4"/>
      <c r="AK756" s="4"/>
      <c r="AL756" s="4"/>
    </row>
    <row r="757" spans="1:38" x14ac:dyDescent="0.2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  <c r="AG757" s="4"/>
      <c r="AH757" s="4"/>
      <c r="AI757" s="4"/>
      <c r="AJ757" s="4"/>
      <c r="AK757" s="4"/>
      <c r="AL757" s="4"/>
    </row>
    <row r="758" spans="1:38" x14ac:dyDescent="0.2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  <c r="AH758" s="4"/>
      <c r="AI758" s="4"/>
      <c r="AJ758" s="4"/>
      <c r="AK758" s="4"/>
      <c r="AL758" s="4"/>
    </row>
    <row r="759" spans="1:38" x14ac:dyDescent="0.2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G759" s="4"/>
      <c r="AH759" s="4"/>
      <c r="AI759" s="4"/>
      <c r="AJ759" s="4"/>
      <c r="AK759" s="4"/>
      <c r="AL759" s="4"/>
    </row>
    <row r="760" spans="1:38" x14ac:dyDescent="0.2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  <c r="AH760" s="4"/>
      <c r="AI760" s="4"/>
      <c r="AJ760" s="4"/>
      <c r="AK760" s="4"/>
      <c r="AL760" s="4"/>
    </row>
    <row r="761" spans="1:38" x14ac:dyDescent="0.2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  <c r="AH761" s="4"/>
      <c r="AI761" s="4"/>
      <c r="AJ761" s="4"/>
      <c r="AK761" s="4"/>
      <c r="AL761" s="4"/>
    </row>
    <row r="762" spans="1:38" x14ac:dyDescent="0.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  <c r="AH762" s="4"/>
      <c r="AI762" s="4"/>
      <c r="AJ762" s="4"/>
      <c r="AK762" s="4"/>
      <c r="AL762" s="4"/>
    </row>
    <row r="763" spans="1:38" x14ac:dyDescent="0.2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  <c r="AH763" s="4"/>
      <c r="AI763" s="4"/>
      <c r="AJ763" s="4"/>
      <c r="AK763" s="4"/>
      <c r="AL763" s="4"/>
    </row>
    <row r="764" spans="1:38" x14ac:dyDescent="0.2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  <c r="AH764" s="4"/>
      <c r="AI764" s="4"/>
      <c r="AJ764" s="4"/>
      <c r="AK764" s="4"/>
      <c r="AL764" s="4"/>
    </row>
    <row r="765" spans="1:38" x14ac:dyDescent="0.2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  <c r="AH765" s="4"/>
      <c r="AI765" s="4"/>
      <c r="AJ765" s="4"/>
      <c r="AK765" s="4"/>
      <c r="AL765" s="4"/>
    </row>
    <row r="766" spans="1:38" x14ac:dyDescent="0.2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  <c r="AH766" s="4"/>
      <c r="AI766" s="4"/>
      <c r="AJ766" s="4"/>
      <c r="AK766" s="4"/>
      <c r="AL766" s="4"/>
    </row>
    <row r="767" spans="1:38" x14ac:dyDescent="0.2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  <c r="AH767" s="4"/>
      <c r="AI767" s="4"/>
      <c r="AJ767" s="4"/>
      <c r="AK767" s="4"/>
      <c r="AL767" s="4"/>
    </row>
    <row r="768" spans="1:38" x14ac:dyDescent="0.2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  <c r="AH768" s="4"/>
      <c r="AI768" s="4"/>
      <c r="AJ768" s="4"/>
      <c r="AK768" s="4"/>
      <c r="AL768" s="4"/>
    </row>
    <row r="769" spans="1:38" x14ac:dyDescent="0.2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  <c r="AH769" s="4"/>
      <c r="AI769" s="4"/>
      <c r="AJ769" s="4"/>
      <c r="AK769" s="4"/>
      <c r="AL769" s="4"/>
    </row>
    <row r="770" spans="1:38" x14ac:dyDescent="0.2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  <c r="AH770" s="4"/>
      <c r="AI770" s="4"/>
      <c r="AJ770" s="4"/>
      <c r="AK770" s="4"/>
      <c r="AL770" s="4"/>
    </row>
    <row r="771" spans="1:38" x14ac:dyDescent="0.2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  <c r="AH771" s="4"/>
      <c r="AI771" s="4"/>
      <c r="AJ771" s="4"/>
      <c r="AK771" s="4"/>
      <c r="AL771" s="4"/>
    </row>
    <row r="772" spans="1:38" x14ac:dyDescent="0.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  <c r="AH772" s="4"/>
      <c r="AI772" s="4"/>
      <c r="AJ772" s="4"/>
      <c r="AK772" s="4"/>
      <c r="AL772" s="4"/>
    </row>
    <row r="773" spans="1:38" x14ac:dyDescent="0.2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  <c r="AH773" s="4"/>
      <c r="AI773" s="4"/>
      <c r="AJ773" s="4"/>
      <c r="AK773" s="4"/>
      <c r="AL773" s="4"/>
    </row>
    <row r="774" spans="1:38" x14ac:dyDescent="0.2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  <c r="AH774" s="4"/>
      <c r="AI774" s="4"/>
      <c r="AJ774" s="4"/>
      <c r="AK774" s="4"/>
      <c r="AL774" s="4"/>
    </row>
    <row r="775" spans="1:38" x14ac:dyDescent="0.2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  <c r="AH775" s="4"/>
      <c r="AI775" s="4"/>
      <c r="AJ775" s="4"/>
      <c r="AK775" s="4"/>
      <c r="AL775" s="4"/>
    </row>
    <row r="776" spans="1:38" x14ac:dyDescent="0.2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  <c r="AH776" s="4"/>
      <c r="AI776" s="4"/>
      <c r="AJ776" s="4"/>
      <c r="AK776" s="4"/>
      <c r="AL776" s="4"/>
    </row>
    <row r="777" spans="1:38" x14ac:dyDescent="0.2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  <c r="AH777" s="4"/>
      <c r="AI777" s="4"/>
      <c r="AJ777" s="4"/>
      <c r="AK777" s="4"/>
      <c r="AL777" s="4"/>
    </row>
    <row r="778" spans="1:38" x14ac:dyDescent="0.2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  <c r="AH778" s="4"/>
      <c r="AI778" s="4"/>
      <c r="AJ778" s="4"/>
      <c r="AK778" s="4"/>
      <c r="AL778" s="4"/>
    </row>
    <row r="779" spans="1:38" x14ac:dyDescent="0.2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  <c r="AG779" s="4"/>
      <c r="AH779" s="4"/>
      <c r="AI779" s="4"/>
      <c r="AJ779" s="4"/>
      <c r="AK779" s="4"/>
      <c r="AL779" s="4"/>
    </row>
    <row r="780" spans="1:38" x14ac:dyDescent="0.2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  <c r="AH780" s="4"/>
      <c r="AI780" s="4"/>
      <c r="AJ780" s="4"/>
      <c r="AK780" s="4"/>
      <c r="AL780" s="4"/>
    </row>
    <row r="781" spans="1:38" x14ac:dyDescent="0.2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  <c r="AH781" s="4"/>
      <c r="AI781" s="4"/>
      <c r="AJ781" s="4"/>
      <c r="AK781" s="4"/>
      <c r="AL781" s="4"/>
    </row>
    <row r="782" spans="1:38" x14ac:dyDescent="0.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  <c r="AH782" s="4"/>
      <c r="AI782" s="4"/>
      <c r="AJ782" s="4"/>
      <c r="AK782" s="4"/>
      <c r="AL782" s="4"/>
    </row>
    <row r="783" spans="1:38" x14ac:dyDescent="0.2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  <c r="AH783" s="4"/>
      <c r="AI783" s="4"/>
      <c r="AJ783" s="4"/>
      <c r="AK783" s="4"/>
      <c r="AL783" s="4"/>
    </row>
    <row r="784" spans="1:38" x14ac:dyDescent="0.2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G784" s="4"/>
      <c r="AH784" s="4"/>
      <c r="AI784" s="4"/>
      <c r="AJ784" s="4"/>
      <c r="AK784" s="4"/>
      <c r="AL784" s="4"/>
    </row>
    <row r="785" spans="1:38" x14ac:dyDescent="0.2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  <c r="AG785" s="4"/>
      <c r="AH785" s="4"/>
      <c r="AI785" s="4"/>
      <c r="AJ785" s="4"/>
      <c r="AK785" s="4"/>
      <c r="AL785" s="4"/>
    </row>
    <row r="786" spans="1:38" x14ac:dyDescent="0.2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  <c r="AG786" s="4"/>
      <c r="AH786" s="4"/>
      <c r="AI786" s="4"/>
      <c r="AJ786" s="4"/>
      <c r="AK786" s="4"/>
      <c r="AL786" s="4"/>
    </row>
    <row r="787" spans="1:38" x14ac:dyDescent="0.2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  <c r="AH787" s="4"/>
      <c r="AI787" s="4"/>
      <c r="AJ787" s="4"/>
      <c r="AK787" s="4"/>
      <c r="AL787" s="4"/>
    </row>
    <row r="788" spans="1:38" x14ac:dyDescent="0.2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  <c r="AH788" s="4"/>
      <c r="AI788" s="4"/>
      <c r="AJ788" s="4"/>
      <c r="AK788" s="4"/>
      <c r="AL788" s="4"/>
    </row>
    <row r="789" spans="1:38" x14ac:dyDescent="0.2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G789" s="4"/>
      <c r="AH789" s="4"/>
      <c r="AI789" s="4"/>
      <c r="AJ789" s="4"/>
      <c r="AK789" s="4"/>
      <c r="AL789" s="4"/>
    </row>
    <row r="790" spans="1:38" x14ac:dyDescent="0.2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G790" s="4"/>
      <c r="AH790" s="4"/>
      <c r="AI790" s="4"/>
      <c r="AJ790" s="4"/>
      <c r="AK790" s="4"/>
      <c r="AL790" s="4"/>
    </row>
    <row r="791" spans="1:38" x14ac:dyDescent="0.2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  <c r="AH791" s="4"/>
      <c r="AI791" s="4"/>
      <c r="AJ791" s="4"/>
      <c r="AK791" s="4"/>
      <c r="AL791" s="4"/>
    </row>
    <row r="792" spans="1:38" x14ac:dyDescent="0.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  <c r="AG792" s="4"/>
      <c r="AH792" s="4"/>
      <c r="AI792" s="4"/>
      <c r="AJ792" s="4"/>
      <c r="AK792" s="4"/>
      <c r="AL792" s="4"/>
    </row>
    <row r="793" spans="1:38" x14ac:dyDescent="0.2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G793" s="4"/>
      <c r="AH793" s="4"/>
      <c r="AI793" s="4"/>
      <c r="AJ793" s="4"/>
      <c r="AK793" s="4"/>
      <c r="AL793" s="4"/>
    </row>
    <row r="794" spans="1:38" x14ac:dyDescent="0.2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  <c r="AH794" s="4"/>
      <c r="AI794" s="4"/>
      <c r="AJ794" s="4"/>
      <c r="AK794" s="4"/>
      <c r="AL794" s="4"/>
    </row>
    <row r="795" spans="1:38" x14ac:dyDescent="0.2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  <c r="AG795" s="4"/>
      <c r="AH795" s="4"/>
      <c r="AI795" s="4"/>
      <c r="AJ795" s="4"/>
      <c r="AK795" s="4"/>
      <c r="AL795" s="4"/>
    </row>
    <row r="796" spans="1:38" x14ac:dyDescent="0.2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  <c r="AH796" s="4"/>
      <c r="AI796" s="4"/>
      <c r="AJ796" s="4"/>
      <c r="AK796" s="4"/>
      <c r="AL796" s="4"/>
    </row>
    <row r="797" spans="1:38" x14ac:dyDescent="0.2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  <c r="AH797" s="4"/>
      <c r="AI797" s="4"/>
      <c r="AJ797" s="4"/>
      <c r="AK797" s="4"/>
      <c r="AL797" s="4"/>
    </row>
    <row r="798" spans="1:38" x14ac:dyDescent="0.2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  <c r="AG798" s="4"/>
      <c r="AH798" s="4"/>
      <c r="AI798" s="4"/>
      <c r="AJ798" s="4"/>
      <c r="AK798" s="4"/>
      <c r="AL798" s="4"/>
    </row>
    <row r="799" spans="1:38" x14ac:dyDescent="0.2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  <c r="AH799" s="4"/>
      <c r="AI799" s="4"/>
      <c r="AJ799" s="4"/>
      <c r="AK799" s="4"/>
      <c r="AL799" s="4"/>
    </row>
    <row r="800" spans="1:38" x14ac:dyDescent="0.2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  <c r="AH800" s="4"/>
      <c r="AI800" s="4"/>
      <c r="AJ800" s="4"/>
      <c r="AK800" s="4"/>
      <c r="AL800" s="4"/>
    </row>
    <row r="801" spans="1:38" x14ac:dyDescent="0.2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  <c r="AG801" s="4"/>
      <c r="AH801" s="4"/>
      <c r="AI801" s="4"/>
      <c r="AJ801" s="4"/>
      <c r="AK801" s="4"/>
      <c r="AL801" s="4"/>
    </row>
    <row r="802" spans="1:38" x14ac:dyDescent="0.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  <c r="AG802" s="4"/>
      <c r="AH802" s="4"/>
      <c r="AI802" s="4"/>
      <c r="AJ802" s="4"/>
      <c r="AK802" s="4"/>
      <c r="AL802" s="4"/>
    </row>
    <row r="803" spans="1:38" x14ac:dyDescent="0.2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  <c r="AG803" s="4"/>
      <c r="AH803" s="4"/>
      <c r="AI803" s="4"/>
      <c r="AJ803" s="4"/>
      <c r="AK803" s="4"/>
      <c r="AL803" s="4"/>
    </row>
    <row r="804" spans="1:38" x14ac:dyDescent="0.2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  <c r="AG804" s="4"/>
      <c r="AH804" s="4"/>
      <c r="AI804" s="4"/>
      <c r="AJ804" s="4"/>
      <c r="AK804" s="4"/>
      <c r="AL804" s="4"/>
    </row>
    <row r="805" spans="1:38" x14ac:dyDescent="0.2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  <c r="AG805" s="4"/>
      <c r="AH805" s="4"/>
      <c r="AI805" s="4"/>
      <c r="AJ805" s="4"/>
      <c r="AK805" s="4"/>
      <c r="AL805" s="4"/>
    </row>
    <row r="806" spans="1:38" x14ac:dyDescent="0.2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  <c r="AG806" s="4"/>
      <c r="AH806" s="4"/>
      <c r="AI806" s="4"/>
      <c r="AJ806" s="4"/>
      <c r="AK806" s="4"/>
      <c r="AL806" s="4"/>
    </row>
    <row r="807" spans="1:38" x14ac:dyDescent="0.2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  <c r="AG807" s="4"/>
      <c r="AH807" s="4"/>
      <c r="AI807" s="4"/>
      <c r="AJ807" s="4"/>
      <c r="AK807" s="4"/>
      <c r="AL807" s="4"/>
    </row>
    <row r="808" spans="1:38" x14ac:dyDescent="0.2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  <c r="AG808" s="4"/>
      <c r="AH808" s="4"/>
      <c r="AI808" s="4"/>
      <c r="AJ808" s="4"/>
      <c r="AK808" s="4"/>
      <c r="AL808" s="4"/>
    </row>
    <row r="809" spans="1:38" x14ac:dyDescent="0.2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  <c r="AG809" s="4"/>
      <c r="AH809" s="4"/>
      <c r="AI809" s="4"/>
      <c r="AJ809" s="4"/>
      <c r="AK809" s="4"/>
      <c r="AL809" s="4"/>
    </row>
    <row r="810" spans="1:38" x14ac:dyDescent="0.2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  <c r="AG810" s="4"/>
      <c r="AH810" s="4"/>
      <c r="AI810" s="4"/>
      <c r="AJ810" s="4"/>
      <c r="AK810" s="4"/>
      <c r="AL810" s="4"/>
    </row>
    <row r="811" spans="1:38" x14ac:dyDescent="0.2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  <c r="AG811" s="4"/>
      <c r="AH811" s="4"/>
      <c r="AI811" s="4"/>
      <c r="AJ811" s="4"/>
      <c r="AK811" s="4"/>
      <c r="AL811" s="4"/>
    </row>
    <row r="812" spans="1:38" x14ac:dyDescent="0.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  <c r="AG812" s="4"/>
      <c r="AH812" s="4"/>
      <c r="AI812" s="4"/>
      <c r="AJ812" s="4"/>
      <c r="AK812" s="4"/>
      <c r="AL812" s="4"/>
    </row>
    <row r="813" spans="1:38" x14ac:dyDescent="0.2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  <c r="AG813" s="4"/>
      <c r="AH813" s="4"/>
      <c r="AI813" s="4"/>
      <c r="AJ813" s="4"/>
      <c r="AK813" s="4"/>
      <c r="AL813" s="4"/>
    </row>
    <row r="814" spans="1:38" x14ac:dyDescent="0.2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  <c r="AG814" s="4"/>
      <c r="AH814" s="4"/>
      <c r="AI814" s="4"/>
      <c r="AJ814" s="4"/>
      <c r="AK814" s="4"/>
      <c r="AL814" s="4"/>
    </row>
    <row r="815" spans="1:38" x14ac:dyDescent="0.2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  <c r="AG815" s="4"/>
      <c r="AH815" s="4"/>
      <c r="AI815" s="4"/>
      <c r="AJ815" s="4"/>
      <c r="AK815" s="4"/>
      <c r="AL815" s="4"/>
    </row>
    <row r="816" spans="1:38" x14ac:dyDescent="0.2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  <c r="AG816" s="4"/>
      <c r="AH816" s="4"/>
      <c r="AI816" s="4"/>
      <c r="AJ816" s="4"/>
      <c r="AK816" s="4"/>
      <c r="AL816" s="4"/>
    </row>
    <row r="817" spans="1:38" x14ac:dyDescent="0.2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  <c r="AG817" s="4"/>
      <c r="AH817" s="4"/>
      <c r="AI817" s="4"/>
      <c r="AJ817" s="4"/>
      <c r="AK817" s="4"/>
      <c r="AL817" s="4"/>
    </row>
    <row r="818" spans="1:38" x14ac:dyDescent="0.2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  <c r="AG818" s="4"/>
      <c r="AH818" s="4"/>
      <c r="AI818" s="4"/>
      <c r="AJ818" s="4"/>
      <c r="AK818" s="4"/>
      <c r="AL818" s="4"/>
    </row>
    <row r="819" spans="1:38" x14ac:dyDescent="0.2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  <c r="AG819" s="4"/>
      <c r="AH819" s="4"/>
      <c r="AI819" s="4"/>
      <c r="AJ819" s="4"/>
      <c r="AK819" s="4"/>
      <c r="AL819" s="4"/>
    </row>
    <row r="820" spans="1:38" x14ac:dyDescent="0.2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  <c r="AG820" s="4"/>
      <c r="AH820" s="4"/>
      <c r="AI820" s="4"/>
      <c r="AJ820" s="4"/>
      <c r="AK820" s="4"/>
      <c r="AL820" s="4"/>
    </row>
    <row r="821" spans="1:38" x14ac:dyDescent="0.2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  <c r="AG821" s="4"/>
      <c r="AH821" s="4"/>
      <c r="AI821" s="4"/>
      <c r="AJ821" s="4"/>
      <c r="AK821" s="4"/>
      <c r="AL821" s="4"/>
    </row>
    <row r="822" spans="1:38" x14ac:dyDescent="0.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  <c r="AG822" s="4"/>
      <c r="AH822" s="4"/>
      <c r="AI822" s="4"/>
      <c r="AJ822" s="4"/>
      <c r="AK822" s="4"/>
      <c r="AL822" s="4"/>
    </row>
    <row r="823" spans="1:38" x14ac:dyDescent="0.2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  <c r="AG823" s="4"/>
      <c r="AH823" s="4"/>
      <c r="AI823" s="4"/>
      <c r="AJ823" s="4"/>
      <c r="AK823" s="4"/>
      <c r="AL823" s="4"/>
    </row>
    <row r="824" spans="1:38" x14ac:dyDescent="0.2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  <c r="AG824" s="4"/>
      <c r="AH824" s="4"/>
      <c r="AI824" s="4"/>
      <c r="AJ824" s="4"/>
      <c r="AK824" s="4"/>
      <c r="AL824" s="4"/>
    </row>
    <row r="825" spans="1:38" x14ac:dyDescent="0.2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  <c r="AG825" s="4"/>
      <c r="AH825" s="4"/>
      <c r="AI825" s="4"/>
      <c r="AJ825" s="4"/>
      <c r="AK825" s="4"/>
      <c r="AL825" s="4"/>
    </row>
    <row r="826" spans="1:38" x14ac:dyDescent="0.2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  <c r="AG826" s="4"/>
      <c r="AH826" s="4"/>
      <c r="AI826" s="4"/>
      <c r="AJ826" s="4"/>
      <c r="AK826" s="4"/>
      <c r="AL826" s="4"/>
    </row>
    <row r="827" spans="1:38" x14ac:dyDescent="0.2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  <c r="AG827" s="4"/>
      <c r="AH827" s="4"/>
      <c r="AI827" s="4"/>
      <c r="AJ827" s="4"/>
      <c r="AK827" s="4"/>
      <c r="AL827" s="4"/>
    </row>
    <row r="828" spans="1:38" x14ac:dyDescent="0.2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  <c r="AG828" s="4"/>
      <c r="AH828" s="4"/>
      <c r="AI828" s="4"/>
      <c r="AJ828" s="4"/>
      <c r="AK828" s="4"/>
      <c r="AL828" s="4"/>
    </row>
    <row r="829" spans="1:38" x14ac:dyDescent="0.2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  <c r="AG829" s="4"/>
      <c r="AH829" s="4"/>
      <c r="AI829" s="4"/>
      <c r="AJ829" s="4"/>
      <c r="AK829" s="4"/>
      <c r="AL829" s="4"/>
    </row>
    <row r="830" spans="1:38" x14ac:dyDescent="0.2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  <c r="AG830" s="4"/>
      <c r="AH830" s="4"/>
      <c r="AI830" s="4"/>
      <c r="AJ830" s="4"/>
      <c r="AK830" s="4"/>
      <c r="AL830" s="4"/>
    </row>
    <row r="831" spans="1:38" x14ac:dyDescent="0.2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  <c r="AG831" s="4"/>
      <c r="AH831" s="4"/>
      <c r="AI831" s="4"/>
      <c r="AJ831" s="4"/>
      <c r="AK831" s="4"/>
      <c r="AL831" s="4"/>
    </row>
    <row r="832" spans="1:38" x14ac:dyDescent="0.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  <c r="AG832" s="4"/>
      <c r="AH832" s="4"/>
      <c r="AI832" s="4"/>
      <c r="AJ832" s="4"/>
      <c r="AK832" s="4"/>
      <c r="AL832" s="4"/>
    </row>
    <row r="833" spans="1:38" x14ac:dyDescent="0.2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  <c r="AG833" s="4"/>
      <c r="AH833" s="4"/>
      <c r="AI833" s="4"/>
      <c r="AJ833" s="4"/>
      <c r="AK833" s="4"/>
      <c r="AL833" s="4"/>
    </row>
    <row r="834" spans="1:38" x14ac:dyDescent="0.2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  <c r="AG834" s="4"/>
      <c r="AH834" s="4"/>
      <c r="AI834" s="4"/>
      <c r="AJ834" s="4"/>
      <c r="AK834" s="4"/>
      <c r="AL834" s="4"/>
    </row>
    <row r="835" spans="1:38" x14ac:dyDescent="0.2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  <c r="AG835" s="4"/>
      <c r="AH835" s="4"/>
      <c r="AI835" s="4"/>
      <c r="AJ835" s="4"/>
      <c r="AK835" s="4"/>
      <c r="AL835" s="4"/>
    </row>
    <row r="836" spans="1:38" x14ac:dyDescent="0.2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  <c r="AG836" s="4"/>
      <c r="AH836" s="4"/>
      <c r="AI836" s="4"/>
      <c r="AJ836" s="4"/>
      <c r="AK836" s="4"/>
      <c r="AL836" s="4"/>
    </row>
    <row r="837" spans="1:38" x14ac:dyDescent="0.2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  <c r="AG837" s="4"/>
      <c r="AH837" s="4"/>
      <c r="AI837" s="4"/>
      <c r="AJ837" s="4"/>
      <c r="AK837" s="4"/>
      <c r="AL837" s="4"/>
    </row>
    <row r="838" spans="1:38" x14ac:dyDescent="0.2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  <c r="AG838" s="4"/>
      <c r="AH838" s="4"/>
      <c r="AI838" s="4"/>
      <c r="AJ838" s="4"/>
      <c r="AK838" s="4"/>
      <c r="AL838" s="4"/>
    </row>
    <row r="839" spans="1:38" x14ac:dyDescent="0.2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  <c r="AG839" s="4"/>
      <c r="AH839" s="4"/>
      <c r="AI839" s="4"/>
      <c r="AJ839" s="4"/>
      <c r="AK839" s="4"/>
      <c r="AL839" s="4"/>
    </row>
    <row r="840" spans="1:38" x14ac:dyDescent="0.2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  <c r="AG840" s="4"/>
      <c r="AH840" s="4"/>
      <c r="AI840" s="4"/>
      <c r="AJ840" s="4"/>
      <c r="AK840" s="4"/>
      <c r="AL840" s="4"/>
    </row>
    <row r="841" spans="1:38" x14ac:dyDescent="0.2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  <c r="AG841" s="4"/>
      <c r="AH841" s="4"/>
      <c r="AI841" s="4"/>
      <c r="AJ841" s="4"/>
      <c r="AK841" s="4"/>
      <c r="AL841" s="4"/>
    </row>
    <row r="842" spans="1:38" x14ac:dyDescent="0.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  <c r="AG842" s="4"/>
      <c r="AH842" s="4"/>
      <c r="AI842" s="4"/>
      <c r="AJ842" s="4"/>
      <c r="AK842" s="4"/>
      <c r="AL842" s="4"/>
    </row>
    <row r="843" spans="1:38" x14ac:dyDescent="0.2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  <c r="AG843" s="4"/>
      <c r="AH843" s="4"/>
      <c r="AI843" s="4"/>
      <c r="AJ843" s="4"/>
      <c r="AK843" s="4"/>
      <c r="AL843" s="4"/>
    </row>
    <row r="844" spans="1:38" x14ac:dyDescent="0.2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  <c r="AG844" s="4"/>
      <c r="AH844" s="4"/>
      <c r="AI844" s="4"/>
      <c r="AJ844" s="4"/>
      <c r="AK844" s="4"/>
      <c r="AL844" s="4"/>
    </row>
    <row r="845" spans="1:38" x14ac:dyDescent="0.2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  <c r="AG845" s="4"/>
      <c r="AH845" s="4"/>
      <c r="AI845" s="4"/>
      <c r="AJ845" s="4"/>
      <c r="AK845" s="4"/>
      <c r="AL845" s="4"/>
    </row>
    <row r="846" spans="1:38" x14ac:dyDescent="0.2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  <c r="AG846" s="4"/>
      <c r="AH846" s="4"/>
      <c r="AI846" s="4"/>
      <c r="AJ846" s="4"/>
      <c r="AK846" s="4"/>
      <c r="AL846" s="4"/>
    </row>
    <row r="847" spans="1:38" x14ac:dyDescent="0.2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  <c r="AG847" s="4"/>
      <c r="AH847" s="4"/>
      <c r="AI847" s="4"/>
      <c r="AJ847" s="4"/>
      <c r="AK847" s="4"/>
      <c r="AL847" s="4"/>
    </row>
    <row r="848" spans="1:38" x14ac:dyDescent="0.2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G848" s="4"/>
      <c r="AH848" s="4"/>
      <c r="AI848" s="4"/>
      <c r="AJ848" s="4"/>
      <c r="AK848" s="4"/>
      <c r="AL848" s="4"/>
    </row>
    <row r="849" spans="1:38" x14ac:dyDescent="0.2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  <c r="AG849" s="4"/>
      <c r="AH849" s="4"/>
      <c r="AI849" s="4"/>
      <c r="AJ849" s="4"/>
      <c r="AK849" s="4"/>
      <c r="AL849" s="4"/>
    </row>
    <row r="850" spans="1:38" x14ac:dyDescent="0.2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  <c r="AG850" s="4"/>
      <c r="AH850" s="4"/>
      <c r="AI850" s="4"/>
      <c r="AJ850" s="4"/>
      <c r="AK850" s="4"/>
      <c r="AL850" s="4"/>
    </row>
    <row r="851" spans="1:38" x14ac:dyDescent="0.2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  <c r="AG851" s="4"/>
      <c r="AH851" s="4"/>
      <c r="AI851" s="4"/>
      <c r="AJ851" s="4"/>
      <c r="AK851" s="4"/>
      <c r="AL851" s="4"/>
    </row>
    <row r="852" spans="1:38" x14ac:dyDescent="0.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  <c r="AG852" s="4"/>
      <c r="AH852" s="4"/>
      <c r="AI852" s="4"/>
      <c r="AJ852" s="4"/>
      <c r="AK852" s="4"/>
      <c r="AL852" s="4"/>
    </row>
    <row r="853" spans="1:38" x14ac:dyDescent="0.2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  <c r="AG853" s="4"/>
      <c r="AH853" s="4"/>
      <c r="AI853" s="4"/>
      <c r="AJ853" s="4"/>
      <c r="AK853" s="4"/>
      <c r="AL853" s="4"/>
    </row>
    <row r="854" spans="1:38" x14ac:dyDescent="0.2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  <c r="AG854" s="4"/>
      <c r="AH854" s="4"/>
      <c r="AI854" s="4"/>
      <c r="AJ854" s="4"/>
      <c r="AK854" s="4"/>
      <c r="AL854" s="4"/>
    </row>
    <row r="855" spans="1:38" x14ac:dyDescent="0.2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  <c r="AG855" s="4"/>
      <c r="AH855" s="4"/>
      <c r="AI855" s="4"/>
      <c r="AJ855" s="4"/>
      <c r="AK855" s="4"/>
      <c r="AL855" s="4"/>
    </row>
    <row r="856" spans="1:38" x14ac:dyDescent="0.2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  <c r="AG856" s="4"/>
      <c r="AH856" s="4"/>
      <c r="AI856" s="4"/>
      <c r="AJ856" s="4"/>
      <c r="AK856" s="4"/>
      <c r="AL856" s="4"/>
    </row>
    <row r="857" spans="1:38" x14ac:dyDescent="0.2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  <c r="AG857" s="4"/>
      <c r="AH857" s="4"/>
      <c r="AI857" s="4"/>
      <c r="AJ857" s="4"/>
      <c r="AK857" s="4"/>
      <c r="AL857" s="4"/>
    </row>
    <row r="858" spans="1:38" x14ac:dyDescent="0.2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  <c r="AG858" s="4"/>
      <c r="AH858" s="4"/>
      <c r="AI858" s="4"/>
      <c r="AJ858" s="4"/>
      <c r="AK858" s="4"/>
      <c r="AL858" s="4"/>
    </row>
    <row r="859" spans="1:38" x14ac:dyDescent="0.2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  <c r="AG859" s="4"/>
      <c r="AH859" s="4"/>
      <c r="AI859" s="4"/>
      <c r="AJ859" s="4"/>
      <c r="AK859" s="4"/>
      <c r="AL859" s="4"/>
    </row>
    <row r="860" spans="1:38" x14ac:dyDescent="0.2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  <c r="AG860" s="4"/>
      <c r="AH860" s="4"/>
      <c r="AI860" s="4"/>
      <c r="AJ860" s="4"/>
      <c r="AK860" s="4"/>
      <c r="AL860" s="4"/>
    </row>
    <row r="861" spans="1:38" x14ac:dyDescent="0.2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  <c r="AG861" s="4"/>
      <c r="AH861" s="4"/>
      <c r="AI861" s="4"/>
      <c r="AJ861" s="4"/>
      <c r="AK861" s="4"/>
      <c r="AL861" s="4"/>
    </row>
    <row r="862" spans="1:38" x14ac:dyDescent="0.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  <c r="AG862" s="4"/>
      <c r="AH862" s="4"/>
      <c r="AI862" s="4"/>
      <c r="AJ862" s="4"/>
      <c r="AK862" s="4"/>
      <c r="AL862" s="4"/>
    </row>
    <row r="863" spans="1:38" x14ac:dyDescent="0.2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  <c r="AG863" s="4"/>
      <c r="AH863" s="4"/>
      <c r="AI863" s="4"/>
      <c r="AJ863" s="4"/>
      <c r="AK863" s="4"/>
      <c r="AL863" s="4"/>
    </row>
    <row r="864" spans="1:38" x14ac:dyDescent="0.2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  <c r="AG864" s="4"/>
      <c r="AH864" s="4"/>
      <c r="AI864" s="4"/>
      <c r="AJ864" s="4"/>
      <c r="AK864" s="4"/>
      <c r="AL864" s="4"/>
    </row>
    <row r="865" spans="1:38" x14ac:dyDescent="0.2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  <c r="AG865" s="4"/>
      <c r="AH865" s="4"/>
      <c r="AI865" s="4"/>
      <c r="AJ865" s="4"/>
      <c r="AK865" s="4"/>
      <c r="AL865" s="4"/>
    </row>
    <row r="866" spans="1:38" x14ac:dyDescent="0.2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  <c r="AG866" s="4"/>
      <c r="AH866" s="4"/>
      <c r="AI866" s="4"/>
      <c r="AJ866" s="4"/>
      <c r="AK866" s="4"/>
      <c r="AL866" s="4"/>
    </row>
    <row r="867" spans="1:38" x14ac:dyDescent="0.2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  <c r="AG867" s="4"/>
      <c r="AH867" s="4"/>
      <c r="AI867" s="4"/>
      <c r="AJ867" s="4"/>
      <c r="AK867" s="4"/>
      <c r="AL867" s="4"/>
    </row>
    <row r="868" spans="1:38" x14ac:dyDescent="0.2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G868" s="4"/>
      <c r="AH868" s="4"/>
      <c r="AI868" s="4"/>
      <c r="AJ868" s="4"/>
      <c r="AK868" s="4"/>
      <c r="AL868" s="4"/>
    </row>
    <row r="869" spans="1:38" x14ac:dyDescent="0.2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  <c r="AG869" s="4"/>
      <c r="AH869" s="4"/>
      <c r="AI869" s="4"/>
      <c r="AJ869" s="4"/>
      <c r="AK869" s="4"/>
      <c r="AL869" s="4"/>
    </row>
    <row r="870" spans="1:38" x14ac:dyDescent="0.2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  <c r="AG870" s="4"/>
      <c r="AH870" s="4"/>
      <c r="AI870" s="4"/>
      <c r="AJ870" s="4"/>
      <c r="AK870" s="4"/>
      <c r="AL870" s="4"/>
    </row>
    <row r="871" spans="1:38" x14ac:dyDescent="0.2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  <c r="AG871" s="4"/>
      <c r="AH871" s="4"/>
      <c r="AI871" s="4"/>
      <c r="AJ871" s="4"/>
      <c r="AK871" s="4"/>
      <c r="AL871" s="4"/>
    </row>
    <row r="872" spans="1:38" x14ac:dyDescent="0.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  <c r="AG872" s="4"/>
      <c r="AH872" s="4"/>
      <c r="AI872" s="4"/>
      <c r="AJ872" s="4"/>
      <c r="AK872" s="4"/>
      <c r="AL872" s="4"/>
    </row>
    <row r="873" spans="1:38" x14ac:dyDescent="0.2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  <c r="AG873" s="4"/>
      <c r="AH873" s="4"/>
      <c r="AI873" s="4"/>
      <c r="AJ873" s="4"/>
      <c r="AK873" s="4"/>
      <c r="AL873" s="4"/>
    </row>
    <row r="874" spans="1:38" x14ac:dyDescent="0.2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  <c r="AG874" s="4"/>
      <c r="AH874" s="4"/>
      <c r="AI874" s="4"/>
      <c r="AJ874" s="4"/>
      <c r="AK874" s="4"/>
      <c r="AL874" s="4"/>
    </row>
    <row r="875" spans="1:38" x14ac:dyDescent="0.2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  <c r="AG875" s="4"/>
      <c r="AH875" s="4"/>
      <c r="AI875" s="4"/>
      <c r="AJ875" s="4"/>
      <c r="AK875" s="4"/>
      <c r="AL875" s="4"/>
    </row>
    <row r="876" spans="1:38" x14ac:dyDescent="0.2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  <c r="AG876" s="4"/>
      <c r="AH876" s="4"/>
      <c r="AI876" s="4"/>
      <c r="AJ876" s="4"/>
      <c r="AK876" s="4"/>
      <c r="AL876" s="4"/>
    </row>
    <row r="877" spans="1:38" x14ac:dyDescent="0.2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  <c r="AG877" s="4"/>
      <c r="AH877" s="4"/>
      <c r="AI877" s="4"/>
      <c r="AJ877" s="4"/>
      <c r="AK877" s="4"/>
      <c r="AL877" s="4"/>
    </row>
    <row r="878" spans="1:38" x14ac:dyDescent="0.2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  <c r="AG878" s="4"/>
      <c r="AH878" s="4"/>
      <c r="AI878" s="4"/>
      <c r="AJ878" s="4"/>
      <c r="AK878" s="4"/>
      <c r="AL878" s="4"/>
    </row>
    <row r="879" spans="1:38" x14ac:dyDescent="0.2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  <c r="AG879" s="4"/>
      <c r="AH879" s="4"/>
      <c r="AI879" s="4"/>
      <c r="AJ879" s="4"/>
      <c r="AK879" s="4"/>
      <c r="AL879" s="4"/>
    </row>
    <row r="880" spans="1:38" x14ac:dyDescent="0.2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  <c r="AG880" s="4"/>
      <c r="AH880" s="4"/>
      <c r="AI880" s="4"/>
      <c r="AJ880" s="4"/>
      <c r="AK880" s="4"/>
      <c r="AL880" s="4"/>
    </row>
    <row r="881" spans="1:38" x14ac:dyDescent="0.2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  <c r="AG881" s="4"/>
      <c r="AH881" s="4"/>
      <c r="AI881" s="4"/>
      <c r="AJ881" s="4"/>
      <c r="AK881" s="4"/>
      <c r="AL881" s="4"/>
    </row>
    <row r="882" spans="1:38" x14ac:dyDescent="0.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  <c r="AG882" s="4"/>
      <c r="AH882" s="4"/>
      <c r="AI882" s="4"/>
      <c r="AJ882" s="4"/>
      <c r="AK882" s="4"/>
      <c r="AL882" s="4"/>
    </row>
    <row r="883" spans="1:38" x14ac:dyDescent="0.2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  <c r="AG883" s="4"/>
      <c r="AH883" s="4"/>
      <c r="AI883" s="4"/>
      <c r="AJ883" s="4"/>
      <c r="AK883" s="4"/>
      <c r="AL883" s="4"/>
    </row>
    <row r="884" spans="1:38" x14ac:dyDescent="0.2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  <c r="AG884" s="4"/>
      <c r="AH884" s="4"/>
      <c r="AI884" s="4"/>
      <c r="AJ884" s="4"/>
      <c r="AK884" s="4"/>
      <c r="AL884" s="4"/>
    </row>
    <row r="885" spans="1:38" x14ac:dyDescent="0.2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  <c r="AG885" s="4"/>
      <c r="AH885" s="4"/>
      <c r="AI885" s="4"/>
      <c r="AJ885" s="4"/>
      <c r="AK885" s="4"/>
      <c r="AL885" s="4"/>
    </row>
    <row r="886" spans="1:38" x14ac:dyDescent="0.2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  <c r="AG886" s="4"/>
      <c r="AH886" s="4"/>
      <c r="AI886" s="4"/>
      <c r="AJ886" s="4"/>
      <c r="AK886" s="4"/>
      <c r="AL886" s="4"/>
    </row>
    <row r="887" spans="1:38" x14ac:dyDescent="0.2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  <c r="AG887" s="4"/>
      <c r="AH887" s="4"/>
      <c r="AI887" s="4"/>
      <c r="AJ887" s="4"/>
      <c r="AK887" s="4"/>
      <c r="AL887" s="4"/>
    </row>
    <row r="888" spans="1:38" x14ac:dyDescent="0.2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  <c r="AG888" s="4"/>
      <c r="AH888" s="4"/>
      <c r="AI888" s="4"/>
      <c r="AJ888" s="4"/>
      <c r="AK888" s="4"/>
      <c r="AL888" s="4"/>
    </row>
    <row r="889" spans="1:38" x14ac:dyDescent="0.2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  <c r="AG889" s="4"/>
      <c r="AH889" s="4"/>
      <c r="AI889" s="4"/>
      <c r="AJ889" s="4"/>
      <c r="AK889" s="4"/>
      <c r="AL889" s="4"/>
    </row>
    <row r="890" spans="1:38" x14ac:dyDescent="0.2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  <c r="AG890" s="4"/>
      <c r="AH890" s="4"/>
      <c r="AI890" s="4"/>
      <c r="AJ890" s="4"/>
      <c r="AK890" s="4"/>
      <c r="AL890" s="4"/>
    </row>
    <row r="891" spans="1:38" x14ac:dyDescent="0.2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  <c r="AG891" s="4"/>
      <c r="AH891" s="4"/>
      <c r="AI891" s="4"/>
      <c r="AJ891" s="4"/>
      <c r="AK891" s="4"/>
      <c r="AL891" s="4"/>
    </row>
    <row r="892" spans="1:38" x14ac:dyDescent="0.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  <c r="AG892" s="4"/>
      <c r="AH892" s="4"/>
      <c r="AI892" s="4"/>
      <c r="AJ892" s="4"/>
      <c r="AK892" s="4"/>
      <c r="AL892" s="4"/>
    </row>
    <row r="893" spans="1:38" x14ac:dyDescent="0.2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  <c r="AG893" s="4"/>
      <c r="AH893" s="4"/>
      <c r="AI893" s="4"/>
      <c r="AJ893" s="4"/>
      <c r="AK893" s="4"/>
      <c r="AL893" s="4"/>
    </row>
    <row r="894" spans="1:38" x14ac:dyDescent="0.2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  <c r="AG894" s="4"/>
      <c r="AH894" s="4"/>
      <c r="AI894" s="4"/>
      <c r="AJ894" s="4"/>
      <c r="AK894" s="4"/>
      <c r="AL894" s="4"/>
    </row>
    <row r="895" spans="1:38" x14ac:dyDescent="0.2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  <c r="AG895" s="4"/>
      <c r="AH895" s="4"/>
      <c r="AI895" s="4"/>
      <c r="AJ895" s="4"/>
      <c r="AK895" s="4"/>
      <c r="AL895" s="4"/>
    </row>
    <row r="896" spans="1:38" x14ac:dyDescent="0.2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  <c r="AG896" s="4"/>
      <c r="AH896" s="4"/>
      <c r="AI896" s="4"/>
      <c r="AJ896" s="4"/>
      <c r="AK896" s="4"/>
      <c r="AL896" s="4"/>
    </row>
    <row r="897" spans="1:38" x14ac:dyDescent="0.2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  <c r="AG897" s="4"/>
      <c r="AH897" s="4"/>
      <c r="AI897" s="4"/>
      <c r="AJ897" s="4"/>
      <c r="AK897" s="4"/>
      <c r="AL897" s="4"/>
    </row>
    <row r="898" spans="1:38" x14ac:dyDescent="0.2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  <c r="AG898" s="4"/>
      <c r="AH898" s="4"/>
      <c r="AI898" s="4"/>
      <c r="AJ898" s="4"/>
      <c r="AK898" s="4"/>
      <c r="AL898" s="4"/>
    </row>
    <row r="899" spans="1:38" x14ac:dyDescent="0.2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  <c r="AG899" s="4"/>
      <c r="AH899" s="4"/>
      <c r="AI899" s="4"/>
      <c r="AJ899" s="4"/>
      <c r="AK899" s="4"/>
      <c r="AL899" s="4"/>
    </row>
    <row r="900" spans="1:38" x14ac:dyDescent="0.2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  <c r="AG900" s="4"/>
      <c r="AH900" s="4"/>
      <c r="AI900" s="4"/>
      <c r="AJ900" s="4"/>
      <c r="AK900" s="4"/>
      <c r="AL900" s="4"/>
    </row>
    <row r="901" spans="1:38" x14ac:dyDescent="0.2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  <c r="AG901" s="4"/>
      <c r="AH901" s="4"/>
      <c r="AI901" s="4"/>
      <c r="AJ901" s="4"/>
      <c r="AK901" s="4"/>
      <c r="AL901" s="4"/>
    </row>
    <row r="902" spans="1:38" x14ac:dyDescent="0.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  <c r="AG902" s="4"/>
      <c r="AH902" s="4"/>
      <c r="AI902" s="4"/>
      <c r="AJ902" s="4"/>
      <c r="AK902" s="4"/>
      <c r="AL902" s="4"/>
    </row>
    <row r="903" spans="1:38" x14ac:dyDescent="0.2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  <c r="AG903" s="4"/>
      <c r="AH903" s="4"/>
      <c r="AI903" s="4"/>
      <c r="AJ903" s="4"/>
      <c r="AK903" s="4"/>
      <c r="AL903" s="4"/>
    </row>
    <row r="904" spans="1:38" x14ac:dyDescent="0.2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  <c r="AG904" s="4"/>
      <c r="AH904" s="4"/>
      <c r="AI904" s="4"/>
      <c r="AJ904" s="4"/>
      <c r="AK904" s="4"/>
      <c r="AL904" s="4"/>
    </row>
    <row r="905" spans="1:38" x14ac:dyDescent="0.2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  <c r="AG905" s="4"/>
      <c r="AH905" s="4"/>
      <c r="AI905" s="4"/>
      <c r="AJ905" s="4"/>
      <c r="AK905" s="4"/>
      <c r="AL905" s="4"/>
    </row>
    <row r="906" spans="1:38" x14ac:dyDescent="0.2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  <c r="AG906" s="4"/>
      <c r="AH906" s="4"/>
      <c r="AI906" s="4"/>
      <c r="AJ906" s="4"/>
      <c r="AK906" s="4"/>
      <c r="AL906" s="4"/>
    </row>
    <row r="907" spans="1:38" x14ac:dyDescent="0.2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  <c r="AG907" s="4"/>
      <c r="AH907" s="4"/>
      <c r="AI907" s="4"/>
      <c r="AJ907" s="4"/>
      <c r="AK907" s="4"/>
      <c r="AL907" s="4"/>
    </row>
    <row r="908" spans="1:38" x14ac:dyDescent="0.2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  <c r="AG908" s="4"/>
      <c r="AH908" s="4"/>
      <c r="AI908" s="4"/>
      <c r="AJ908" s="4"/>
      <c r="AK908" s="4"/>
      <c r="AL908" s="4"/>
    </row>
    <row r="909" spans="1:38" x14ac:dyDescent="0.2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  <c r="AG909" s="4"/>
      <c r="AH909" s="4"/>
      <c r="AI909" s="4"/>
      <c r="AJ909" s="4"/>
      <c r="AK909" s="4"/>
      <c r="AL909" s="4"/>
    </row>
    <row r="910" spans="1:38" x14ac:dyDescent="0.2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  <c r="AG910" s="4"/>
      <c r="AH910" s="4"/>
      <c r="AI910" s="4"/>
      <c r="AJ910" s="4"/>
      <c r="AK910" s="4"/>
      <c r="AL910" s="4"/>
    </row>
    <row r="911" spans="1:38" x14ac:dyDescent="0.2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  <c r="AG911" s="4"/>
      <c r="AH911" s="4"/>
      <c r="AI911" s="4"/>
      <c r="AJ911" s="4"/>
      <c r="AK911" s="4"/>
      <c r="AL911" s="4"/>
    </row>
    <row r="912" spans="1:38" x14ac:dyDescent="0.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  <c r="AG912" s="4"/>
      <c r="AH912" s="4"/>
      <c r="AI912" s="4"/>
      <c r="AJ912" s="4"/>
      <c r="AK912" s="4"/>
      <c r="AL912" s="4"/>
    </row>
    <row r="913" spans="1:38" x14ac:dyDescent="0.2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  <c r="AG913" s="4"/>
      <c r="AH913" s="4"/>
      <c r="AI913" s="4"/>
      <c r="AJ913" s="4"/>
      <c r="AK913" s="4"/>
      <c r="AL913" s="4"/>
    </row>
    <row r="914" spans="1:38" x14ac:dyDescent="0.2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  <c r="AG914" s="4"/>
      <c r="AH914" s="4"/>
      <c r="AI914" s="4"/>
      <c r="AJ914" s="4"/>
      <c r="AK914" s="4"/>
      <c r="AL914" s="4"/>
    </row>
    <row r="915" spans="1:38" x14ac:dyDescent="0.2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  <c r="AG915" s="4"/>
      <c r="AH915" s="4"/>
      <c r="AI915" s="4"/>
      <c r="AJ915" s="4"/>
      <c r="AK915" s="4"/>
      <c r="AL915" s="4"/>
    </row>
    <row r="916" spans="1:38" x14ac:dyDescent="0.2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  <c r="AG916" s="4"/>
      <c r="AH916" s="4"/>
      <c r="AI916" s="4"/>
      <c r="AJ916" s="4"/>
      <c r="AK916" s="4"/>
      <c r="AL916" s="4"/>
    </row>
    <row r="917" spans="1:38" x14ac:dyDescent="0.2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  <c r="AG917" s="4"/>
      <c r="AH917" s="4"/>
      <c r="AI917" s="4"/>
      <c r="AJ917" s="4"/>
      <c r="AK917" s="4"/>
      <c r="AL917" s="4"/>
    </row>
    <row r="918" spans="1:38" x14ac:dyDescent="0.2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  <c r="AG918" s="4"/>
      <c r="AH918" s="4"/>
      <c r="AI918" s="4"/>
      <c r="AJ918" s="4"/>
      <c r="AK918" s="4"/>
      <c r="AL918" s="4"/>
    </row>
    <row r="919" spans="1:38" x14ac:dyDescent="0.2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  <c r="AG919" s="4"/>
      <c r="AH919" s="4"/>
      <c r="AI919" s="4"/>
      <c r="AJ919" s="4"/>
      <c r="AK919" s="4"/>
      <c r="AL919" s="4"/>
    </row>
    <row r="920" spans="1:38" x14ac:dyDescent="0.2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  <c r="AG920" s="4"/>
      <c r="AH920" s="4"/>
      <c r="AI920" s="4"/>
      <c r="AJ920" s="4"/>
      <c r="AK920" s="4"/>
      <c r="AL920" s="4"/>
    </row>
    <row r="921" spans="1:38" x14ac:dyDescent="0.2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  <c r="AG921" s="4"/>
      <c r="AH921" s="4"/>
      <c r="AI921" s="4"/>
      <c r="AJ921" s="4"/>
      <c r="AK921" s="4"/>
      <c r="AL921" s="4"/>
    </row>
    <row r="922" spans="1:38" x14ac:dyDescent="0.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  <c r="AG922" s="4"/>
      <c r="AH922" s="4"/>
      <c r="AI922" s="4"/>
      <c r="AJ922" s="4"/>
      <c r="AK922" s="4"/>
      <c r="AL922" s="4"/>
    </row>
    <row r="923" spans="1:38" x14ac:dyDescent="0.2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  <c r="AG923" s="4"/>
      <c r="AH923" s="4"/>
      <c r="AI923" s="4"/>
      <c r="AJ923" s="4"/>
      <c r="AK923" s="4"/>
      <c r="AL923" s="4"/>
    </row>
    <row r="924" spans="1:38" x14ac:dyDescent="0.2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  <c r="AG924" s="4"/>
      <c r="AH924" s="4"/>
      <c r="AI924" s="4"/>
      <c r="AJ924" s="4"/>
      <c r="AK924" s="4"/>
      <c r="AL924" s="4"/>
    </row>
    <row r="925" spans="1:38" x14ac:dyDescent="0.2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  <c r="AG925" s="4"/>
      <c r="AH925" s="4"/>
      <c r="AI925" s="4"/>
      <c r="AJ925" s="4"/>
      <c r="AK925" s="4"/>
      <c r="AL925" s="4"/>
    </row>
    <row r="926" spans="1:38" x14ac:dyDescent="0.2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  <c r="AG926" s="4"/>
      <c r="AH926" s="4"/>
      <c r="AI926" s="4"/>
      <c r="AJ926" s="4"/>
      <c r="AK926" s="4"/>
      <c r="AL926" s="4"/>
    </row>
    <row r="927" spans="1:38" x14ac:dyDescent="0.2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  <c r="AG927" s="4"/>
      <c r="AH927" s="4"/>
      <c r="AI927" s="4"/>
      <c r="AJ927" s="4"/>
      <c r="AK927" s="4"/>
      <c r="AL927" s="4"/>
    </row>
    <row r="928" spans="1:38" x14ac:dyDescent="0.2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  <c r="AG928" s="4"/>
      <c r="AH928" s="4"/>
      <c r="AI928" s="4"/>
      <c r="AJ928" s="4"/>
      <c r="AK928" s="4"/>
      <c r="AL928" s="4"/>
    </row>
    <row r="929" spans="1:38" x14ac:dyDescent="0.2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  <c r="AG929" s="4"/>
      <c r="AH929" s="4"/>
      <c r="AI929" s="4"/>
      <c r="AJ929" s="4"/>
      <c r="AK929" s="4"/>
      <c r="AL929" s="4"/>
    </row>
    <row r="930" spans="1:38" x14ac:dyDescent="0.2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  <c r="AG930" s="4"/>
      <c r="AH930" s="4"/>
      <c r="AI930" s="4"/>
      <c r="AJ930" s="4"/>
      <c r="AK930" s="4"/>
      <c r="AL930" s="4"/>
    </row>
    <row r="931" spans="1:38" x14ac:dyDescent="0.2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  <c r="AG931" s="4"/>
      <c r="AH931" s="4"/>
      <c r="AI931" s="4"/>
      <c r="AJ931" s="4"/>
      <c r="AK931" s="4"/>
      <c r="AL931" s="4"/>
    </row>
    <row r="932" spans="1:38" x14ac:dyDescent="0.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  <c r="AG932" s="4"/>
      <c r="AH932" s="4"/>
      <c r="AI932" s="4"/>
      <c r="AJ932" s="4"/>
      <c r="AK932" s="4"/>
      <c r="AL932" s="4"/>
    </row>
    <row r="933" spans="1:38" x14ac:dyDescent="0.2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  <c r="AG933" s="4"/>
      <c r="AH933" s="4"/>
      <c r="AI933" s="4"/>
      <c r="AJ933" s="4"/>
      <c r="AK933" s="4"/>
      <c r="AL933" s="4"/>
    </row>
    <row r="934" spans="1:38" x14ac:dyDescent="0.2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  <c r="AG934" s="4"/>
      <c r="AH934" s="4"/>
      <c r="AI934" s="4"/>
      <c r="AJ934" s="4"/>
      <c r="AK934" s="4"/>
      <c r="AL934" s="4"/>
    </row>
    <row r="935" spans="1:38" x14ac:dyDescent="0.2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  <c r="AG935" s="4"/>
      <c r="AH935" s="4"/>
      <c r="AI935" s="4"/>
      <c r="AJ935" s="4"/>
      <c r="AK935" s="4"/>
      <c r="AL935" s="4"/>
    </row>
    <row r="936" spans="1:38" x14ac:dyDescent="0.2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  <c r="AG936" s="4"/>
      <c r="AH936" s="4"/>
      <c r="AI936" s="4"/>
      <c r="AJ936" s="4"/>
      <c r="AK936" s="4"/>
      <c r="AL936" s="4"/>
    </row>
    <row r="937" spans="1:38" x14ac:dyDescent="0.2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  <c r="AG937" s="4"/>
      <c r="AH937" s="4"/>
      <c r="AI937" s="4"/>
      <c r="AJ937" s="4"/>
      <c r="AK937" s="4"/>
      <c r="AL937" s="4"/>
    </row>
    <row r="938" spans="1:38" x14ac:dyDescent="0.2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  <c r="AG938" s="4"/>
      <c r="AH938" s="4"/>
      <c r="AI938" s="4"/>
      <c r="AJ938" s="4"/>
      <c r="AK938" s="4"/>
      <c r="AL938" s="4"/>
    </row>
    <row r="939" spans="1:38" x14ac:dyDescent="0.2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  <c r="AG939" s="4"/>
      <c r="AH939" s="4"/>
      <c r="AI939" s="4"/>
      <c r="AJ939" s="4"/>
      <c r="AK939" s="4"/>
      <c r="AL939" s="4"/>
    </row>
    <row r="940" spans="1:38" x14ac:dyDescent="0.2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  <c r="AG940" s="4"/>
      <c r="AH940" s="4"/>
      <c r="AI940" s="4"/>
      <c r="AJ940" s="4"/>
      <c r="AK940" s="4"/>
      <c r="AL940" s="4"/>
    </row>
    <row r="941" spans="1:38" x14ac:dyDescent="0.2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  <c r="AG941" s="4"/>
      <c r="AH941" s="4"/>
      <c r="AI941" s="4"/>
      <c r="AJ941" s="4"/>
      <c r="AK941" s="4"/>
      <c r="AL941" s="4"/>
    </row>
    <row r="942" spans="1:38" x14ac:dyDescent="0.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  <c r="AG942" s="4"/>
      <c r="AH942" s="4"/>
      <c r="AI942" s="4"/>
      <c r="AJ942" s="4"/>
      <c r="AK942" s="4"/>
      <c r="AL942" s="4"/>
    </row>
    <row r="943" spans="1:38" x14ac:dyDescent="0.2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  <c r="AG943" s="4"/>
      <c r="AH943" s="4"/>
      <c r="AI943" s="4"/>
      <c r="AJ943" s="4"/>
      <c r="AK943" s="4"/>
      <c r="AL943" s="4"/>
    </row>
    <row r="944" spans="1:38" x14ac:dyDescent="0.2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  <c r="AG944" s="4"/>
      <c r="AH944" s="4"/>
      <c r="AI944" s="4"/>
      <c r="AJ944" s="4"/>
      <c r="AK944" s="4"/>
      <c r="AL944" s="4"/>
    </row>
    <row r="945" spans="1:38" x14ac:dyDescent="0.2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  <c r="AG945" s="4"/>
      <c r="AH945" s="4"/>
      <c r="AI945" s="4"/>
      <c r="AJ945" s="4"/>
      <c r="AK945" s="4"/>
      <c r="AL945" s="4"/>
    </row>
    <row r="946" spans="1:38" x14ac:dyDescent="0.2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  <c r="AG946" s="4"/>
      <c r="AH946" s="4"/>
      <c r="AI946" s="4"/>
      <c r="AJ946" s="4"/>
      <c r="AK946" s="4"/>
      <c r="AL946" s="4"/>
    </row>
    <row r="947" spans="1:38" x14ac:dyDescent="0.2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  <c r="AG947" s="4"/>
      <c r="AH947" s="4"/>
      <c r="AI947" s="4"/>
      <c r="AJ947" s="4"/>
      <c r="AK947" s="4"/>
      <c r="AL947" s="4"/>
    </row>
    <row r="948" spans="1:38" x14ac:dyDescent="0.2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  <c r="AG948" s="4"/>
      <c r="AH948" s="4"/>
      <c r="AI948" s="4"/>
      <c r="AJ948" s="4"/>
      <c r="AK948" s="4"/>
      <c r="AL948" s="4"/>
    </row>
    <row r="949" spans="1:38" x14ac:dyDescent="0.2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  <c r="AG949" s="4"/>
      <c r="AH949" s="4"/>
      <c r="AI949" s="4"/>
      <c r="AJ949" s="4"/>
      <c r="AK949" s="4"/>
      <c r="AL949" s="4"/>
    </row>
    <row r="950" spans="1:38" x14ac:dyDescent="0.2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  <c r="AG950" s="4"/>
      <c r="AH950" s="4"/>
      <c r="AI950" s="4"/>
      <c r="AJ950" s="4"/>
      <c r="AK950" s="4"/>
      <c r="AL950" s="4"/>
    </row>
    <row r="951" spans="1:38" x14ac:dyDescent="0.2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  <c r="AG951" s="4"/>
      <c r="AH951" s="4"/>
      <c r="AI951" s="4"/>
      <c r="AJ951" s="4"/>
      <c r="AK951" s="4"/>
      <c r="AL951" s="4"/>
    </row>
    <row r="952" spans="1:38" x14ac:dyDescent="0.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  <c r="AG952" s="4"/>
      <c r="AH952" s="4"/>
      <c r="AI952" s="4"/>
      <c r="AJ952" s="4"/>
      <c r="AK952" s="4"/>
      <c r="AL952" s="4"/>
    </row>
    <row r="953" spans="1:38" x14ac:dyDescent="0.2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  <c r="AG953" s="4"/>
      <c r="AH953" s="4"/>
      <c r="AI953" s="4"/>
      <c r="AJ953" s="4"/>
      <c r="AK953" s="4"/>
      <c r="AL953" s="4"/>
    </row>
    <row r="954" spans="1:38" x14ac:dyDescent="0.2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  <c r="AG954" s="4"/>
      <c r="AH954" s="4"/>
      <c r="AI954" s="4"/>
      <c r="AJ954" s="4"/>
      <c r="AK954" s="4"/>
      <c r="AL954" s="4"/>
    </row>
    <row r="955" spans="1:38" x14ac:dyDescent="0.2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  <c r="AG955" s="4"/>
      <c r="AH955" s="4"/>
      <c r="AI955" s="4"/>
      <c r="AJ955" s="4"/>
      <c r="AK955" s="4"/>
      <c r="AL955" s="4"/>
    </row>
    <row r="956" spans="1:38" x14ac:dyDescent="0.2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  <c r="AG956" s="4"/>
      <c r="AH956" s="4"/>
      <c r="AI956" s="4"/>
      <c r="AJ956" s="4"/>
      <c r="AK956" s="4"/>
      <c r="AL956" s="4"/>
    </row>
    <row r="957" spans="1:38" x14ac:dyDescent="0.2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  <c r="AG957" s="4"/>
      <c r="AH957" s="4"/>
      <c r="AI957" s="4"/>
      <c r="AJ957" s="4"/>
      <c r="AK957" s="4"/>
      <c r="AL957" s="4"/>
    </row>
    <row r="958" spans="1:38" x14ac:dyDescent="0.2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  <c r="AG958" s="4"/>
      <c r="AH958" s="4"/>
      <c r="AI958" s="4"/>
      <c r="AJ958" s="4"/>
      <c r="AK958" s="4"/>
      <c r="AL958" s="4"/>
    </row>
    <row r="959" spans="1:38" x14ac:dyDescent="0.2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  <c r="AG959" s="4"/>
      <c r="AH959" s="4"/>
      <c r="AI959" s="4"/>
      <c r="AJ959" s="4"/>
      <c r="AK959" s="4"/>
      <c r="AL959" s="4"/>
    </row>
    <row r="960" spans="1:38" x14ac:dyDescent="0.2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  <c r="AG960" s="4"/>
      <c r="AH960" s="4"/>
      <c r="AI960" s="4"/>
      <c r="AJ960" s="4"/>
      <c r="AK960" s="4"/>
      <c r="AL960" s="4"/>
    </row>
    <row r="961" spans="1:38" x14ac:dyDescent="0.2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  <c r="AG961" s="4"/>
      <c r="AH961" s="4"/>
      <c r="AI961" s="4"/>
      <c r="AJ961" s="4"/>
      <c r="AK961" s="4"/>
      <c r="AL961" s="4"/>
    </row>
    <row r="962" spans="1:38" x14ac:dyDescent="0.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  <c r="AG962" s="4"/>
      <c r="AH962" s="4"/>
      <c r="AI962" s="4"/>
      <c r="AJ962" s="4"/>
      <c r="AK962" s="4"/>
      <c r="AL962" s="4"/>
    </row>
    <row r="963" spans="1:38" x14ac:dyDescent="0.2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  <c r="AG963" s="4"/>
      <c r="AH963" s="4"/>
      <c r="AI963" s="4"/>
      <c r="AJ963" s="4"/>
      <c r="AK963" s="4"/>
      <c r="AL963" s="4"/>
    </row>
    <row r="964" spans="1:38" x14ac:dyDescent="0.2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  <c r="AG964" s="4"/>
      <c r="AH964" s="4"/>
      <c r="AI964" s="4"/>
      <c r="AJ964" s="4"/>
      <c r="AK964" s="4"/>
      <c r="AL964" s="4"/>
    </row>
    <row r="965" spans="1:38" x14ac:dyDescent="0.2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  <c r="AG965" s="4"/>
      <c r="AH965" s="4"/>
      <c r="AI965" s="4"/>
      <c r="AJ965" s="4"/>
      <c r="AK965" s="4"/>
      <c r="AL965" s="4"/>
    </row>
    <row r="966" spans="1:38" x14ac:dyDescent="0.2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  <c r="AG966" s="4"/>
      <c r="AH966" s="4"/>
      <c r="AI966" s="4"/>
      <c r="AJ966" s="4"/>
      <c r="AK966" s="4"/>
      <c r="AL966" s="4"/>
    </row>
    <row r="967" spans="1:38" x14ac:dyDescent="0.2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  <c r="AG967" s="4"/>
      <c r="AH967" s="4"/>
      <c r="AI967" s="4"/>
      <c r="AJ967" s="4"/>
      <c r="AK967" s="4"/>
      <c r="AL967" s="4"/>
    </row>
    <row r="968" spans="1:38" x14ac:dyDescent="0.2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  <c r="AG968" s="4"/>
      <c r="AH968" s="4"/>
      <c r="AI968" s="4"/>
      <c r="AJ968" s="4"/>
      <c r="AK968" s="4"/>
      <c r="AL968" s="4"/>
    </row>
    <row r="969" spans="1:38" x14ac:dyDescent="0.2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  <c r="AG969" s="4"/>
      <c r="AH969" s="4"/>
      <c r="AI969" s="4"/>
      <c r="AJ969" s="4"/>
      <c r="AK969" s="4"/>
      <c r="AL969" s="4"/>
    </row>
    <row r="970" spans="1:38" x14ac:dyDescent="0.2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  <c r="AG970" s="4"/>
      <c r="AH970" s="4"/>
      <c r="AI970" s="4"/>
      <c r="AJ970" s="4"/>
      <c r="AK970" s="4"/>
      <c r="AL970" s="4"/>
    </row>
    <row r="971" spans="1:38" x14ac:dyDescent="0.2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  <c r="AG971" s="4"/>
      <c r="AH971" s="4"/>
      <c r="AI971" s="4"/>
      <c r="AJ971" s="4"/>
      <c r="AK971" s="4"/>
      <c r="AL971" s="4"/>
    </row>
    <row r="972" spans="1:38" x14ac:dyDescent="0.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  <c r="AG972" s="4"/>
      <c r="AH972" s="4"/>
      <c r="AI972" s="4"/>
      <c r="AJ972" s="4"/>
      <c r="AK972" s="4"/>
      <c r="AL972" s="4"/>
    </row>
    <row r="973" spans="1:38" x14ac:dyDescent="0.2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  <c r="AH973" s="4"/>
      <c r="AI973" s="4"/>
      <c r="AJ973" s="4"/>
      <c r="AK973" s="4"/>
      <c r="AL973" s="4"/>
    </row>
    <row r="974" spans="1:38" x14ac:dyDescent="0.2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  <c r="AG974" s="4"/>
      <c r="AH974" s="4"/>
      <c r="AI974" s="4"/>
      <c r="AJ974" s="4"/>
      <c r="AK974" s="4"/>
      <c r="AL974" s="4"/>
    </row>
    <row r="975" spans="1:38" x14ac:dyDescent="0.2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  <c r="AG975" s="4"/>
      <c r="AH975" s="4"/>
      <c r="AI975" s="4"/>
      <c r="AJ975" s="4"/>
      <c r="AK975" s="4"/>
      <c r="AL975" s="4"/>
    </row>
    <row r="976" spans="1:38" x14ac:dyDescent="0.2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  <c r="AG976" s="4"/>
      <c r="AH976" s="4"/>
      <c r="AI976" s="4"/>
      <c r="AJ976" s="4"/>
      <c r="AK976" s="4"/>
      <c r="AL976" s="4"/>
    </row>
    <row r="977" spans="1:38" x14ac:dyDescent="0.2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  <c r="AG977" s="4"/>
      <c r="AH977" s="4"/>
      <c r="AI977" s="4"/>
      <c r="AJ977" s="4"/>
      <c r="AK977" s="4"/>
      <c r="AL977" s="4"/>
    </row>
    <row r="978" spans="1:38" x14ac:dyDescent="0.2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  <c r="AG978" s="4"/>
      <c r="AH978" s="4"/>
      <c r="AI978" s="4"/>
      <c r="AJ978" s="4"/>
      <c r="AK978" s="4"/>
      <c r="AL978" s="4"/>
    </row>
    <row r="979" spans="1:38" x14ac:dyDescent="0.2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  <c r="AG979" s="4"/>
      <c r="AH979" s="4"/>
      <c r="AI979" s="4"/>
      <c r="AJ979" s="4"/>
      <c r="AK979" s="4"/>
      <c r="AL979" s="4"/>
    </row>
    <row r="980" spans="1:38" x14ac:dyDescent="0.2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  <c r="AG980" s="4"/>
      <c r="AH980" s="4"/>
      <c r="AI980" s="4"/>
      <c r="AJ980" s="4"/>
      <c r="AK980" s="4"/>
      <c r="AL980" s="4"/>
    </row>
    <row r="981" spans="1:38" x14ac:dyDescent="0.2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  <c r="AG981" s="4"/>
      <c r="AH981" s="4"/>
      <c r="AI981" s="4"/>
      <c r="AJ981" s="4"/>
      <c r="AK981" s="4"/>
      <c r="AL981" s="4"/>
    </row>
    <row r="982" spans="1:38" x14ac:dyDescent="0.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  <c r="AG982" s="4"/>
      <c r="AH982" s="4"/>
      <c r="AI982" s="4"/>
      <c r="AJ982" s="4"/>
      <c r="AK982" s="4"/>
      <c r="AL982" s="4"/>
    </row>
    <row r="983" spans="1:38" x14ac:dyDescent="0.2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  <c r="AG983" s="4"/>
      <c r="AH983" s="4"/>
      <c r="AI983" s="4"/>
      <c r="AJ983" s="4"/>
      <c r="AK983" s="4"/>
      <c r="AL983" s="4"/>
    </row>
    <row r="984" spans="1:38" x14ac:dyDescent="0.2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  <c r="AG984" s="4"/>
      <c r="AH984" s="4"/>
      <c r="AI984" s="4"/>
      <c r="AJ984" s="4"/>
      <c r="AK984" s="4"/>
      <c r="AL984" s="4"/>
    </row>
    <row r="985" spans="1:38" x14ac:dyDescent="0.2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  <c r="AG985" s="4"/>
      <c r="AH985" s="4"/>
      <c r="AI985" s="4"/>
      <c r="AJ985" s="4"/>
      <c r="AK985" s="4"/>
      <c r="AL985" s="4"/>
    </row>
    <row r="986" spans="1:38" x14ac:dyDescent="0.2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  <c r="AG986" s="4"/>
      <c r="AH986" s="4"/>
      <c r="AI986" s="4"/>
      <c r="AJ986" s="4"/>
      <c r="AK986" s="4"/>
      <c r="AL986" s="4"/>
    </row>
    <row r="987" spans="1:38" x14ac:dyDescent="0.2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  <c r="AG987" s="4"/>
      <c r="AH987" s="4"/>
      <c r="AI987" s="4"/>
      <c r="AJ987" s="4"/>
      <c r="AK987" s="4"/>
      <c r="AL987" s="4"/>
    </row>
    <row r="988" spans="1:38" x14ac:dyDescent="0.2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  <c r="AG988" s="4"/>
      <c r="AH988" s="4"/>
      <c r="AI988" s="4"/>
      <c r="AJ988" s="4"/>
      <c r="AK988" s="4"/>
      <c r="AL988" s="4"/>
    </row>
    <row r="989" spans="1:38" x14ac:dyDescent="0.2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  <c r="AG989" s="4"/>
      <c r="AH989" s="4"/>
      <c r="AI989" s="4"/>
      <c r="AJ989" s="4"/>
      <c r="AK989" s="4"/>
      <c r="AL989" s="4"/>
    </row>
    <row r="990" spans="1:38" x14ac:dyDescent="0.2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  <c r="AG990" s="4"/>
      <c r="AH990" s="4"/>
      <c r="AI990" s="4"/>
      <c r="AJ990" s="4"/>
      <c r="AK990" s="4"/>
      <c r="AL990" s="4"/>
    </row>
    <row r="991" spans="1:38" x14ac:dyDescent="0.2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  <c r="AG991" s="4"/>
      <c r="AH991" s="4"/>
      <c r="AI991" s="4"/>
      <c r="AJ991" s="4"/>
      <c r="AK991" s="4"/>
      <c r="AL991" s="4"/>
    </row>
    <row r="992" spans="1:38" x14ac:dyDescent="0.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  <c r="AG992" s="4"/>
      <c r="AH992" s="4"/>
      <c r="AI992" s="4"/>
      <c r="AJ992" s="4"/>
      <c r="AK992" s="4"/>
      <c r="AL992" s="4"/>
    </row>
    <row r="993" spans="1:38" x14ac:dyDescent="0.2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  <c r="AG993" s="4"/>
      <c r="AH993" s="4"/>
      <c r="AI993" s="4"/>
      <c r="AJ993" s="4"/>
      <c r="AK993" s="4"/>
      <c r="AL993" s="4"/>
    </row>
    <row r="994" spans="1:38" x14ac:dyDescent="0.2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4"/>
      <c r="AG994" s="4"/>
      <c r="AH994" s="4"/>
      <c r="AI994" s="4"/>
      <c r="AJ994" s="4"/>
      <c r="AK994" s="4"/>
      <c r="AL994" s="4"/>
    </row>
    <row r="995" spans="1:38" x14ac:dyDescent="0.2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4"/>
      <c r="AG995" s="4"/>
      <c r="AH995" s="4"/>
      <c r="AI995" s="4"/>
      <c r="AJ995" s="4"/>
      <c r="AK995" s="4"/>
      <c r="AL995" s="4"/>
    </row>
    <row r="996" spans="1:38" x14ac:dyDescent="0.2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  <c r="AF996" s="4"/>
      <c r="AG996" s="4"/>
      <c r="AH996" s="4"/>
      <c r="AI996" s="4"/>
      <c r="AJ996" s="4"/>
      <c r="AK996" s="4"/>
      <c r="AL996" s="4"/>
    </row>
    <row r="997" spans="1:38" x14ac:dyDescent="0.2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  <c r="AF997" s="4"/>
      <c r="AG997" s="4"/>
      <c r="AH997" s="4"/>
      <c r="AI997" s="4"/>
      <c r="AJ997" s="4"/>
      <c r="AK997" s="4"/>
      <c r="AL997" s="4"/>
    </row>
    <row r="998" spans="1:38" x14ac:dyDescent="0.2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  <c r="AF998" s="4"/>
      <c r="AG998" s="4"/>
      <c r="AH998" s="4"/>
      <c r="AI998" s="4"/>
      <c r="AJ998" s="4"/>
      <c r="AK998" s="4"/>
      <c r="AL998" s="4"/>
    </row>
    <row r="999" spans="1:38" x14ac:dyDescent="0.2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  <c r="AE999" s="4"/>
      <c r="AF999" s="4"/>
      <c r="AG999" s="4"/>
      <c r="AH999" s="4"/>
      <c r="AI999" s="4"/>
      <c r="AJ999" s="4"/>
      <c r="AK999" s="4"/>
      <c r="AL999" s="4"/>
    </row>
    <row r="1000" spans="1:38" x14ac:dyDescent="0.2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  <c r="AE1000" s="4"/>
      <c r="AF1000" s="4"/>
      <c r="AG1000" s="4"/>
      <c r="AH1000" s="4"/>
      <c r="AI1000" s="4"/>
      <c r="AJ1000" s="4"/>
      <c r="AK1000" s="4"/>
      <c r="AL1000" s="4"/>
    </row>
    <row r="1001" spans="1:38" x14ac:dyDescent="0.2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  <c r="AB1001" s="4"/>
      <c r="AC1001" s="4"/>
      <c r="AD1001" s="4"/>
      <c r="AE1001" s="4"/>
      <c r="AF1001" s="4"/>
      <c r="AG1001" s="4"/>
      <c r="AH1001" s="4"/>
      <c r="AI1001" s="4"/>
      <c r="AJ1001" s="4"/>
      <c r="AK1001" s="4"/>
      <c r="AL1001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AB1000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2.6640625" defaultRowHeight="15" customHeight="1" x14ac:dyDescent="0.15"/>
  <cols>
    <col min="1" max="1" width="57" customWidth="1"/>
    <col min="2" max="2" width="62.1640625" customWidth="1"/>
    <col min="3" max="10" width="15.1640625" customWidth="1"/>
  </cols>
  <sheetData>
    <row r="1" spans="1:28" x14ac:dyDescent="0.2">
      <c r="A1" s="7" t="s">
        <v>8</v>
      </c>
      <c r="B1" s="8" t="s">
        <v>9</v>
      </c>
      <c r="C1" s="8" t="s">
        <v>10</v>
      </c>
      <c r="D1" s="8" t="s">
        <v>11</v>
      </c>
      <c r="E1" s="8" t="s">
        <v>12</v>
      </c>
      <c r="F1" s="8" t="s">
        <v>13</v>
      </c>
      <c r="G1" s="8" t="s">
        <v>14</v>
      </c>
      <c r="H1" s="8" t="s">
        <v>15</v>
      </c>
      <c r="I1" s="8" t="s">
        <v>16</v>
      </c>
      <c r="J1" s="8" t="s">
        <v>17</v>
      </c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</row>
    <row r="2" spans="1:28" x14ac:dyDescent="0.2">
      <c r="A2" s="9" t="str">
        <f ca="1">IFERROR(__xludf.DUMMYFUNCTION("index(importhtml(""https://www.readyratios.com/sec/ratio/roe/"",""table"",1),0,1)"),"Industry title")</f>
        <v>Industry title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</row>
    <row r="3" spans="1:28" x14ac:dyDescent="0.2">
      <c r="A3" s="9"/>
      <c r="B3" s="10"/>
      <c r="C3" s="10" t="str">
        <f ca="1">IFERROR(__xludf.DUMMYFUNCTION("index(importhtml(""https://www.readyratios.com/sec/ratio/roa/"",""table"",1),0,2)"),"Year")</f>
        <v>Year</v>
      </c>
      <c r="D3" s="10" t="str">
        <f ca="1">IFERROR(__xludf.DUMMYFUNCTION("index(importhtml(""https://www.readyratios.com/sec/ratio/roe/"",""table"",1),0,2)"),"Year")</f>
        <v>Year</v>
      </c>
      <c r="E3" s="10" t="str">
        <f ca="1">IFERROR(__xludf.DUMMYFUNCTION("index(importhtml(""https://www.readyratios.com/sec/ratio/quick-ratio/"",""table"",1),0,2)"),"Year")</f>
        <v>Year</v>
      </c>
      <c r="F3" s="10" t="str">
        <f ca="1">IFERROR(__xludf.DUMMYFUNCTION("index(importhtml(""https://www.readyratios.com/sec/ratio/current-ratio/"",""table"",1),0,2)"),"Year")</f>
        <v>Year</v>
      </c>
      <c r="G3" s="10" t="str">
        <f ca="1">IFERROR(__xludf.DUMMYFUNCTION("index(importhtml(""https://www.readyratios.com/sec/ratio/gross-margin/"",""table"",1),0,2)"),"Year")</f>
        <v>Year</v>
      </c>
      <c r="H3" s="10" t="str">
        <f ca="1">IFERROR(__xludf.DUMMYFUNCTION("index(importhtml(""https://www.readyratios.com/sec/ratio/ros/"",""table"",1),0,2)"),"Year")</f>
        <v>Year</v>
      </c>
      <c r="I3" s="10" t="str">
        <f ca="1">IFERROR(__xludf.DUMMYFUNCTION("index(importhtml(""https://www.readyratios.com/sec/ratio/profit-margin/"",""table"",1),0,2)"),"Year")</f>
        <v>Year</v>
      </c>
      <c r="J3" s="10" t="str">
        <f ca="1">IFERROR(__xludf.DUMMYFUNCTION("index(importhtml(""https://www.readyratios.com/sec/ratio/financial-leverage/"",""table"",1),0,2)"),"Year")</f>
        <v>Year</v>
      </c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</row>
    <row r="4" spans="1:28" ht="13.5" customHeight="1" x14ac:dyDescent="0.2">
      <c r="A4" s="11" t="str">
        <f ca="1">IFERROR(__xludf.DUMMYFUNCTION("""COMPUTED_VALUE"""),"01 - Agricultural Production Crops (27)")</f>
        <v>01 - Agricultural Production Crops (27)</v>
      </c>
      <c r="B4" s="12"/>
      <c r="C4" s="12">
        <f ca="1">IFERROR(__xludf.DUMMYFUNCTION("""COMPUTED_VALUE"""),2020)</f>
        <v>2020</v>
      </c>
      <c r="D4" s="12">
        <f ca="1">IFERROR(__xludf.DUMMYFUNCTION("""COMPUTED_VALUE"""),2020)</f>
        <v>2020</v>
      </c>
      <c r="E4" s="12">
        <f ca="1">IFERROR(__xludf.DUMMYFUNCTION("""COMPUTED_VALUE"""),2020)</f>
        <v>2020</v>
      </c>
      <c r="F4" s="12">
        <f ca="1">IFERROR(__xludf.DUMMYFUNCTION("""COMPUTED_VALUE"""),2020)</f>
        <v>2020</v>
      </c>
      <c r="G4" s="12">
        <f ca="1">IFERROR(__xludf.DUMMYFUNCTION("""COMPUTED_VALUE"""),2020)</f>
        <v>2020</v>
      </c>
      <c r="H4" s="12">
        <f ca="1">IFERROR(__xludf.DUMMYFUNCTION("""COMPUTED_VALUE"""),2020)</f>
        <v>2020</v>
      </c>
      <c r="I4" s="12">
        <f ca="1">IFERROR(__xludf.DUMMYFUNCTION("""COMPUTED_VALUE"""),2020)</f>
        <v>2020</v>
      </c>
      <c r="J4" s="12">
        <f ca="1">IFERROR(__xludf.DUMMYFUNCTION("""COMPUTED_VALUE"""),2020)</f>
        <v>2020</v>
      </c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</row>
    <row r="5" spans="1:28" x14ac:dyDescent="0.2">
      <c r="A5" s="9" t="str">
        <f ca="1">IFERROR(__xludf.DUMMYFUNCTION("""COMPUTED_VALUE"""),"02 - Agriculture production livestock and animal specialties (6)")</f>
        <v>02 - Agriculture production livestock and animal specialties (6)</v>
      </c>
      <c r="B5" s="13" t="s">
        <v>18</v>
      </c>
      <c r="C5" s="14">
        <f ca="1">IFERROR(__xludf.DUMMYFUNCTION("""COMPUTED_VALUE"""),-0.035)</f>
        <v>-3.5000000000000003E-2</v>
      </c>
      <c r="D5" s="14">
        <f ca="1">IFERROR(__xludf.DUMMYFUNCTION("""COMPUTED_VALUE"""),-0.07)</f>
        <v>-7.0000000000000007E-2</v>
      </c>
      <c r="E5" s="14">
        <f ca="1">IFERROR(__xludf.DUMMYFUNCTION("""COMPUTED_VALUE"""),0.74)</f>
        <v>0.74</v>
      </c>
      <c r="F5" s="14">
        <f ca="1">IFERROR(__xludf.DUMMYFUNCTION("""COMPUTED_VALUE"""),1.43)</f>
        <v>1.43</v>
      </c>
      <c r="G5" s="14">
        <f ca="1">IFERROR(__xludf.DUMMYFUNCTION("""COMPUTED_VALUE"""),0.103)</f>
        <v>0.10299999999999999</v>
      </c>
      <c r="H5" s="14">
        <f ca="1">IFERROR(__xludf.DUMMYFUNCTION("""COMPUTED_VALUE"""),0.017)</f>
        <v>1.7000000000000001E-2</v>
      </c>
      <c r="I5" s="14">
        <f ca="1">IFERROR(__xludf.DUMMYFUNCTION("""COMPUTED_VALUE"""),-0.038)</f>
        <v>-3.7999999999999999E-2</v>
      </c>
      <c r="J5" s="14">
        <f ca="1">IFERROR(__xludf.DUMMYFUNCTION("""COMPUTED_VALUE"""),0.7)</f>
        <v>0.7</v>
      </c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</row>
    <row r="6" spans="1:28" x14ac:dyDescent="0.2">
      <c r="A6" s="9" t="str">
        <f ca="1">IFERROR(__xludf.DUMMYFUNCTION("""COMPUTED_VALUE"""),"07 - Agricultural Services (18)")</f>
        <v>07 - Agricultural Services (18)</v>
      </c>
      <c r="B6" s="15" t="str">
        <f t="shared" ref="B6:B77" ca="1" si="0">TRIM(LEFT(A5,(FIND("(",A5,1)-1)))</f>
        <v>02 - Agriculture production livestock and animal specialties</v>
      </c>
      <c r="C6" s="9">
        <f ca="1">IFERROR(__xludf.DUMMYFUNCTION("""COMPUTED_VALUE"""),0.058)</f>
        <v>5.8000000000000003E-2</v>
      </c>
      <c r="D6" s="9">
        <f ca="1">IFERROR(__xludf.DUMMYFUNCTION("""COMPUTED_VALUE"""),0.069)</f>
        <v>6.9000000000000006E-2</v>
      </c>
      <c r="E6" s="9">
        <f ca="1">IFERROR(__xludf.DUMMYFUNCTION("""COMPUTED_VALUE"""),1.75)</f>
        <v>1.75</v>
      </c>
      <c r="F6" s="9">
        <f ca="1">IFERROR(__xludf.DUMMYFUNCTION("""COMPUTED_VALUE"""),5.25)</f>
        <v>5.25</v>
      </c>
      <c r="G6" s="9">
        <f ca="1">IFERROR(__xludf.DUMMYFUNCTION("""COMPUTED_VALUE"""),0.204)</f>
        <v>0.20399999999999999</v>
      </c>
      <c r="H6" s="9">
        <f ca="1">IFERROR(__xludf.DUMMYFUNCTION("""COMPUTED_VALUE"""),0.06)</f>
        <v>0.06</v>
      </c>
      <c r="I6" s="9">
        <f ca="1">IFERROR(__xludf.DUMMYFUNCTION("""COMPUTED_VALUE"""),0.337)</f>
        <v>0.33700000000000002</v>
      </c>
      <c r="J6" s="9">
        <f ca="1">IFERROR(__xludf.DUMMYFUNCTION("""COMPUTED_VALUE"""),0.04)</f>
        <v>0.04</v>
      </c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</row>
    <row r="7" spans="1:28" x14ac:dyDescent="0.2">
      <c r="A7" s="9" t="str">
        <f ca="1">IFERROR(__xludf.DUMMYFUNCTION("""COMPUTED_VALUE"""),"09 - Fishing, hunting, and trapping (7)")</f>
        <v>09 - Fishing, hunting, and trapping (7)</v>
      </c>
      <c r="B7" s="15" t="str">
        <f t="shared" ca="1" si="0"/>
        <v>07 - Agricultural Services</v>
      </c>
      <c r="C7" s="9">
        <f ca="1">IFERROR(__xludf.DUMMYFUNCTION("""COMPUTED_VALUE"""),-0.014)</f>
        <v>-1.4E-2</v>
      </c>
      <c r="D7" s="9">
        <f ca="1">IFERROR(__xludf.DUMMYFUNCTION("""COMPUTED_VALUE"""),-0.17)</f>
        <v>-0.17</v>
      </c>
      <c r="E7" s="9">
        <f ca="1">IFERROR(__xludf.DUMMYFUNCTION("""COMPUTED_VALUE"""),1.07)</f>
        <v>1.07</v>
      </c>
      <c r="F7" s="9">
        <f ca="1">IFERROR(__xludf.DUMMYFUNCTION("""COMPUTED_VALUE"""),1.39)</f>
        <v>1.39</v>
      </c>
      <c r="G7" s="9">
        <f ca="1">IFERROR(__xludf.DUMMYFUNCTION("""COMPUTED_VALUE"""),0.217)</f>
        <v>0.217</v>
      </c>
      <c r="H7" s="9">
        <f ca="1">IFERROR(__xludf.DUMMYFUNCTION("""COMPUTED_VALUE"""),0.005)</f>
        <v>5.0000000000000001E-3</v>
      </c>
      <c r="I7" s="9">
        <f ca="1">IFERROR(__xludf.DUMMYFUNCTION("""COMPUTED_VALUE"""),0.02)</f>
        <v>0.02</v>
      </c>
      <c r="J7" s="9">
        <f ca="1">IFERROR(__xludf.DUMMYFUNCTION("""COMPUTED_VALUE"""),0.36)</f>
        <v>0.36</v>
      </c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</row>
    <row r="8" spans="1:28" x14ac:dyDescent="0.2">
      <c r="A8" s="9" t="str">
        <f ca="1">IFERROR(__xludf.DUMMYFUNCTION("""COMPUTED_VALUE"""),"10 - Metal Mining (272)")</f>
        <v>10 - Metal Mining (272)</v>
      </c>
      <c r="B8" s="15" t="str">
        <f t="shared" ca="1" si="0"/>
        <v>09 - Fishing, hunting, and trapping</v>
      </c>
      <c r="C8" s="9">
        <f ca="1">IFERROR(__xludf.DUMMYFUNCTION("""COMPUTED_VALUE"""),-0.318)</f>
        <v>-0.318</v>
      </c>
      <c r="D8" s="9">
        <f ca="1">IFERROR(__xludf.DUMMYFUNCTION("""COMPUTED_VALUE"""),-1.075)</f>
        <v>-1.075</v>
      </c>
      <c r="E8" s="9">
        <f ca="1">IFERROR(__xludf.DUMMYFUNCTION("""COMPUTED_VALUE"""),46)</f>
        <v>46</v>
      </c>
      <c r="F8" s="9">
        <f ca="1">IFERROR(__xludf.DUMMYFUNCTION("""COMPUTED_VALUE"""),23.59)</f>
        <v>23.59</v>
      </c>
      <c r="G8" s="9">
        <f ca="1">IFERROR(__xludf.DUMMYFUNCTION("""COMPUTED_VALUE"""),0.087)</f>
        <v>8.6999999999999994E-2</v>
      </c>
      <c r="H8" s="9">
        <f ca="1">IFERROR(__xludf.DUMMYFUNCTION("""COMPUTED_VALUE"""),-127.27)</f>
        <v>-127.27</v>
      </c>
      <c r="I8" s="9">
        <f ca="1">IFERROR(__xludf.DUMMYFUNCTION("""COMPUTED_VALUE"""),-128.463)</f>
        <v>-128.46299999999999</v>
      </c>
      <c r="J8" s="9">
        <f ca="1">IFERROR(__xludf.DUMMYFUNCTION("""COMPUTED_VALUE"""),0.91)</f>
        <v>0.91</v>
      </c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</row>
    <row r="9" spans="1:28" x14ac:dyDescent="0.2">
      <c r="A9" s="9" t="str">
        <f ca="1">IFERROR(__xludf.DUMMYFUNCTION("""COMPUTED_VALUE"""),"12 - Coal Mining (28)")</f>
        <v>12 - Coal Mining (28)</v>
      </c>
      <c r="B9" s="15" t="str">
        <f t="shared" ca="1" si="0"/>
        <v>10 - Metal Mining</v>
      </c>
      <c r="C9" s="9">
        <f ca="1">IFERROR(__xludf.DUMMYFUNCTION("""COMPUTED_VALUE"""),-0.35)</f>
        <v>-0.35</v>
      </c>
      <c r="D9" s="9">
        <f ca="1">IFERROR(__xludf.DUMMYFUNCTION("""COMPUTED_VALUE"""),-1.031)</f>
        <v>-1.0309999999999999</v>
      </c>
      <c r="E9" s="9">
        <f ca="1">IFERROR(__xludf.DUMMYFUNCTION("""COMPUTED_VALUE"""),1.7)</f>
        <v>1.7</v>
      </c>
      <c r="F9" s="9">
        <f ca="1">IFERROR(__xludf.DUMMYFUNCTION("""COMPUTED_VALUE"""),1.55)</f>
        <v>1.55</v>
      </c>
      <c r="G9" s="9">
        <f ca="1">IFERROR(__xludf.DUMMYFUNCTION("""COMPUTED_VALUE"""),0.091)</f>
        <v>9.0999999999999998E-2</v>
      </c>
      <c r="H9" s="9">
        <f ca="1">IFERROR(__xludf.DUMMYFUNCTION("""COMPUTED_VALUE"""),-0.825)</f>
        <v>-0.82499999999999996</v>
      </c>
      <c r="I9" s="9">
        <f ca="1">IFERROR(__xludf.DUMMYFUNCTION("""COMPUTED_VALUE"""),-1.454)</f>
        <v>-1.454</v>
      </c>
      <c r="J9" s="9">
        <f ca="1">IFERROR(__xludf.DUMMYFUNCTION("""COMPUTED_VALUE"""),0.08)</f>
        <v>0.08</v>
      </c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</row>
    <row r="10" spans="1:28" x14ac:dyDescent="0.2">
      <c r="A10" s="9" t="str">
        <f ca="1">IFERROR(__xludf.DUMMYFUNCTION("""COMPUTED_VALUE"""),"13 - Oil And Gas Extraction (492)")</f>
        <v>13 - Oil And Gas Extraction (492)</v>
      </c>
      <c r="B10" s="15" t="str">
        <f t="shared" ca="1" si="0"/>
        <v>12 - Coal Mining</v>
      </c>
      <c r="C10" s="9">
        <f ca="1">IFERROR(__xludf.DUMMYFUNCTION("""COMPUTED_VALUE"""),-0.069)</f>
        <v>-6.9000000000000006E-2</v>
      </c>
      <c r="D10" s="9">
        <f ca="1">IFERROR(__xludf.DUMMYFUNCTION("""COMPUTED_VALUE"""),-0.19)</f>
        <v>-0.19</v>
      </c>
      <c r="E10" s="9">
        <f ca="1">IFERROR(__xludf.DUMMYFUNCTION("""COMPUTED_VALUE"""),1)</f>
        <v>1</v>
      </c>
      <c r="F10" s="9">
        <f ca="1">IFERROR(__xludf.DUMMYFUNCTION("""COMPUTED_VALUE"""),1.63)</f>
        <v>1.63</v>
      </c>
      <c r="G10" s="9">
        <f ca="1">IFERROR(__xludf.DUMMYFUNCTION("""COMPUTED_VALUE"""),0.13)</f>
        <v>0.13</v>
      </c>
      <c r="H10" s="9">
        <f ca="1">IFERROR(__xludf.DUMMYFUNCTION("""COMPUTED_VALUE"""),-0.094)</f>
        <v>-9.4E-2</v>
      </c>
      <c r="I10" s="9">
        <f ca="1">IFERROR(__xludf.DUMMYFUNCTION("""COMPUTED_VALUE"""),-0.126)</f>
        <v>-0.126</v>
      </c>
      <c r="J10" s="9">
        <f ca="1">IFERROR(__xludf.DUMMYFUNCTION("""COMPUTED_VALUE"""),2.17)</f>
        <v>2.17</v>
      </c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</row>
    <row r="11" spans="1:28" x14ac:dyDescent="0.2">
      <c r="A11" s="9" t="str">
        <f ca="1">IFERROR(__xludf.DUMMYFUNCTION("""COMPUTED_VALUE"""),"14 - Mining And Quarrying Of Nonmetallic Minerals, Except Fuels (41)")</f>
        <v>14 - Mining And Quarrying Of Nonmetallic Minerals, Except Fuels (41)</v>
      </c>
      <c r="B11" s="15" t="str">
        <f t="shared" ca="1" si="0"/>
        <v>13 - Oil And Gas Extraction</v>
      </c>
      <c r="C11" s="9">
        <f ca="1">IFERROR(__xludf.DUMMYFUNCTION("""COMPUTED_VALUE"""),-0.153)</f>
        <v>-0.153</v>
      </c>
      <c r="D11" s="9">
        <f ca="1">IFERROR(__xludf.DUMMYFUNCTION("""COMPUTED_VALUE"""),-0.393)</f>
        <v>-0.39300000000000002</v>
      </c>
      <c r="E11" s="9">
        <f ca="1">IFERROR(__xludf.DUMMYFUNCTION("""COMPUTED_VALUE"""),0.88)</f>
        <v>0.88</v>
      </c>
      <c r="F11" s="9">
        <f ca="1">IFERROR(__xludf.DUMMYFUNCTION("""COMPUTED_VALUE"""),1.08)</f>
        <v>1.08</v>
      </c>
      <c r="G11" s="9">
        <f ca="1">IFERROR(__xludf.DUMMYFUNCTION("""COMPUTED_VALUE"""),0.246)</f>
        <v>0.246</v>
      </c>
      <c r="H11" s="9">
        <f ca="1">IFERROR(__xludf.DUMMYFUNCTION("""COMPUTED_VALUE"""),-0.477)</f>
        <v>-0.47699999999999998</v>
      </c>
      <c r="I11" s="9">
        <f ca="1">IFERROR(__xludf.DUMMYFUNCTION("""COMPUTED_VALUE"""),-0.502)</f>
        <v>-0.502</v>
      </c>
      <c r="J11" s="9">
        <f ca="1">IFERROR(__xludf.DUMMYFUNCTION("""COMPUTED_VALUE"""),0.44)</f>
        <v>0.44</v>
      </c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</row>
    <row r="12" spans="1:28" x14ac:dyDescent="0.2">
      <c r="A12" s="9" t="str">
        <f ca="1">IFERROR(__xludf.DUMMYFUNCTION("""COMPUTED_VALUE"""),"15 - Building Construction General Contractors And Operative Builders (48)")</f>
        <v>15 - Building Construction General Contractors And Operative Builders (48)</v>
      </c>
      <c r="B12" s="15" t="str">
        <f t="shared" ca="1" si="0"/>
        <v>14 - Mining And Quarrying Of Nonmetallic Minerals, Except Fuels</v>
      </c>
      <c r="C12" s="9">
        <f ca="1">IFERROR(__xludf.DUMMYFUNCTION("""COMPUTED_VALUE"""),0.025)</f>
        <v>2.5000000000000001E-2</v>
      </c>
      <c r="D12" s="9">
        <f ca="1">IFERROR(__xludf.DUMMYFUNCTION("""COMPUTED_VALUE"""),0.039)</f>
        <v>3.9E-2</v>
      </c>
      <c r="E12" s="9">
        <f ca="1">IFERROR(__xludf.DUMMYFUNCTION("""COMPUTED_VALUE"""),1.59)</f>
        <v>1.59</v>
      </c>
      <c r="F12" s="9">
        <f ca="1">IFERROR(__xludf.DUMMYFUNCTION("""COMPUTED_VALUE"""),2.33)</f>
        <v>2.33</v>
      </c>
      <c r="G12" s="9">
        <f ca="1">IFERROR(__xludf.DUMMYFUNCTION("""COMPUTED_VALUE"""),0.244)</f>
        <v>0.24399999999999999</v>
      </c>
      <c r="H12" s="9">
        <f ca="1">IFERROR(__xludf.DUMMYFUNCTION("""COMPUTED_VALUE"""),0.103)</f>
        <v>0.10299999999999999</v>
      </c>
      <c r="I12" s="9">
        <f ca="1">IFERROR(__xludf.DUMMYFUNCTION("""COMPUTED_VALUE"""),0.052)</f>
        <v>5.1999999999999998E-2</v>
      </c>
      <c r="J12" s="9">
        <f ca="1">IFERROR(__xludf.DUMMYFUNCTION("""COMPUTED_VALUE"""),0.6)</f>
        <v>0.6</v>
      </c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</row>
    <row r="13" spans="1:28" x14ac:dyDescent="0.2">
      <c r="A13" s="9" t="str">
        <f ca="1">IFERROR(__xludf.DUMMYFUNCTION("""COMPUTED_VALUE"""),"16 - Heavy Construction Other Than Building Construction Contractors (20)")</f>
        <v>16 - Heavy Construction Other Than Building Construction Contractors (20)</v>
      </c>
      <c r="B13" s="15" t="str">
        <f t="shared" ca="1" si="0"/>
        <v>15 - Building Construction General Contractors And Operative Builders</v>
      </c>
      <c r="C13" s="9">
        <f ca="1">IFERROR(__xludf.DUMMYFUNCTION("""COMPUTED_VALUE"""),0.074)</f>
        <v>7.3999999999999996E-2</v>
      </c>
      <c r="D13" s="9">
        <f ca="1">IFERROR(__xludf.DUMMYFUNCTION("""COMPUTED_VALUE"""),0.136)</f>
        <v>0.13600000000000001</v>
      </c>
      <c r="E13" s="9">
        <f ca="1">IFERROR(__xludf.DUMMYFUNCTION("""COMPUTED_VALUE"""),0.8)</f>
        <v>0.8</v>
      </c>
      <c r="F13" s="9">
        <f ca="1">IFERROR(__xludf.DUMMYFUNCTION("""COMPUTED_VALUE"""),2.64)</f>
        <v>2.64</v>
      </c>
      <c r="G13" s="9">
        <f ca="1">IFERROR(__xludf.DUMMYFUNCTION("""COMPUTED_VALUE"""),0.121)</f>
        <v>0.121</v>
      </c>
      <c r="H13" s="9">
        <f ca="1">IFERROR(__xludf.DUMMYFUNCTION("""COMPUTED_VALUE"""),0.094)</f>
        <v>9.4E-2</v>
      </c>
      <c r="I13" s="9">
        <f ca="1">IFERROR(__xludf.DUMMYFUNCTION("""COMPUTED_VALUE"""),0.067)</f>
        <v>6.7000000000000004E-2</v>
      </c>
      <c r="J13" s="9">
        <f ca="1">IFERROR(__xludf.DUMMYFUNCTION("""COMPUTED_VALUE"""),0.86)</f>
        <v>0.86</v>
      </c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</row>
    <row r="14" spans="1:28" x14ac:dyDescent="0.2">
      <c r="A14" s="9" t="str">
        <f ca="1">IFERROR(__xludf.DUMMYFUNCTION("""COMPUTED_VALUE"""),"17 - Construction Special Trade Contractors (33)")</f>
        <v>17 - Construction Special Trade Contractors (33)</v>
      </c>
      <c r="B14" s="15" t="str">
        <f t="shared" ca="1" si="0"/>
        <v>16 - Heavy Construction Other Than Building Construction Contractors</v>
      </c>
      <c r="C14" s="9">
        <f ca="1">IFERROR(__xludf.DUMMYFUNCTION("""COMPUTED_VALUE"""),0.042)</f>
        <v>4.2000000000000003E-2</v>
      </c>
      <c r="D14" s="9">
        <f ca="1">IFERROR(__xludf.DUMMYFUNCTION("""COMPUTED_VALUE"""),0.093)</f>
        <v>9.2999999999999999E-2</v>
      </c>
      <c r="E14" s="9">
        <f ca="1">IFERROR(__xludf.DUMMYFUNCTION("""COMPUTED_VALUE"""),1.02)</f>
        <v>1.02</v>
      </c>
      <c r="F14" s="9">
        <f ca="1">IFERROR(__xludf.DUMMYFUNCTION("""COMPUTED_VALUE"""),1.54)</f>
        <v>1.54</v>
      </c>
      <c r="G14" s="9">
        <f ca="1">IFERROR(__xludf.DUMMYFUNCTION("""COMPUTED_VALUE"""),0.187)</f>
        <v>0.187</v>
      </c>
      <c r="H14" s="9">
        <f ca="1">IFERROR(__xludf.DUMMYFUNCTION("""COMPUTED_VALUE"""),0.041)</f>
        <v>4.1000000000000002E-2</v>
      </c>
      <c r="I14" s="9">
        <f ca="1">IFERROR(__xludf.DUMMYFUNCTION("""COMPUTED_VALUE"""),0.027)</f>
        <v>2.7E-2</v>
      </c>
      <c r="J14" s="9">
        <f ca="1">IFERROR(__xludf.DUMMYFUNCTION("""COMPUTED_VALUE"""),1.46)</f>
        <v>1.46</v>
      </c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</row>
    <row r="15" spans="1:28" x14ac:dyDescent="0.2">
      <c r="A15" s="9" t="str">
        <f ca="1">IFERROR(__xludf.DUMMYFUNCTION("""COMPUTED_VALUE"""),"20 - Food And Kindred Products (190)")</f>
        <v>20 - Food And Kindred Products (190)</v>
      </c>
      <c r="B15" s="15" t="str">
        <f t="shared" ca="1" si="0"/>
        <v>17 - Construction Special Trade Contractors</v>
      </c>
      <c r="C15" s="9">
        <f ca="1">IFERROR(__xludf.DUMMYFUNCTION("""COMPUTED_VALUE"""),0.027)</f>
        <v>2.7E-2</v>
      </c>
      <c r="D15" s="9">
        <f ca="1">IFERROR(__xludf.DUMMYFUNCTION("""COMPUTED_VALUE"""),0.106)</f>
        <v>0.106</v>
      </c>
      <c r="E15" s="9">
        <f ca="1">IFERROR(__xludf.DUMMYFUNCTION("""COMPUTED_VALUE"""),1.04)</f>
        <v>1.04</v>
      </c>
      <c r="F15" s="9">
        <f ca="1">IFERROR(__xludf.DUMMYFUNCTION("""COMPUTED_VALUE"""),1.38)</f>
        <v>1.38</v>
      </c>
      <c r="G15" s="9">
        <f ca="1">IFERROR(__xludf.DUMMYFUNCTION("""COMPUTED_VALUE"""),0.31)</f>
        <v>0.31</v>
      </c>
      <c r="H15" s="9">
        <f ca="1">IFERROR(__xludf.DUMMYFUNCTION("""COMPUTED_VALUE"""),0.037)</f>
        <v>3.6999999999999998E-2</v>
      </c>
      <c r="I15" s="9">
        <f ca="1">IFERROR(__xludf.DUMMYFUNCTION("""COMPUTED_VALUE"""),0.026)</f>
        <v>2.5999999999999999E-2</v>
      </c>
      <c r="J15" s="9">
        <f ca="1">IFERROR(__xludf.DUMMYFUNCTION("""COMPUTED_VALUE"""),1.09)</f>
        <v>1.0900000000000001</v>
      </c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</row>
    <row r="16" spans="1:28" x14ac:dyDescent="0.2">
      <c r="A16" s="9" t="str">
        <f ca="1">IFERROR(__xludf.DUMMYFUNCTION("""COMPUTED_VALUE"""),"21 - Tobacco Products (21)")</f>
        <v>21 - Tobacco Products (21)</v>
      </c>
      <c r="B16" s="15" t="str">
        <f t="shared" ca="1" si="0"/>
        <v>20 - Food And Kindred Products</v>
      </c>
      <c r="C16" s="9">
        <f ca="1">IFERROR(__xludf.DUMMYFUNCTION("""COMPUTED_VALUE"""),0.038)</f>
        <v>3.7999999999999999E-2</v>
      </c>
      <c r="D16" s="9">
        <f ca="1">IFERROR(__xludf.DUMMYFUNCTION("""COMPUTED_VALUE"""),0.059)</f>
        <v>5.8999999999999997E-2</v>
      </c>
      <c r="E16" s="9">
        <f ca="1">IFERROR(__xludf.DUMMYFUNCTION("""COMPUTED_VALUE"""),0.87)</f>
        <v>0.87</v>
      </c>
      <c r="F16" s="9">
        <f ca="1">IFERROR(__xludf.DUMMYFUNCTION("""COMPUTED_VALUE"""),1.71)</f>
        <v>1.71</v>
      </c>
      <c r="G16" s="9">
        <f ca="1">IFERROR(__xludf.DUMMYFUNCTION("""COMPUTED_VALUE"""),0.442)</f>
        <v>0.442</v>
      </c>
      <c r="H16" s="9">
        <f ca="1">IFERROR(__xludf.DUMMYFUNCTION("""COMPUTED_VALUE"""),0.052)</f>
        <v>5.1999999999999998E-2</v>
      </c>
      <c r="I16" s="9">
        <f ca="1">IFERROR(__xludf.DUMMYFUNCTION("""COMPUTED_VALUE"""),0.034)</f>
        <v>3.4000000000000002E-2</v>
      </c>
      <c r="J16" s="9">
        <f ca="1">IFERROR(__xludf.DUMMYFUNCTION("""COMPUTED_VALUE"""),0.76)</f>
        <v>0.76</v>
      </c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</row>
    <row r="17" spans="1:28" x14ac:dyDescent="0.2">
      <c r="A17" s="9" t="str">
        <f ca="1">IFERROR(__xludf.DUMMYFUNCTION("""COMPUTED_VALUE"""),"22 - Textile Mill Products (16)")</f>
        <v>22 - Textile Mill Products (16)</v>
      </c>
      <c r="B17" s="15" t="str">
        <f t="shared" ca="1" si="0"/>
        <v>21 - Tobacco Products</v>
      </c>
      <c r="C17" s="9">
        <f ca="1">IFERROR(__xludf.DUMMYFUNCTION("""COMPUTED_VALUE"""),0.065)</f>
        <v>6.5000000000000002E-2</v>
      </c>
      <c r="D17" s="9">
        <f ca="1">IFERROR(__xludf.DUMMYFUNCTION("""COMPUTED_VALUE"""),-0.91)</f>
        <v>-0.91</v>
      </c>
      <c r="E17" s="9">
        <f ca="1">IFERROR(__xludf.DUMMYFUNCTION("""COMPUTED_VALUE"""),0.73)</f>
        <v>0.73</v>
      </c>
      <c r="F17" s="9">
        <f ca="1">IFERROR(__xludf.DUMMYFUNCTION("""COMPUTED_VALUE"""),1.72)</f>
        <v>1.72</v>
      </c>
      <c r="G17" s="9">
        <f ca="1">IFERROR(__xludf.DUMMYFUNCTION("""COMPUTED_VALUE"""),0.254)</f>
        <v>0.254</v>
      </c>
      <c r="H17" s="9">
        <f ca="1">IFERROR(__xludf.DUMMYFUNCTION("""COMPUTED_VALUE"""),0.166)</f>
        <v>0.16600000000000001</v>
      </c>
      <c r="I17" s="9">
        <f ca="1">IFERROR(__xludf.DUMMYFUNCTION("""COMPUTED_VALUE"""),0.071)</f>
        <v>7.0999999999999994E-2</v>
      </c>
      <c r="J17" s="9">
        <f ca="1">IFERROR(__xludf.DUMMYFUNCTION("""COMPUTED_VALUE"""),1.46)</f>
        <v>1.46</v>
      </c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</row>
    <row r="18" spans="1:28" x14ac:dyDescent="0.2">
      <c r="A18" s="9" t="str">
        <f ca="1">IFERROR(__xludf.DUMMYFUNCTION("""COMPUTED_VALUE"""),"23 - Apparel And Other Finished Products Made From Fabrics And Similar 
Materials (56)")</f>
        <v>23 - Apparel And Other Finished Products Made From Fabrics And Similar _x000D_Materials (56)</v>
      </c>
      <c r="B18" s="15" t="str">
        <f t="shared" ca="1" si="0"/>
        <v>22 - Textile Mill Products</v>
      </c>
      <c r="C18" s="9">
        <f ca="1">IFERROR(__xludf.DUMMYFUNCTION("""COMPUTED_VALUE"""),-0.038)</f>
        <v>-3.7999999999999999E-2</v>
      </c>
      <c r="D18" s="9">
        <f ca="1">IFERROR(__xludf.DUMMYFUNCTION("""COMPUTED_VALUE"""),-0.134)</f>
        <v>-0.13400000000000001</v>
      </c>
      <c r="E18" s="9">
        <f ca="1">IFERROR(__xludf.DUMMYFUNCTION("""COMPUTED_VALUE"""),1.26)</f>
        <v>1.26</v>
      </c>
      <c r="F18" s="9">
        <f ca="1">IFERROR(__xludf.DUMMYFUNCTION("""COMPUTED_VALUE"""),2.56)</f>
        <v>2.56</v>
      </c>
      <c r="G18" s="9">
        <f ca="1">IFERROR(__xludf.DUMMYFUNCTION("""COMPUTED_VALUE"""),0.483)</f>
        <v>0.48299999999999998</v>
      </c>
      <c r="H18" s="9">
        <f ca="1">IFERROR(__xludf.DUMMYFUNCTION("""COMPUTED_VALUE"""),-0.007)</f>
        <v>-7.0000000000000001E-3</v>
      </c>
      <c r="I18" s="9">
        <f ca="1">IFERROR(__xludf.DUMMYFUNCTION("""COMPUTED_VALUE"""),-0.029)</f>
        <v>-2.9000000000000001E-2</v>
      </c>
      <c r="J18" s="9">
        <f ca="1">IFERROR(__xludf.DUMMYFUNCTION("""COMPUTED_VALUE"""),0.68)</f>
        <v>0.68</v>
      </c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</row>
    <row r="19" spans="1:28" x14ac:dyDescent="0.2">
      <c r="A19" s="9" t="str">
        <f ca="1">IFERROR(__xludf.DUMMYFUNCTION("""COMPUTED_VALUE"""),"24 - Lumber And Wood Products, Except Furniture (29)")</f>
        <v>24 - Lumber And Wood Products, Except Furniture (29)</v>
      </c>
      <c r="B19" s="15" t="str">
        <f t="shared" ca="1" si="0"/>
        <v>23 - Apparel And Other Finished Products Made From Fabrics And Similar _x000D_Materials</v>
      </c>
      <c r="C19" s="9">
        <f ca="1">IFERROR(__xludf.DUMMYFUNCTION("""COMPUTED_VALUE"""),-0.008)</f>
        <v>-8.0000000000000002E-3</v>
      </c>
      <c r="D19" s="9">
        <f ca="1">IFERROR(__xludf.DUMMYFUNCTION("""COMPUTED_VALUE"""),-0.021)</f>
        <v>-2.1000000000000001E-2</v>
      </c>
      <c r="E19" s="9">
        <f ca="1">IFERROR(__xludf.DUMMYFUNCTION("""COMPUTED_VALUE"""),1.41)</f>
        <v>1.41</v>
      </c>
      <c r="F19" s="9">
        <f ca="1">IFERROR(__xludf.DUMMYFUNCTION("""COMPUTED_VALUE"""),2.37)</f>
        <v>2.37</v>
      </c>
      <c r="G19" s="9">
        <f ca="1">IFERROR(__xludf.DUMMYFUNCTION("""COMPUTED_VALUE"""),0.22)</f>
        <v>0.22</v>
      </c>
      <c r="H19" s="9">
        <f ca="1">IFERROR(__xludf.DUMMYFUNCTION("""COMPUTED_VALUE"""),-0.014)</f>
        <v>-1.4E-2</v>
      </c>
      <c r="I19" s="9">
        <f ca="1">IFERROR(__xludf.DUMMYFUNCTION("""COMPUTED_VALUE"""),-0.001)</f>
        <v>-1E-3</v>
      </c>
      <c r="J19" s="9">
        <f ca="1">IFERROR(__xludf.DUMMYFUNCTION("""COMPUTED_VALUE"""),1.13)</f>
        <v>1.1299999999999999</v>
      </c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</row>
    <row r="20" spans="1:28" x14ac:dyDescent="0.2">
      <c r="A20" s="9" t="str">
        <f ca="1">IFERROR(__xludf.DUMMYFUNCTION("""COMPUTED_VALUE"""),"25 - Furniture And Fixtures (29)")</f>
        <v>25 - Furniture And Fixtures (29)</v>
      </c>
      <c r="B20" s="15" t="str">
        <f t="shared" ca="1" si="0"/>
        <v>24 - Lumber And Wood Products, Except Furniture</v>
      </c>
      <c r="C20" s="9">
        <f ca="1">IFERROR(__xludf.DUMMYFUNCTION("""COMPUTED_VALUE"""),0.086)</f>
        <v>8.5999999999999993E-2</v>
      </c>
      <c r="D20" s="9">
        <f ca="1">IFERROR(__xludf.DUMMYFUNCTION("""COMPUTED_VALUE"""),0.168)</f>
        <v>0.16800000000000001</v>
      </c>
      <c r="E20" s="9">
        <f ca="1">IFERROR(__xludf.DUMMYFUNCTION("""COMPUTED_VALUE"""),1.49)</f>
        <v>1.49</v>
      </c>
      <c r="F20" s="9">
        <f ca="1">IFERROR(__xludf.DUMMYFUNCTION("""COMPUTED_VALUE"""),2.11)</f>
        <v>2.11</v>
      </c>
      <c r="G20" s="9">
        <f ca="1">IFERROR(__xludf.DUMMYFUNCTION("""COMPUTED_VALUE"""),0.369)</f>
        <v>0.36899999999999999</v>
      </c>
      <c r="H20" s="9">
        <f ca="1">IFERROR(__xludf.DUMMYFUNCTION("""COMPUTED_VALUE"""),0.088)</f>
        <v>8.7999999999999995E-2</v>
      </c>
      <c r="I20" s="9">
        <f ca="1">IFERROR(__xludf.DUMMYFUNCTION("""COMPUTED_VALUE"""),0.073)</f>
        <v>7.2999999999999995E-2</v>
      </c>
      <c r="J20" s="9">
        <f ca="1">IFERROR(__xludf.DUMMYFUNCTION("""COMPUTED_VALUE"""),0.59)</f>
        <v>0.59</v>
      </c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</row>
    <row r="21" spans="1:28" x14ac:dyDescent="0.2">
      <c r="A21" s="9" t="str">
        <f ca="1">IFERROR(__xludf.DUMMYFUNCTION("""COMPUTED_VALUE"""),"26 - Paper And Allied Products (41)")</f>
        <v>26 - Paper And Allied Products (41)</v>
      </c>
      <c r="B21" s="15" t="str">
        <f t="shared" ca="1" si="0"/>
        <v>25 - Furniture And Fixtures</v>
      </c>
      <c r="C21" s="9">
        <f ca="1">IFERROR(__xludf.DUMMYFUNCTION("""COMPUTED_VALUE"""),0.029)</f>
        <v>2.9000000000000001E-2</v>
      </c>
      <c r="D21" s="9">
        <f ca="1">IFERROR(__xludf.DUMMYFUNCTION("""COMPUTED_VALUE"""),0.018)</f>
        <v>1.7999999999999999E-2</v>
      </c>
      <c r="E21" s="9">
        <f ca="1">IFERROR(__xludf.DUMMYFUNCTION("""COMPUTED_VALUE"""),0.81)</f>
        <v>0.81</v>
      </c>
      <c r="F21" s="9">
        <f ca="1">IFERROR(__xludf.DUMMYFUNCTION("""COMPUTED_VALUE"""),1.39)</f>
        <v>1.39</v>
      </c>
      <c r="G21" s="9">
        <f ca="1">IFERROR(__xludf.DUMMYFUNCTION("""COMPUTED_VALUE"""),0.173)</f>
        <v>0.17299999999999999</v>
      </c>
      <c r="H21" s="9">
        <f ca="1">IFERROR(__xludf.DUMMYFUNCTION("""COMPUTED_VALUE"""),0.026)</f>
        <v>2.5999999999999999E-2</v>
      </c>
      <c r="I21" s="9">
        <f ca="1">IFERROR(__xludf.DUMMYFUNCTION("""COMPUTED_VALUE"""),0.021)</f>
        <v>2.1000000000000001E-2</v>
      </c>
      <c r="J21" s="9">
        <f ca="1">IFERROR(__xludf.DUMMYFUNCTION("""COMPUTED_VALUE"""),1.3)</f>
        <v>1.3</v>
      </c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</row>
    <row r="22" spans="1:28" x14ac:dyDescent="0.2">
      <c r="A22" s="9" t="str">
        <f ca="1">IFERROR(__xludf.DUMMYFUNCTION("""COMPUTED_VALUE"""),"27 - Printing, Publishing, And Allied Industries (67)")</f>
        <v>27 - Printing, Publishing, And Allied Industries (67)</v>
      </c>
      <c r="B22" s="15" t="str">
        <f t="shared" ca="1" si="0"/>
        <v>26 - Paper And Allied Products</v>
      </c>
      <c r="C22" s="9">
        <f ca="1">IFERROR(__xludf.DUMMYFUNCTION("""COMPUTED_VALUE"""),0.009)</f>
        <v>8.9999999999999993E-3</v>
      </c>
      <c r="D22" s="9">
        <f ca="1">IFERROR(__xludf.DUMMYFUNCTION("""COMPUTED_VALUE"""),0.02)</f>
        <v>0.02</v>
      </c>
      <c r="E22" s="9">
        <f ca="1">IFERROR(__xludf.DUMMYFUNCTION("""COMPUTED_VALUE"""),0.93)</f>
        <v>0.93</v>
      </c>
      <c r="F22" s="9">
        <f ca="1">IFERROR(__xludf.DUMMYFUNCTION("""COMPUTED_VALUE"""),1.86)</f>
        <v>1.86</v>
      </c>
      <c r="G22" s="9">
        <f ca="1">IFERROR(__xludf.DUMMYFUNCTION("""COMPUTED_VALUE"""),0.421)</f>
        <v>0.42099999999999999</v>
      </c>
      <c r="H22" s="9">
        <f ca="1">IFERROR(__xludf.DUMMYFUNCTION("""COMPUTED_VALUE"""),0.044)</f>
        <v>4.3999999999999997E-2</v>
      </c>
      <c r="I22" s="9">
        <f ca="1">IFERROR(__xludf.DUMMYFUNCTION("""COMPUTED_VALUE"""),0.023)</f>
        <v>2.3E-2</v>
      </c>
      <c r="J22" s="9">
        <f ca="1">IFERROR(__xludf.DUMMYFUNCTION("""COMPUTED_VALUE"""),1.44)</f>
        <v>1.44</v>
      </c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</row>
    <row r="23" spans="1:28" x14ac:dyDescent="0.2">
      <c r="A23" s="9" t="str">
        <f ca="1">IFERROR(__xludf.DUMMYFUNCTION("""COMPUTED_VALUE"""),"28 - Chemicals And Allied Products (1076)")</f>
        <v>28 - Chemicals And Allied Products (1076)</v>
      </c>
      <c r="B23" s="15" t="str">
        <f t="shared" ca="1" si="0"/>
        <v>27 - Printing, Publishing, And Allied Industries</v>
      </c>
      <c r="C23" s="9">
        <f ca="1">IFERROR(__xludf.DUMMYFUNCTION("""COMPUTED_VALUE"""),-0.022)</f>
        <v>-2.1999999999999999E-2</v>
      </c>
      <c r="D23" s="9">
        <f ca="1">IFERROR(__xludf.DUMMYFUNCTION("""COMPUTED_VALUE"""),-0.132)</f>
        <v>-0.13200000000000001</v>
      </c>
      <c r="E23" s="9">
        <f ca="1">IFERROR(__xludf.DUMMYFUNCTION("""COMPUTED_VALUE"""),1.03)</f>
        <v>1.03</v>
      </c>
      <c r="F23" s="9">
        <f ca="1">IFERROR(__xludf.DUMMYFUNCTION("""COMPUTED_VALUE"""),1.28)</f>
        <v>1.28</v>
      </c>
      <c r="G23" s="9">
        <f ca="1">IFERROR(__xludf.DUMMYFUNCTION("""COMPUTED_VALUE"""),0.548)</f>
        <v>0.54800000000000004</v>
      </c>
      <c r="H23" s="9">
        <f ca="1">IFERROR(__xludf.DUMMYFUNCTION("""COMPUTED_VALUE"""),-0.012)</f>
        <v>-1.2E-2</v>
      </c>
      <c r="I23" s="9">
        <f ca="1">IFERROR(__xludf.DUMMYFUNCTION("""COMPUTED_VALUE"""),-0.023)</f>
        <v>-2.3E-2</v>
      </c>
      <c r="J23" s="9">
        <f ca="1">IFERROR(__xludf.DUMMYFUNCTION("""COMPUTED_VALUE"""),0.74)</f>
        <v>0.74</v>
      </c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</row>
    <row r="24" spans="1:28" x14ac:dyDescent="0.2">
      <c r="A24" s="9" t="str">
        <f ca="1">IFERROR(__xludf.DUMMYFUNCTION("""COMPUTED_VALUE"""),"29 - Petroleum Refining And Related Industries (38)")</f>
        <v>29 - Petroleum Refining And Related Industries (38)</v>
      </c>
      <c r="B24" s="15" t="str">
        <f t="shared" ca="1" si="0"/>
        <v>28 - Chemicals And Allied Products</v>
      </c>
      <c r="C24" s="9">
        <f ca="1">IFERROR(__xludf.DUMMYFUNCTION("""COMPUTED_VALUE"""),-0.373)</f>
        <v>-0.373</v>
      </c>
      <c r="D24" s="9">
        <f ca="1">IFERROR(__xludf.DUMMYFUNCTION("""COMPUTED_VALUE"""),-0.6)</f>
        <v>-0.6</v>
      </c>
      <c r="E24" s="9">
        <f ca="1">IFERROR(__xludf.DUMMYFUNCTION("""COMPUTED_VALUE"""),2.59)</f>
        <v>2.59</v>
      </c>
      <c r="F24" s="9">
        <f ca="1">IFERROR(__xludf.DUMMYFUNCTION("""COMPUTED_VALUE"""),4.34)</f>
        <v>4.34</v>
      </c>
      <c r="G24" s="9">
        <f ca="1">IFERROR(__xludf.DUMMYFUNCTION("""COMPUTED_VALUE"""),0.051)</f>
        <v>5.0999999999999997E-2</v>
      </c>
      <c r="H24" s="9">
        <f ca="1">IFERROR(__xludf.DUMMYFUNCTION("""COMPUTED_VALUE"""),-0.492)</f>
        <v>-0.49199999999999999</v>
      </c>
      <c r="I24" s="9">
        <f ca="1">IFERROR(__xludf.DUMMYFUNCTION("""COMPUTED_VALUE"""),-1.278)</f>
        <v>-1.278</v>
      </c>
      <c r="J24" s="9">
        <f ca="1">IFERROR(__xludf.DUMMYFUNCTION("""COMPUTED_VALUE"""),0.35)</f>
        <v>0.35</v>
      </c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</row>
    <row r="25" spans="1:28" x14ac:dyDescent="0.2">
      <c r="A25" s="9" t="str">
        <f ca="1">IFERROR(__xludf.DUMMYFUNCTION("""COMPUTED_VALUE"""),"30 - Rubber And Miscellaneous Plastics Products (54)")</f>
        <v>30 - Rubber And Miscellaneous Plastics Products (54)</v>
      </c>
      <c r="B25" s="15" t="str">
        <f t="shared" ca="1" si="0"/>
        <v>29 - Petroleum Refining And Related Industries</v>
      </c>
      <c r="C25" s="9">
        <f ca="1">IFERROR(__xludf.DUMMYFUNCTION("""COMPUTED_VALUE"""),-0.064)</f>
        <v>-6.4000000000000001E-2</v>
      </c>
      <c r="D25" s="9">
        <f ca="1">IFERROR(__xludf.DUMMYFUNCTION("""COMPUTED_VALUE"""),-0.163)</f>
        <v>-0.16300000000000001</v>
      </c>
      <c r="E25" s="9">
        <f ca="1">IFERROR(__xludf.DUMMYFUNCTION("""COMPUTED_VALUE"""),0.89)</f>
        <v>0.89</v>
      </c>
      <c r="F25" s="9">
        <f ca="1">IFERROR(__xludf.DUMMYFUNCTION("""COMPUTED_VALUE"""),1.58)</f>
        <v>1.58</v>
      </c>
      <c r="G25" s="9">
        <f ca="1">IFERROR(__xludf.DUMMYFUNCTION("""COMPUTED_VALUE"""),0.309)</f>
        <v>0.309</v>
      </c>
      <c r="H25" s="9">
        <f ca="1">IFERROR(__xludf.DUMMYFUNCTION("""COMPUTED_VALUE"""),-0.076)</f>
        <v>-7.5999999999999998E-2</v>
      </c>
      <c r="I25" s="9">
        <f ca="1">IFERROR(__xludf.DUMMYFUNCTION("""COMPUTED_VALUE"""),-0.066)</f>
        <v>-6.6000000000000003E-2</v>
      </c>
      <c r="J25" s="9">
        <f ca="1">IFERROR(__xludf.DUMMYFUNCTION("""COMPUTED_VALUE"""),1.54)</f>
        <v>1.54</v>
      </c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</row>
    <row r="26" spans="1:28" x14ac:dyDescent="0.2">
      <c r="A26" s="9" t="str">
        <f ca="1">IFERROR(__xludf.DUMMYFUNCTION("""COMPUTED_VALUE"""),"31 - Leather And Leather Products (16)")</f>
        <v>31 - Leather And Leather Products (16)</v>
      </c>
      <c r="B26" s="15" t="str">
        <f t="shared" ca="1" si="0"/>
        <v>30 - Rubber And Miscellaneous Plastics Products</v>
      </c>
      <c r="C26" s="9">
        <f ca="1">IFERROR(__xludf.DUMMYFUNCTION("""COMPUTED_VALUE"""),0.047)</f>
        <v>4.7E-2</v>
      </c>
      <c r="D26" s="9">
        <f ca="1">IFERROR(__xludf.DUMMYFUNCTION("""COMPUTED_VALUE"""),0.091)</f>
        <v>9.0999999999999998E-2</v>
      </c>
      <c r="E26" s="9">
        <f ca="1">IFERROR(__xludf.DUMMYFUNCTION("""COMPUTED_VALUE"""),1.35)</f>
        <v>1.35</v>
      </c>
      <c r="F26" s="9">
        <f ca="1">IFERROR(__xludf.DUMMYFUNCTION("""COMPUTED_VALUE"""),1.81)</f>
        <v>1.81</v>
      </c>
      <c r="G26" s="9">
        <f ca="1">IFERROR(__xludf.DUMMYFUNCTION("""COMPUTED_VALUE"""),0.444)</f>
        <v>0.44400000000000001</v>
      </c>
      <c r="H26" s="9">
        <f ca="1">IFERROR(__xludf.DUMMYFUNCTION("""COMPUTED_VALUE"""),0.069)</f>
        <v>6.9000000000000006E-2</v>
      </c>
      <c r="I26" s="9">
        <f ca="1">IFERROR(__xludf.DUMMYFUNCTION("""COMPUTED_VALUE"""),0.054)</f>
        <v>5.3999999999999999E-2</v>
      </c>
      <c r="J26" s="9">
        <f ca="1">IFERROR(__xludf.DUMMYFUNCTION("""COMPUTED_VALUE"""),1.12)</f>
        <v>1.1200000000000001</v>
      </c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</row>
    <row r="27" spans="1:28" x14ac:dyDescent="0.2">
      <c r="A27" s="9" t="str">
        <f ca="1">IFERROR(__xludf.DUMMYFUNCTION("""COMPUTED_VALUE"""),"32 - Stone, Clay, Glass, And Concrete Products (31)")</f>
        <v>32 - Stone, Clay, Glass, And Concrete Products (31)</v>
      </c>
      <c r="B27" s="15" t="str">
        <f t="shared" ca="1" si="0"/>
        <v>31 - Leather And Leather Products</v>
      </c>
      <c r="C27" s="9">
        <f ca="1">IFERROR(__xludf.DUMMYFUNCTION("""COMPUTED_VALUE"""),-0.016)</f>
        <v>-1.6E-2</v>
      </c>
      <c r="D27" s="9">
        <f ca="1">IFERROR(__xludf.DUMMYFUNCTION("""COMPUTED_VALUE"""),-0.137)</f>
        <v>-0.13700000000000001</v>
      </c>
      <c r="E27" s="9">
        <f ca="1">IFERROR(__xludf.DUMMYFUNCTION("""COMPUTED_VALUE"""),1.3)</f>
        <v>1.3</v>
      </c>
      <c r="F27" s="9">
        <f ca="1">IFERROR(__xludf.DUMMYFUNCTION("""COMPUTED_VALUE"""),2.23)</f>
        <v>2.23</v>
      </c>
      <c r="G27" s="9">
        <f ca="1">IFERROR(__xludf.DUMMYFUNCTION("""COMPUTED_VALUE"""),0.228)</f>
        <v>0.22800000000000001</v>
      </c>
      <c r="H27" s="9">
        <f ca="1">IFERROR(__xludf.DUMMYFUNCTION("""COMPUTED_VALUE"""),-0.096)</f>
        <v>-9.6000000000000002E-2</v>
      </c>
      <c r="I27" s="9">
        <f ca="1">IFERROR(__xludf.DUMMYFUNCTION("""COMPUTED_VALUE"""),-0.068)</f>
        <v>-6.8000000000000005E-2</v>
      </c>
      <c r="J27" s="9">
        <f ca="1">IFERROR(__xludf.DUMMYFUNCTION("""COMPUTED_VALUE"""),1.13)</f>
        <v>1.1299999999999999</v>
      </c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</row>
    <row r="28" spans="1:28" x14ac:dyDescent="0.2">
      <c r="A28" s="9" t="str">
        <f ca="1">IFERROR(__xludf.DUMMYFUNCTION("""COMPUTED_VALUE"""),"33 - Primary Metal Industries (60)")</f>
        <v>33 - Primary Metal Industries (60)</v>
      </c>
      <c r="B28" s="15" t="str">
        <f t="shared" ca="1" si="0"/>
        <v>32 - Stone, Clay, Glass, And Concrete Products</v>
      </c>
      <c r="C28" s="9">
        <f ca="1">IFERROR(__xludf.DUMMYFUNCTION("""COMPUTED_VALUE"""),0.044)</f>
        <v>4.3999999999999997E-2</v>
      </c>
      <c r="D28" s="9">
        <f ca="1">IFERROR(__xludf.DUMMYFUNCTION("""COMPUTED_VALUE"""),0.121)</f>
        <v>0.121</v>
      </c>
      <c r="E28" s="9">
        <f ca="1">IFERROR(__xludf.DUMMYFUNCTION("""COMPUTED_VALUE"""),1.11)</f>
        <v>1.1100000000000001</v>
      </c>
      <c r="F28" s="9">
        <f ca="1">IFERROR(__xludf.DUMMYFUNCTION("""COMPUTED_VALUE"""),1.81)</f>
        <v>1.81</v>
      </c>
      <c r="G28" s="9">
        <f ca="1">IFERROR(__xludf.DUMMYFUNCTION("""COMPUTED_VALUE"""),0.141)</f>
        <v>0.14099999999999999</v>
      </c>
      <c r="H28" s="9">
        <f ca="1">IFERROR(__xludf.DUMMYFUNCTION("""COMPUTED_VALUE"""),0.096)</f>
        <v>9.6000000000000002E-2</v>
      </c>
      <c r="I28" s="9">
        <f ca="1">IFERROR(__xludf.DUMMYFUNCTION("""COMPUTED_VALUE"""),0.044)</f>
        <v>4.3999999999999997E-2</v>
      </c>
      <c r="J28" s="9">
        <f ca="1">IFERROR(__xludf.DUMMYFUNCTION("""COMPUTED_VALUE"""),1.41)</f>
        <v>1.41</v>
      </c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</row>
    <row r="29" spans="1:28" x14ac:dyDescent="0.2">
      <c r="A29" s="9" t="str">
        <f ca="1">IFERROR(__xludf.DUMMYFUNCTION("""COMPUTED_VALUE"""),"34 - Fabricated Metal Products, Except Machinery And Transportation 
Equipment (78)")</f>
        <v>34 - Fabricated Metal Products, Except Machinery And Transportation _x000D_Equipment (78)</v>
      </c>
      <c r="B29" s="15" t="str">
        <f t="shared" ca="1" si="0"/>
        <v>33 - Primary Metal Industries</v>
      </c>
      <c r="C29" s="9">
        <f ca="1">IFERROR(__xludf.DUMMYFUNCTION("""COMPUTED_VALUE"""),-0.011)</f>
        <v>-1.0999999999999999E-2</v>
      </c>
      <c r="D29" s="9">
        <f ca="1">IFERROR(__xludf.DUMMYFUNCTION("""COMPUTED_VALUE"""),-0.031)</f>
        <v>-3.1E-2</v>
      </c>
      <c r="E29" s="9">
        <f ca="1">IFERROR(__xludf.DUMMYFUNCTION("""COMPUTED_VALUE"""),1.15)</f>
        <v>1.1499999999999999</v>
      </c>
      <c r="F29" s="9">
        <f ca="1">IFERROR(__xludf.DUMMYFUNCTION("""COMPUTED_VALUE"""),2.42)</f>
        <v>2.42</v>
      </c>
      <c r="G29" s="9">
        <f ca="1">IFERROR(__xludf.DUMMYFUNCTION("""COMPUTED_VALUE"""),0.295)</f>
        <v>0.29499999999999998</v>
      </c>
      <c r="H29" s="9">
        <f ca="1">IFERROR(__xludf.DUMMYFUNCTION("""COMPUTED_VALUE"""),0.034)</f>
        <v>3.4000000000000002E-2</v>
      </c>
      <c r="I29" s="9">
        <f ca="1">IFERROR(__xludf.DUMMYFUNCTION("""COMPUTED_VALUE"""),-0.007)</f>
        <v>-7.0000000000000001E-3</v>
      </c>
      <c r="J29" s="9">
        <f ca="1">IFERROR(__xludf.DUMMYFUNCTION("""COMPUTED_VALUE"""),1.28)</f>
        <v>1.28</v>
      </c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</row>
    <row r="30" spans="1:28" x14ac:dyDescent="0.2">
      <c r="A30" s="9" t="str">
        <f ca="1">IFERROR(__xludf.DUMMYFUNCTION("""COMPUTED_VALUE"""),"35 - Industrial And Commercial Machinery And Computer Equipment (299)")</f>
        <v>35 - Industrial And Commercial Machinery And Computer Equipment (299)</v>
      </c>
      <c r="B30" s="15" t="str">
        <f t="shared" ca="1" si="0"/>
        <v>34 - Fabricated Metal Products, Except Machinery And Transportation _x000D_Equipment</v>
      </c>
      <c r="C30" s="9">
        <f ca="1">IFERROR(__xludf.DUMMYFUNCTION("""COMPUTED_VALUE"""),0.027)</f>
        <v>2.7E-2</v>
      </c>
      <c r="D30" s="9">
        <f ca="1">IFERROR(__xludf.DUMMYFUNCTION("""COMPUTED_VALUE"""),0.055)</f>
        <v>5.5E-2</v>
      </c>
      <c r="E30" s="9">
        <f ca="1">IFERROR(__xludf.DUMMYFUNCTION("""COMPUTED_VALUE"""),1.15)</f>
        <v>1.1499999999999999</v>
      </c>
      <c r="F30" s="9">
        <f ca="1">IFERROR(__xludf.DUMMYFUNCTION("""COMPUTED_VALUE"""),2.34)</f>
        <v>2.34</v>
      </c>
      <c r="G30" s="9">
        <f ca="1">IFERROR(__xludf.DUMMYFUNCTION("""COMPUTED_VALUE"""),0.328)</f>
        <v>0.32800000000000001</v>
      </c>
      <c r="H30" s="9">
        <f ca="1">IFERROR(__xludf.DUMMYFUNCTION("""COMPUTED_VALUE"""),0.079)</f>
        <v>7.9000000000000001E-2</v>
      </c>
      <c r="I30" s="9">
        <f ca="1">IFERROR(__xludf.DUMMYFUNCTION("""COMPUTED_VALUE"""),0.039)</f>
        <v>3.9E-2</v>
      </c>
      <c r="J30" s="9">
        <f ca="1">IFERROR(__xludf.DUMMYFUNCTION("""COMPUTED_VALUE"""),1.05)</f>
        <v>1.05</v>
      </c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</row>
    <row r="31" spans="1:28" x14ac:dyDescent="0.2">
      <c r="A31" s="9" t="str">
        <f ca="1">IFERROR(__xludf.DUMMYFUNCTION("""COMPUTED_VALUE"""),"36 - Electronic And Other Electrical Equipment And Components, Except 
Computer Equipment (487)")</f>
        <v>36 - Electronic And Other Electrical Equipment And Components, Except _x000D_Computer Equipment (487)</v>
      </c>
      <c r="B31" s="15" t="str">
        <f t="shared" ca="1" si="0"/>
        <v>35 - Industrial And Commercial Machinery And Computer Equipment</v>
      </c>
      <c r="C31" s="9">
        <f ca="1">IFERROR(__xludf.DUMMYFUNCTION("""COMPUTED_VALUE"""),0.006)</f>
        <v>6.0000000000000001E-3</v>
      </c>
      <c r="D31" s="9">
        <f ca="1">IFERROR(__xludf.DUMMYFUNCTION("""COMPUTED_VALUE"""),0.006)</f>
        <v>6.0000000000000001E-3</v>
      </c>
      <c r="E31" s="9">
        <f ca="1">IFERROR(__xludf.DUMMYFUNCTION("""COMPUTED_VALUE"""),1.41)</f>
        <v>1.41</v>
      </c>
      <c r="F31" s="9">
        <f ca="1">IFERROR(__xludf.DUMMYFUNCTION("""COMPUTED_VALUE"""),2.14)</f>
        <v>2.14</v>
      </c>
      <c r="G31" s="9">
        <f ca="1">IFERROR(__xludf.DUMMYFUNCTION("""COMPUTED_VALUE"""),0.379)</f>
        <v>0.379</v>
      </c>
      <c r="H31" s="9">
        <f ca="1">IFERROR(__xludf.DUMMYFUNCTION("""COMPUTED_VALUE"""),0.036)</f>
        <v>3.5999999999999997E-2</v>
      </c>
      <c r="I31" s="9">
        <f ca="1">IFERROR(__xludf.DUMMYFUNCTION("""COMPUTED_VALUE"""),0.016)</f>
        <v>1.6E-2</v>
      </c>
      <c r="J31" s="9">
        <f ca="1">IFERROR(__xludf.DUMMYFUNCTION("""COMPUTED_VALUE"""),0.99)</f>
        <v>0.99</v>
      </c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</row>
    <row r="32" spans="1:28" x14ac:dyDescent="0.2">
      <c r="A32" s="9" t="str">
        <f ca="1">IFERROR(__xludf.DUMMYFUNCTION("""COMPUTED_VALUE"""),"37 - Transportation Equipment (156)")</f>
        <v>37 - Transportation Equipment (156)</v>
      </c>
      <c r="B32" s="15" t="str">
        <f t="shared" ca="1" si="0"/>
        <v>36 - Electronic And Other Electrical Equipment And Components, Except _x000D_Computer Equipment</v>
      </c>
      <c r="C32" s="9">
        <f ca="1">IFERROR(__xludf.DUMMYFUNCTION("""COMPUTED_VALUE"""),0.02)</f>
        <v>0.02</v>
      </c>
      <c r="D32" s="9">
        <f ca="1">IFERROR(__xludf.DUMMYFUNCTION("""COMPUTED_VALUE"""),0.015)</f>
        <v>1.4999999999999999E-2</v>
      </c>
      <c r="E32" s="9">
        <f ca="1">IFERROR(__xludf.DUMMYFUNCTION("""COMPUTED_VALUE"""),1.74)</f>
        <v>1.74</v>
      </c>
      <c r="F32" s="9">
        <f ca="1">IFERROR(__xludf.DUMMYFUNCTION("""COMPUTED_VALUE"""),2.56)</f>
        <v>2.56</v>
      </c>
      <c r="G32" s="9">
        <f ca="1">IFERROR(__xludf.DUMMYFUNCTION("""COMPUTED_VALUE"""),0.184)</f>
        <v>0.184</v>
      </c>
      <c r="H32" s="9">
        <f ca="1">IFERROR(__xludf.DUMMYFUNCTION("""COMPUTED_VALUE"""),0.045)</f>
        <v>4.4999999999999998E-2</v>
      </c>
      <c r="I32" s="9">
        <f ca="1">IFERROR(__xludf.DUMMYFUNCTION("""COMPUTED_VALUE"""),0.027)</f>
        <v>2.7E-2</v>
      </c>
      <c r="J32" s="9">
        <f ca="1">IFERROR(__xludf.DUMMYFUNCTION("""COMPUTED_VALUE"""),0.67)</f>
        <v>0.67</v>
      </c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</row>
    <row r="33" spans="1:28" x14ac:dyDescent="0.2">
      <c r="A33" s="9" t="str">
        <f ca="1">IFERROR(__xludf.DUMMYFUNCTION("""COMPUTED_VALUE"""),"38 - Measuring, Analyzing, And Controlling Instruments; Photographic, 
Medical And Optical Goods; Watches And Clocks (460)")</f>
        <v>38 - Measuring, Analyzing, And Controlling Instruments; Photographic, _x000D_Medical And Optical Goods; Watches And Clocks (460)</v>
      </c>
      <c r="B33" s="15" t="str">
        <f t="shared" ca="1" si="0"/>
        <v>37 - Transportation Equipment</v>
      </c>
      <c r="C33" s="9">
        <f ca="1">IFERROR(__xludf.DUMMYFUNCTION("""COMPUTED_VALUE"""),-0.007)</f>
        <v>-7.0000000000000001E-3</v>
      </c>
      <c r="D33" s="9">
        <f ca="1">IFERROR(__xludf.DUMMYFUNCTION("""COMPUTED_VALUE"""),-0.036)</f>
        <v>-3.5999999999999997E-2</v>
      </c>
      <c r="E33" s="9">
        <f ca="1">IFERROR(__xludf.DUMMYFUNCTION("""COMPUTED_VALUE"""),1.05)</f>
        <v>1.05</v>
      </c>
      <c r="F33" s="9">
        <f ca="1">IFERROR(__xludf.DUMMYFUNCTION("""COMPUTED_VALUE"""),1.88)</f>
        <v>1.88</v>
      </c>
      <c r="G33" s="9">
        <f ca="1">IFERROR(__xludf.DUMMYFUNCTION("""COMPUTED_VALUE"""),0.534)</f>
        <v>0.53400000000000003</v>
      </c>
      <c r="H33" s="9">
        <f ca="1">IFERROR(__xludf.DUMMYFUNCTION("""COMPUTED_VALUE"""),0.009)</f>
        <v>8.9999999999999993E-3</v>
      </c>
      <c r="I33" s="9">
        <f ca="1">IFERROR(__xludf.DUMMYFUNCTION("""COMPUTED_VALUE"""),0.011)</f>
        <v>1.0999999999999999E-2</v>
      </c>
      <c r="J33" s="9">
        <f ca="1">IFERROR(__xludf.DUMMYFUNCTION("""COMPUTED_VALUE"""),0.95)</f>
        <v>0.95</v>
      </c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</row>
    <row r="34" spans="1:28" x14ac:dyDescent="0.2">
      <c r="A34" s="9" t="str">
        <f ca="1">IFERROR(__xludf.DUMMYFUNCTION("""COMPUTED_VALUE"""),"39 - Miscellaneous Manufacturing Industries (70)")</f>
        <v>39 - Miscellaneous Manufacturing Industries (70)</v>
      </c>
      <c r="B34" s="15" t="str">
        <f t="shared" ca="1" si="0"/>
        <v>38 - Measuring, Analyzing, And Controlling Instruments; Photographic, _x000D_Medical And Optical Goods; Watches And Clocks</v>
      </c>
      <c r="C34" s="9">
        <f ca="1">IFERROR(__xludf.DUMMYFUNCTION("""COMPUTED_VALUE"""),-0.07)</f>
        <v>-7.0000000000000007E-2</v>
      </c>
      <c r="D34" s="9">
        <f ca="1">IFERROR(__xludf.DUMMYFUNCTION("""COMPUTED_VALUE"""),-0.156)</f>
        <v>-0.156</v>
      </c>
      <c r="E34" s="9">
        <f ca="1">IFERROR(__xludf.DUMMYFUNCTION("""COMPUTED_VALUE"""),2.03)</f>
        <v>2.0299999999999998</v>
      </c>
      <c r="F34" s="9">
        <f ca="1">IFERROR(__xludf.DUMMYFUNCTION("""COMPUTED_VALUE"""),3.05)</f>
        <v>3.05</v>
      </c>
      <c r="G34" s="9">
        <f ca="1">IFERROR(__xludf.DUMMYFUNCTION("""COMPUTED_VALUE"""),0.398)</f>
        <v>0.39800000000000002</v>
      </c>
      <c r="H34" s="9">
        <f ca="1">IFERROR(__xludf.DUMMYFUNCTION("""COMPUTED_VALUE"""),-0.064)</f>
        <v>-6.4000000000000001E-2</v>
      </c>
      <c r="I34" s="9">
        <f ca="1">IFERROR(__xludf.DUMMYFUNCTION("""COMPUTED_VALUE"""),-0.064)</f>
        <v>-6.4000000000000001E-2</v>
      </c>
      <c r="J34" s="9">
        <f ca="1">IFERROR(__xludf.DUMMYFUNCTION("""COMPUTED_VALUE"""),0.63)</f>
        <v>0.63</v>
      </c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</row>
    <row r="35" spans="1:28" x14ac:dyDescent="0.2">
      <c r="A35" s="9" t="str">
        <f ca="1">IFERROR(__xludf.DUMMYFUNCTION("""COMPUTED_VALUE"""),"40 - Railroad Transportation (13)")</f>
        <v>40 - Railroad Transportation (13)</v>
      </c>
      <c r="B35" s="15" t="str">
        <f t="shared" ca="1" si="0"/>
        <v>39 - Miscellaneous Manufacturing Industries</v>
      </c>
      <c r="C35" s="9">
        <f ca="1">IFERROR(__xludf.DUMMYFUNCTION("""COMPUTED_VALUE"""),0.013)</f>
        <v>1.2999999999999999E-2</v>
      </c>
      <c r="D35" s="9">
        <f ca="1">IFERROR(__xludf.DUMMYFUNCTION("""COMPUTED_VALUE"""),0.023)</f>
        <v>2.3E-2</v>
      </c>
      <c r="E35" s="9">
        <f ca="1">IFERROR(__xludf.DUMMYFUNCTION("""COMPUTED_VALUE"""),1.36)</f>
        <v>1.36</v>
      </c>
      <c r="F35" s="9">
        <f ca="1">IFERROR(__xludf.DUMMYFUNCTION("""COMPUTED_VALUE"""),2.06)</f>
        <v>2.06</v>
      </c>
      <c r="G35" s="9">
        <f ca="1">IFERROR(__xludf.DUMMYFUNCTION("""COMPUTED_VALUE"""),0.898)</f>
        <v>0.89800000000000002</v>
      </c>
      <c r="H35" s="9">
        <f ca="1">IFERROR(__xludf.DUMMYFUNCTION("""COMPUTED_VALUE"""),0.071)</f>
        <v>7.0999999999999994E-2</v>
      </c>
      <c r="I35" s="9">
        <f ca="1">IFERROR(__xludf.DUMMYFUNCTION("""COMPUTED_VALUE"""),0.028)</f>
        <v>2.8000000000000001E-2</v>
      </c>
      <c r="J35" s="9">
        <f ca="1">IFERROR(__xludf.DUMMYFUNCTION("""COMPUTED_VALUE"""),0.93)</f>
        <v>0.93</v>
      </c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</row>
    <row r="36" spans="1:28" x14ac:dyDescent="0.2">
      <c r="A36" s="9" t="str">
        <f ca="1">IFERROR(__xludf.DUMMYFUNCTION("""COMPUTED_VALUE"""),"42 - Motor Freight Transportation And Warehousing (31)")</f>
        <v>42 - Motor Freight Transportation And Warehousing (31)</v>
      </c>
      <c r="B36" s="15" t="str">
        <f t="shared" ca="1" si="0"/>
        <v>40 - Railroad Transportation</v>
      </c>
      <c r="C36" s="9">
        <f ca="1">IFERROR(__xludf.DUMMYFUNCTION("""COMPUTED_VALUE"""),0.06)</f>
        <v>0.06</v>
      </c>
      <c r="D36" s="9">
        <f ca="1">IFERROR(__xludf.DUMMYFUNCTION("""COMPUTED_VALUE"""),0.178)</f>
        <v>0.17799999999999999</v>
      </c>
      <c r="E36" s="9">
        <f ca="1">IFERROR(__xludf.DUMMYFUNCTION("""COMPUTED_VALUE"""),0.81)</f>
        <v>0.81</v>
      </c>
      <c r="F36" s="9">
        <f ca="1">IFERROR(__xludf.DUMMYFUNCTION("""COMPUTED_VALUE"""),1.07)</f>
        <v>1.07</v>
      </c>
      <c r="G36" s="9">
        <f ca="1">IFERROR(__xludf.DUMMYFUNCTION("""COMPUTED_VALUE"""),0.129)</f>
        <v>0.129</v>
      </c>
      <c r="H36" s="9">
        <f ca="1">IFERROR(__xludf.DUMMYFUNCTION("""COMPUTED_VALUE"""),0.37)</f>
        <v>0.37</v>
      </c>
      <c r="I36" s="9">
        <f ca="1">IFERROR(__xludf.DUMMYFUNCTION("""COMPUTED_VALUE"""),0.247)</f>
        <v>0.247</v>
      </c>
      <c r="J36" s="9">
        <f ca="1">IFERROR(__xludf.DUMMYFUNCTION("""COMPUTED_VALUE"""),2.23)</f>
        <v>2.23</v>
      </c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</row>
    <row r="37" spans="1:28" x14ac:dyDescent="0.2">
      <c r="A37" s="9" t="str">
        <f ca="1">IFERROR(__xludf.DUMMYFUNCTION("""COMPUTED_VALUE"""),"44 - Water Transportation (30)")</f>
        <v>44 - Water Transportation (30)</v>
      </c>
      <c r="B37" s="15" t="str">
        <f t="shared" ca="1" si="0"/>
        <v>42 - Motor Freight Transportation And Warehousing</v>
      </c>
      <c r="C37" s="9">
        <f ca="1">IFERROR(__xludf.DUMMYFUNCTION("""COMPUTED_VALUE"""),0.048)</f>
        <v>4.8000000000000001E-2</v>
      </c>
      <c r="D37" s="9">
        <f ca="1">IFERROR(__xludf.DUMMYFUNCTION("""COMPUTED_VALUE"""),0.107)</f>
        <v>0.107</v>
      </c>
      <c r="E37" s="9">
        <f ca="1">IFERROR(__xludf.DUMMYFUNCTION("""COMPUTED_VALUE"""),1.33)</f>
        <v>1.33</v>
      </c>
      <c r="F37" s="9">
        <f ca="1">IFERROR(__xludf.DUMMYFUNCTION("""COMPUTED_VALUE"""),1.48)</f>
        <v>1.48</v>
      </c>
      <c r="G37" s="9">
        <f ca="1">IFERROR(__xludf.DUMMYFUNCTION("""COMPUTED_VALUE"""),-0.075)</f>
        <v>-7.4999999999999997E-2</v>
      </c>
      <c r="H37" s="9">
        <f ca="1">IFERROR(__xludf.DUMMYFUNCTION("""COMPUTED_VALUE"""),0.061)</f>
        <v>6.0999999999999999E-2</v>
      </c>
      <c r="I37" s="9">
        <f ca="1">IFERROR(__xludf.DUMMYFUNCTION("""COMPUTED_VALUE"""),0.042)</f>
        <v>4.2000000000000003E-2</v>
      </c>
      <c r="J37" s="9">
        <f ca="1">IFERROR(__xludf.DUMMYFUNCTION("""COMPUTED_VALUE"""),0.87)</f>
        <v>0.87</v>
      </c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</row>
    <row r="38" spans="1:28" x14ac:dyDescent="0.2">
      <c r="A38" s="9" t="str">
        <f ca="1">IFERROR(__xludf.DUMMYFUNCTION("""COMPUTED_VALUE"""),"45 - Transportation By Air (32)")</f>
        <v>45 - Transportation By Air (32)</v>
      </c>
      <c r="B38" s="15" t="str">
        <f t="shared" ca="1" si="0"/>
        <v>44 - Water Transportation</v>
      </c>
      <c r="C38" s="9">
        <f ca="1">IFERROR(__xludf.DUMMYFUNCTION("""COMPUTED_VALUE"""),-0.078)</f>
        <v>-7.8E-2</v>
      </c>
      <c r="D38" s="9">
        <f ca="1">IFERROR(__xludf.DUMMYFUNCTION("""COMPUTED_VALUE"""),-0.179)</f>
        <v>-0.17899999999999999</v>
      </c>
      <c r="E38" s="9">
        <f ca="1">IFERROR(__xludf.DUMMYFUNCTION("""COMPUTED_VALUE"""),1.13)</f>
        <v>1.1299999999999999</v>
      </c>
      <c r="F38" s="9">
        <f ca="1">IFERROR(__xludf.DUMMYFUNCTION("""COMPUTED_VALUE"""),1.82)</f>
        <v>1.82</v>
      </c>
      <c r="G38" s="9">
        <f ca="1">IFERROR(__xludf.DUMMYFUNCTION("""COMPUTED_VALUE"""),0.276)</f>
        <v>0.27600000000000002</v>
      </c>
      <c r="H38" s="9">
        <f ca="1">IFERROR(__xludf.DUMMYFUNCTION("""COMPUTED_VALUE"""),-0.437)</f>
        <v>-0.437</v>
      </c>
      <c r="I38" s="9">
        <f ca="1">IFERROR(__xludf.DUMMYFUNCTION("""COMPUTED_VALUE"""),-0.494)</f>
        <v>-0.49399999999999999</v>
      </c>
      <c r="J38" s="9">
        <f ca="1">IFERROR(__xludf.DUMMYFUNCTION("""COMPUTED_VALUE"""),0.92)</f>
        <v>0.92</v>
      </c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</row>
    <row r="39" spans="1:28" x14ac:dyDescent="0.2">
      <c r="A39" s="9" t="str">
        <f ca="1">IFERROR(__xludf.DUMMYFUNCTION("""COMPUTED_VALUE"""),"46 - Pipelines, Except Natural Gas (26)")</f>
        <v>46 - Pipelines, Except Natural Gas (26)</v>
      </c>
      <c r="B39" s="15" t="str">
        <f t="shared" ca="1" si="0"/>
        <v>45 - Transportation By Air</v>
      </c>
      <c r="C39" s="9">
        <f ca="1">IFERROR(__xludf.DUMMYFUNCTION("""COMPUTED_VALUE"""),-0.098)</f>
        <v>-9.8000000000000004E-2</v>
      </c>
      <c r="D39" s="9">
        <f ca="1">IFERROR(__xludf.DUMMYFUNCTION("""COMPUTED_VALUE"""),-0.309)</f>
        <v>-0.309</v>
      </c>
      <c r="E39" s="9">
        <f ca="1">IFERROR(__xludf.DUMMYFUNCTION("""COMPUTED_VALUE"""),1)</f>
        <v>1</v>
      </c>
      <c r="F39" s="9">
        <f ca="1">IFERROR(__xludf.DUMMYFUNCTION("""COMPUTED_VALUE"""),1.14)</f>
        <v>1.1399999999999999</v>
      </c>
      <c r="G39" s="9">
        <f ca="1">IFERROR(__xludf.DUMMYFUNCTION("""COMPUTED_VALUE"""),0.407)</f>
        <v>0.40699999999999997</v>
      </c>
      <c r="H39" s="9">
        <f ca="1">IFERROR(__xludf.DUMMYFUNCTION("""COMPUTED_VALUE"""),-0.417)</f>
        <v>-0.41699999999999998</v>
      </c>
      <c r="I39" s="9">
        <f ca="1">IFERROR(__xludf.DUMMYFUNCTION("""COMPUTED_VALUE"""),-0.288)</f>
        <v>-0.28799999999999998</v>
      </c>
      <c r="J39" s="9">
        <f ca="1">IFERROR(__xludf.DUMMYFUNCTION("""COMPUTED_VALUE"""),2.45)</f>
        <v>2.4500000000000002</v>
      </c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</row>
    <row r="40" spans="1:28" x14ac:dyDescent="0.2">
      <c r="A40" s="9" t="str">
        <f ca="1">IFERROR(__xludf.DUMMYFUNCTION("""COMPUTED_VALUE"""),"47 - Transportation Services (41)")</f>
        <v>47 - Transportation Services (41)</v>
      </c>
      <c r="B40" s="15" t="str">
        <f t="shared" ca="1" si="0"/>
        <v>46 - Pipelines, Except Natural Gas</v>
      </c>
      <c r="C40" s="9">
        <f ca="1">IFERROR(__xludf.DUMMYFUNCTION("""COMPUTED_VALUE"""),0.051)</f>
        <v>5.0999999999999997E-2</v>
      </c>
      <c r="D40" s="9">
        <f ca="1">IFERROR(__xludf.DUMMYFUNCTION("""COMPUTED_VALUE"""),0.055)</f>
        <v>5.5E-2</v>
      </c>
      <c r="E40" s="9">
        <f ca="1">IFERROR(__xludf.DUMMYFUNCTION("""COMPUTED_VALUE"""),0.61)</f>
        <v>0.61</v>
      </c>
      <c r="F40" s="9">
        <f ca="1">IFERROR(__xludf.DUMMYFUNCTION("""COMPUTED_VALUE"""),1.04)</f>
        <v>1.04</v>
      </c>
      <c r="G40" s="9">
        <f ca="1">IFERROR(__xludf.DUMMYFUNCTION("""COMPUTED_VALUE"""),0.153)</f>
        <v>0.153</v>
      </c>
      <c r="H40" s="9">
        <f ca="1">IFERROR(__xludf.DUMMYFUNCTION("""COMPUTED_VALUE"""),0.179)</f>
        <v>0.17899999999999999</v>
      </c>
      <c r="I40" s="9">
        <f ca="1">IFERROR(__xludf.DUMMYFUNCTION("""COMPUTED_VALUE"""),0.175)</f>
        <v>0.17499999999999999</v>
      </c>
      <c r="J40" s="9">
        <f ca="1">IFERROR(__xludf.DUMMYFUNCTION("""COMPUTED_VALUE"""),1.91)</f>
        <v>1.91</v>
      </c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</row>
    <row r="41" spans="1:28" x14ac:dyDescent="0.2">
      <c r="A41" s="9" t="str">
        <f ca="1">IFERROR(__xludf.DUMMYFUNCTION("""COMPUTED_VALUE"""),"48 - Communications (225)")</f>
        <v>48 - Communications (225)</v>
      </c>
      <c r="B41" s="15" t="str">
        <f t="shared" ca="1" si="0"/>
        <v>47 - Transportation Services</v>
      </c>
      <c r="C41" s="9">
        <f ca="1">IFERROR(__xludf.DUMMYFUNCTION("""COMPUTED_VALUE"""),0.006)</f>
        <v>6.0000000000000001E-3</v>
      </c>
      <c r="D41" s="9">
        <f ca="1">IFERROR(__xludf.DUMMYFUNCTION("""COMPUTED_VALUE"""),0)</f>
        <v>0</v>
      </c>
      <c r="E41" s="9">
        <f ca="1">IFERROR(__xludf.DUMMYFUNCTION("""COMPUTED_VALUE"""),1.15)</f>
        <v>1.1499999999999999</v>
      </c>
      <c r="F41" s="9">
        <f ca="1">IFERROR(__xludf.DUMMYFUNCTION("""COMPUTED_VALUE"""),1.33)</f>
        <v>1.33</v>
      </c>
      <c r="G41" s="9">
        <f ca="1">IFERROR(__xludf.DUMMYFUNCTION("""COMPUTED_VALUE"""),0.541)</f>
        <v>0.54100000000000004</v>
      </c>
      <c r="H41" s="9">
        <f ca="1">IFERROR(__xludf.DUMMYFUNCTION("""COMPUTED_VALUE"""),0.033)</f>
        <v>3.3000000000000002E-2</v>
      </c>
      <c r="I41" s="9">
        <f ca="1">IFERROR(__xludf.DUMMYFUNCTION("""COMPUTED_VALUE"""),0.006)</f>
        <v>6.0000000000000001E-3</v>
      </c>
      <c r="J41" s="9">
        <f ca="1">IFERROR(__xludf.DUMMYFUNCTION("""COMPUTED_VALUE"""),1.17)</f>
        <v>1.17</v>
      </c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</row>
    <row r="42" spans="1:28" x14ac:dyDescent="0.2">
      <c r="A42" s="9" t="str">
        <f ca="1">IFERROR(__xludf.DUMMYFUNCTION("""COMPUTED_VALUE"""),"49 - Electric, Gas, And Sanitary Services (310)")</f>
        <v>49 - Electric, Gas, And Sanitary Services (310)</v>
      </c>
      <c r="B42" s="15" t="str">
        <f t="shared" ca="1" si="0"/>
        <v>48 - Communications</v>
      </c>
      <c r="C42" s="9">
        <f ca="1">IFERROR(__xludf.DUMMYFUNCTION("""COMPUTED_VALUE"""),0.006)</f>
        <v>6.0000000000000001E-3</v>
      </c>
      <c r="D42" s="9">
        <f ca="1">IFERROR(__xludf.DUMMYFUNCTION("""COMPUTED_VALUE"""),-0.012)</f>
        <v>-1.2E-2</v>
      </c>
      <c r="E42" s="9">
        <f ca="1">IFERROR(__xludf.DUMMYFUNCTION("""COMPUTED_VALUE"""),1.01)</f>
        <v>1.01</v>
      </c>
      <c r="F42" s="9">
        <f ca="1">IFERROR(__xludf.DUMMYFUNCTION("""COMPUTED_VALUE"""),1.25)</f>
        <v>1.25</v>
      </c>
      <c r="G42" s="9">
        <f ca="1">IFERROR(__xludf.DUMMYFUNCTION("""COMPUTED_VALUE"""),0.393)</f>
        <v>0.39300000000000002</v>
      </c>
      <c r="H42" s="9">
        <f ca="1">IFERROR(__xludf.DUMMYFUNCTION("""COMPUTED_VALUE"""),0.084)</f>
        <v>8.4000000000000005E-2</v>
      </c>
      <c r="I42" s="9">
        <f ca="1">IFERROR(__xludf.DUMMYFUNCTION("""COMPUTED_VALUE"""),0.012)</f>
        <v>1.2E-2</v>
      </c>
      <c r="J42" s="9">
        <f ca="1">IFERROR(__xludf.DUMMYFUNCTION("""COMPUTED_VALUE"""),1.28)</f>
        <v>1.28</v>
      </c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</row>
    <row r="43" spans="1:28" x14ac:dyDescent="0.2">
      <c r="A43" s="9" t="str">
        <f ca="1">IFERROR(__xludf.DUMMYFUNCTION("""COMPUTED_VALUE"""),"50 - Wholesale Trade-durable Goods (149)")</f>
        <v>50 - Wholesale Trade-durable Goods (149)</v>
      </c>
      <c r="B43" s="15" t="str">
        <f t="shared" ca="1" si="0"/>
        <v>49 - Electric, Gas, And Sanitary Services</v>
      </c>
      <c r="C43" s="9">
        <f ca="1">IFERROR(__xludf.DUMMYFUNCTION("""COMPUTED_VALUE"""),0.024)</f>
        <v>2.4E-2</v>
      </c>
      <c r="D43" s="9">
        <f ca="1">IFERROR(__xludf.DUMMYFUNCTION("""COMPUTED_VALUE"""),0.075)</f>
        <v>7.4999999999999997E-2</v>
      </c>
      <c r="E43" s="9">
        <f ca="1">IFERROR(__xludf.DUMMYFUNCTION("""COMPUTED_VALUE"""),0.49)</f>
        <v>0.49</v>
      </c>
      <c r="F43" s="9">
        <f ca="1">IFERROR(__xludf.DUMMYFUNCTION("""COMPUTED_VALUE"""),0.87)</f>
        <v>0.87</v>
      </c>
      <c r="G43" s="9">
        <f ca="1">IFERROR(__xludf.DUMMYFUNCTION("""COMPUTED_VALUE"""),0.244)</f>
        <v>0.24399999999999999</v>
      </c>
      <c r="H43" s="9">
        <f ca="1">IFERROR(__xludf.DUMMYFUNCTION("""COMPUTED_VALUE"""),0.177)</f>
        <v>0.17699999999999999</v>
      </c>
      <c r="I43" s="9">
        <f ca="1">IFERROR(__xludf.DUMMYFUNCTION("""COMPUTED_VALUE"""),0.092)</f>
        <v>9.1999999999999998E-2</v>
      </c>
      <c r="J43" s="9">
        <f ca="1">IFERROR(__xludf.DUMMYFUNCTION("""COMPUTED_VALUE"""),2.02)</f>
        <v>2.02</v>
      </c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</row>
    <row r="44" spans="1:28" x14ac:dyDescent="0.2">
      <c r="A44" s="9" t="str">
        <f ca="1">IFERROR(__xludf.DUMMYFUNCTION("""COMPUTED_VALUE"""),"51 - Wholesale Trade-non-durable Goods (123)")</f>
        <v>51 - Wholesale Trade-non-durable Goods (123)</v>
      </c>
      <c r="B44" s="15" t="str">
        <f t="shared" ca="1" si="0"/>
        <v>50 - Wholesale Trade-durable Goods</v>
      </c>
      <c r="C44" s="9">
        <f ca="1">IFERROR(__xludf.DUMMYFUNCTION("""COMPUTED_VALUE"""),0.001)</f>
        <v>1E-3</v>
      </c>
      <c r="D44" s="9">
        <f ca="1">IFERROR(__xludf.DUMMYFUNCTION("""COMPUTED_VALUE"""),-0.012)</f>
        <v>-1.2E-2</v>
      </c>
      <c r="E44" s="9">
        <f ca="1">IFERROR(__xludf.DUMMYFUNCTION("""COMPUTED_VALUE"""),0.99)</f>
        <v>0.99</v>
      </c>
      <c r="F44" s="9">
        <f ca="1">IFERROR(__xludf.DUMMYFUNCTION("""COMPUTED_VALUE"""),1.95)</f>
        <v>1.95</v>
      </c>
      <c r="G44" s="9">
        <f ca="1">IFERROR(__xludf.DUMMYFUNCTION("""COMPUTED_VALUE"""),0.181)</f>
        <v>0.18099999999999999</v>
      </c>
      <c r="H44" s="9">
        <f ca="1">IFERROR(__xludf.DUMMYFUNCTION("""COMPUTED_VALUE"""),0.015)</f>
        <v>1.4999999999999999E-2</v>
      </c>
      <c r="I44" s="9">
        <f ca="1">IFERROR(__xludf.DUMMYFUNCTION("""COMPUTED_VALUE"""),0.005)</f>
        <v>5.0000000000000001E-3</v>
      </c>
      <c r="J44" s="9">
        <f ca="1">IFERROR(__xludf.DUMMYFUNCTION("""COMPUTED_VALUE"""),1.12)</f>
        <v>1.1200000000000001</v>
      </c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</row>
    <row r="45" spans="1:28" x14ac:dyDescent="0.2">
      <c r="A45" s="9" t="str">
        <f ca="1">IFERROR(__xludf.DUMMYFUNCTION("""COMPUTED_VALUE"""),"52 - Building Materials, Hardware, Garden Supply, And Mobile Home Dealers 
(20)")</f>
        <v>52 - Building Materials, Hardware, Garden Supply, And Mobile Home Dealers _x000D_(20)</v>
      </c>
      <c r="B45" s="15" t="str">
        <f t="shared" ca="1" si="0"/>
        <v>51 - Wholesale Trade-non-durable Goods</v>
      </c>
      <c r="C45" s="9">
        <f ca="1">IFERROR(__xludf.DUMMYFUNCTION("""COMPUTED_VALUE"""),0.003)</f>
        <v>3.0000000000000001E-3</v>
      </c>
      <c r="D45" s="9">
        <f ca="1">IFERROR(__xludf.DUMMYFUNCTION("""COMPUTED_VALUE"""),-0.043)</f>
        <v>-4.2999999999999997E-2</v>
      </c>
      <c r="E45" s="9">
        <f ca="1">IFERROR(__xludf.DUMMYFUNCTION("""COMPUTED_VALUE"""),0.84)</f>
        <v>0.84</v>
      </c>
      <c r="F45" s="9">
        <f ca="1">IFERROR(__xludf.DUMMYFUNCTION("""COMPUTED_VALUE"""),1.65)</f>
        <v>1.65</v>
      </c>
      <c r="G45" s="9">
        <f ca="1">IFERROR(__xludf.DUMMYFUNCTION("""COMPUTED_VALUE"""),0.354)</f>
        <v>0.35399999999999998</v>
      </c>
      <c r="H45" s="9">
        <f ca="1">IFERROR(__xludf.DUMMYFUNCTION("""COMPUTED_VALUE"""),0.002)</f>
        <v>2E-3</v>
      </c>
      <c r="I45" s="9">
        <f ca="1">IFERROR(__xludf.DUMMYFUNCTION("""COMPUTED_VALUE"""),0.005)</f>
        <v>5.0000000000000001E-3</v>
      </c>
      <c r="J45" s="9">
        <f ca="1">IFERROR(__xludf.DUMMYFUNCTION("""COMPUTED_VALUE"""),1.3)</f>
        <v>1.3</v>
      </c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</row>
    <row r="46" spans="1:28" x14ac:dyDescent="0.2">
      <c r="A46" s="9" t="str">
        <f ca="1">IFERROR(__xludf.DUMMYFUNCTION("""COMPUTED_VALUE"""),"53 - General Merchandise Stores (30)")</f>
        <v>53 - General Merchandise Stores (30)</v>
      </c>
      <c r="B46" s="15" t="str">
        <f t="shared" ca="1" si="0"/>
        <v>52 - Building Materials, Hardware, Garden Supply, And Mobile Home Dealers _x000D_</v>
      </c>
      <c r="C46" s="9">
        <f ca="1">IFERROR(__xludf.DUMMYFUNCTION("""COMPUTED_VALUE"""),0.121)</f>
        <v>0.121</v>
      </c>
      <c r="D46" s="9">
        <f ca="1">IFERROR(__xludf.DUMMYFUNCTION("""COMPUTED_VALUE"""),0.317)</f>
        <v>0.317</v>
      </c>
      <c r="E46" s="9">
        <f ca="1">IFERROR(__xludf.DUMMYFUNCTION("""COMPUTED_VALUE"""),1.28)</f>
        <v>1.28</v>
      </c>
      <c r="F46" s="9">
        <f ca="1">IFERROR(__xludf.DUMMYFUNCTION("""COMPUTED_VALUE"""),1.81)</f>
        <v>1.81</v>
      </c>
      <c r="G46" s="9">
        <f ca="1">IFERROR(__xludf.DUMMYFUNCTION("""COMPUTED_VALUE"""),0.305)</f>
        <v>0.30499999999999999</v>
      </c>
      <c r="H46" s="9">
        <f ca="1">IFERROR(__xludf.DUMMYFUNCTION("""COMPUTED_VALUE"""),0.108)</f>
        <v>0.108</v>
      </c>
      <c r="I46" s="9">
        <f ca="1">IFERROR(__xludf.DUMMYFUNCTION("""COMPUTED_VALUE"""),0.071)</f>
        <v>7.0999999999999994E-2</v>
      </c>
      <c r="J46" s="9">
        <f ca="1">IFERROR(__xludf.DUMMYFUNCTION("""COMPUTED_VALUE"""),1.93)</f>
        <v>1.93</v>
      </c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</row>
    <row r="47" spans="1:28" x14ac:dyDescent="0.2">
      <c r="A47" s="9" t="str">
        <f ca="1">IFERROR(__xludf.DUMMYFUNCTION("""COMPUTED_VALUE"""),"54 - Food Stores (32)")</f>
        <v>54 - Food Stores (32)</v>
      </c>
      <c r="B47" s="15" t="str">
        <f t="shared" ca="1" si="0"/>
        <v>53 - General Merchandise Stores</v>
      </c>
      <c r="C47" s="9">
        <f ca="1">IFERROR(__xludf.DUMMYFUNCTION("""COMPUTED_VALUE"""),0.058)</f>
        <v>5.8000000000000003E-2</v>
      </c>
      <c r="D47" s="9">
        <f ca="1">IFERROR(__xludf.DUMMYFUNCTION("""COMPUTED_VALUE"""),0.159)</f>
        <v>0.159</v>
      </c>
      <c r="E47" s="9">
        <f ca="1">IFERROR(__xludf.DUMMYFUNCTION("""COMPUTED_VALUE"""),0.48)</f>
        <v>0.48</v>
      </c>
      <c r="F47" s="9">
        <f ca="1">IFERROR(__xludf.DUMMYFUNCTION("""COMPUTED_VALUE"""),1.35)</f>
        <v>1.35</v>
      </c>
      <c r="G47" s="9">
        <f ca="1">IFERROR(__xludf.DUMMYFUNCTION("""COMPUTED_VALUE"""),0.281)</f>
        <v>0.28100000000000003</v>
      </c>
      <c r="H47" s="9">
        <f ca="1">IFERROR(__xludf.DUMMYFUNCTION("""COMPUTED_VALUE"""),0.04)</f>
        <v>0.04</v>
      </c>
      <c r="I47" s="9">
        <f ca="1">IFERROR(__xludf.DUMMYFUNCTION("""COMPUTED_VALUE"""),0.025)</f>
        <v>2.5000000000000001E-2</v>
      </c>
      <c r="J47" s="9">
        <f ca="1">IFERROR(__xludf.DUMMYFUNCTION("""COMPUTED_VALUE"""),2.16)</f>
        <v>2.16</v>
      </c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</row>
    <row r="48" spans="1:28" x14ac:dyDescent="0.2">
      <c r="A48" s="9" t="str">
        <f ca="1">IFERROR(__xludf.DUMMYFUNCTION("""COMPUTED_VALUE"""),"55 - Automotive Dealers And Gasoline Service Stations (38)")</f>
        <v>55 - Automotive Dealers And Gasoline Service Stations (38)</v>
      </c>
      <c r="B48" s="15" t="str">
        <f t="shared" ca="1" si="0"/>
        <v>54 - Food Stores</v>
      </c>
      <c r="C48" s="9">
        <f ca="1">IFERROR(__xludf.DUMMYFUNCTION("""COMPUTED_VALUE"""),0.041)</f>
        <v>4.1000000000000002E-2</v>
      </c>
      <c r="D48" s="9">
        <f ca="1">IFERROR(__xludf.DUMMYFUNCTION("""COMPUTED_VALUE"""),0.128)</f>
        <v>0.128</v>
      </c>
      <c r="E48" s="9">
        <f ca="1">IFERROR(__xludf.DUMMYFUNCTION("""COMPUTED_VALUE"""),0.37)</f>
        <v>0.37</v>
      </c>
      <c r="F48" s="9">
        <f ca="1">IFERROR(__xludf.DUMMYFUNCTION("""COMPUTED_VALUE"""),1.1)</f>
        <v>1.1000000000000001</v>
      </c>
      <c r="G48" s="9">
        <f ca="1">IFERROR(__xludf.DUMMYFUNCTION("""COMPUTED_VALUE"""),0.185)</f>
        <v>0.185</v>
      </c>
      <c r="H48" s="9">
        <f ca="1">IFERROR(__xludf.DUMMYFUNCTION("""COMPUTED_VALUE"""),0.03)</f>
        <v>0.03</v>
      </c>
      <c r="I48" s="9">
        <f ca="1">IFERROR(__xludf.DUMMYFUNCTION("""COMPUTED_VALUE"""),0.026)</f>
        <v>2.5999999999999999E-2</v>
      </c>
      <c r="J48" s="9">
        <f ca="1">IFERROR(__xludf.DUMMYFUNCTION("""COMPUTED_VALUE"""),1.67)</f>
        <v>1.67</v>
      </c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</row>
    <row r="49" spans="1:28" x14ac:dyDescent="0.2">
      <c r="A49" s="9" t="str">
        <f ca="1">IFERROR(__xludf.DUMMYFUNCTION("""COMPUTED_VALUE"""),"56 - Apparel And Accessory Stores (55)")</f>
        <v>56 - Apparel And Accessory Stores (55)</v>
      </c>
      <c r="B49" s="15" t="str">
        <f t="shared" ca="1" si="0"/>
        <v>55 - Automotive Dealers And Gasoline Service Stations</v>
      </c>
      <c r="C49" s="9">
        <f ca="1">IFERROR(__xludf.DUMMYFUNCTION("""COMPUTED_VALUE"""),0.041)</f>
        <v>4.1000000000000002E-2</v>
      </c>
      <c r="D49" s="9">
        <f ca="1">IFERROR(__xludf.DUMMYFUNCTION("""COMPUTED_VALUE"""),0.129)</f>
        <v>0.129</v>
      </c>
      <c r="E49" s="9">
        <f ca="1">IFERROR(__xludf.DUMMYFUNCTION("""COMPUTED_VALUE"""),0.48)</f>
        <v>0.48</v>
      </c>
      <c r="F49" s="9">
        <f ca="1">IFERROR(__xludf.DUMMYFUNCTION("""COMPUTED_VALUE"""),1.33)</f>
        <v>1.33</v>
      </c>
      <c r="G49" s="9">
        <f ca="1">IFERROR(__xludf.DUMMYFUNCTION("""COMPUTED_VALUE"""),0.315)</f>
        <v>0.315</v>
      </c>
      <c r="H49" s="9">
        <f ca="1">IFERROR(__xludf.DUMMYFUNCTION("""COMPUTED_VALUE"""),0.052)</f>
        <v>5.1999999999999998E-2</v>
      </c>
      <c r="I49" s="9">
        <f ca="1">IFERROR(__xludf.DUMMYFUNCTION("""COMPUTED_VALUE"""),0.034)</f>
        <v>3.4000000000000002E-2</v>
      </c>
      <c r="J49" s="9">
        <f ca="1">IFERROR(__xludf.DUMMYFUNCTION("""COMPUTED_VALUE"""),2.16)</f>
        <v>2.16</v>
      </c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</row>
    <row r="50" spans="1:28" x14ac:dyDescent="0.2">
      <c r="A50" s="9" t="str">
        <f ca="1">IFERROR(__xludf.DUMMYFUNCTION("""COMPUTED_VALUE"""),"57 - Home Furniture, Furnishings, And Equipment Stores (32)")</f>
        <v>57 - Home Furniture, Furnishings, And Equipment Stores (32)</v>
      </c>
      <c r="B50" s="15" t="str">
        <f t="shared" ca="1" si="0"/>
        <v>56 - Apparel And Accessory Stores</v>
      </c>
      <c r="C50" s="9">
        <f ca="1">IFERROR(__xludf.DUMMYFUNCTION("""COMPUTED_VALUE"""),-0.021)</f>
        <v>-2.1000000000000001E-2</v>
      </c>
      <c r="D50" s="9">
        <f ca="1">IFERROR(__xludf.DUMMYFUNCTION("""COMPUTED_VALUE"""),-0.101)</f>
        <v>-0.10100000000000001</v>
      </c>
      <c r="E50" s="9">
        <f ca="1">IFERROR(__xludf.DUMMYFUNCTION("""COMPUTED_VALUE"""),0.61)</f>
        <v>0.61</v>
      </c>
      <c r="F50" s="9">
        <f ca="1">IFERROR(__xludf.DUMMYFUNCTION("""COMPUTED_VALUE"""),1.61)</f>
        <v>1.61</v>
      </c>
      <c r="G50" s="9">
        <f ca="1">IFERROR(__xludf.DUMMYFUNCTION("""COMPUTED_VALUE"""),0.373)</f>
        <v>0.373</v>
      </c>
      <c r="H50" s="9">
        <f ca="1">IFERROR(__xludf.DUMMYFUNCTION("""COMPUTED_VALUE"""),0.012)</f>
        <v>1.2E-2</v>
      </c>
      <c r="I50" s="9">
        <f ca="1">IFERROR(__xludf.DUMMYFUNCTION("""COMPUTED_VALUE"""),-0.032)</f>
        <v>-3.2000000000000001E-2</v>
      </c>
      <c r="J50" s="9">
        <f ca="1">IFERROR(__xludf.DUMMYFUNCTION("""COMPUTED_VALUE"""),1.83)</f>
        <v>1.83</v>
      </c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</row>
    <row r="51" spans="1:28" x14ac:dyDescent="0.2">
      <c r="A51" s="9" t="str">
        <f ca="1">IFERROR(__xludf.DUMMYFUNCTION("""COMPUTED_VALUE"""),"58 - Eating And Drinking Places (109)")</f>
        <v>58 - Eating And Drinking Places (109)</v>
      </c>
      <c r="B51" s="15" t="str">
        <f t="shared" ca="1" si="0"/>
        <v>57 - Home Furniture, Furnishings, And Equipment Stores</v>
      </c>
      <c r="C51" s="9">
        <f ca="1">IFERROR(__xludf.DUMMYFUNCTION("""COMPUTED_VALUE"""),0.016)</f>
        <v>1.6E-2</v>
      </c>
      <c r="D51" s="9">
        <f ca="1">IFERROR(__xludf.DUMMYFUNCTION("""COMPUTED_VALUE"""),0.02)</f>
        <v>0.02</v>
      </c>
      <c r="E51" s="9">
        <f ca="1">IFERROR(__xludf.DUMMYFUNCTION("""COMPUTED_VALUE"""),0.37)</f>
        <v>0.37</v>
      </c>
      <c r="F51" s="9">
        <f ca="1">IFERROR(__xludf.DUMMYFUNCTION("""COMPUTED_VALUE"""),1.26)</f>
        <v>1.26</v>
      </c>
      <c r="G51" s="9">
        <f ca="1">IFERROR(__xludf.DUMMYFUNCTION("""COMPUTED_VALUE"""),0.405)</f>
        <v>0.40500000000000003</v>
      </c>
      <c r="H51" s="9">
        <f ca="1">IFERROR(__xludf.DUMMYFUNCTION("""COMPUTED_VALUE"""),0.021)</f>
        <v>2.1000000000000001E-2</v>
      </c>
      <c r="I51" s="9">
        <f ca="1">IFERROR(__xludf.DUMMYFUNCTION("""COMPUTED_VALUE"""),0.008)</f>
        <v>8.0000000000000002E-3</v>
      </c>
      <c r="J51" s="9">
        <f ca="1">IFERROR(__xludf.DUMMYFUNCTION("""COMPUTED_VALUE"""),2.44)</f>
        <v>2.44</v>
      </c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</row>
    <row r="52" spans="1:28" x14ac:dyDescent="0.2">
      <c r="A52" s="9" t="str">
        <f ca="1">IFERROR(__xludf.DUMMYFUNCTION("""COMPUTED_VALUE"""),"59 - Miscellaneous Retail (186)")</f>
        <v>59 - Miscellaneous Retail (186)</v>
      </c>
      <c r="B52" s="15" t="str">
        <f t="shared" ca="1" si="0"/>
        <v>58 - Eating And Drinking Places</v>
      </c>
      <c r="C52" s="9">
        <f ca="1">IFERROR(__xludf.DUMMYFUNCTION("""COMPUTED_VALUE"""),-0.016)</f>
        <v>-1.6E-2</v>
      </c>
      <c r="D52" s="9">
        <f ca="1">IFERROR(__xludf.DUMMYFUNCTION("""COMPUTED_VALUE"""),-0.348)</f>
        <v>-0.34799999999999998</v>
      </c>
      <c r="E52" s="9">
        <f ca="1">IFERROR(__xludf.DUMMYFUNCTION("""COMPUTED_VALUE"""),0.75)</f>
        <v>0.75</v>
      </c>
      <c r="F52" s="9">
        <f ca="1">IFERROR(__xludf.DUMMYFUNCTION("""COMPUTED_VALUE"""),1.01)</f>
        <v>1.01</v>
      </c>
      <c r="G52" s="9">
        <f ca="1">IFERROR(__xludf.DUMMYFUNCTION("""COMPUTED_VALUE"""),0.318)</f>
        <v>0.318</v>
      </c>
      <c r="H52" s="9">
        <f ca="1">IFERROR(__xludf.DUMMYFUNCTION("""COMPUTED_VALUE"""),-0.024)</f>
        <v>-2.4E-2</v>
      </c>
      <c r="I52" s="9">
        <f ca="1">IFERROR(__xludf.DUMMYFUNCTION("""COMPUTED_VALUE"""),-0.019)</f>
        <v>-1.9E-2</v>
      </c>
      <c r="J52" s="9">
        <f ca="1">IFERROR(__xludf.DUMMYFUNCTION("""COMPUTED_VALUE"""),1.55)</f>
        <v>1.55</v>
      </c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</row>
    <row r="53" spans="1:28" x14ac:dyDescent="0.2">
      <c r="A53" s="9" t="str">
        <f ca="1">IFERROR(__xludf.DUMMYFUNCTION("""COMPUTED_VALUE"""),"60 - Depository Institutions (724)")</f>
        <v>60 - Depository Institutions (724)</v>
      </c>
      <c r="B53" s="15" t="str">
        <f t="shared" ca="1" si="0"/>
        <v>59 - Miscellaneous Retail</v>
      </c>
      <c r="C53" s="9">
        <f ca="1">IFERROR(__xludf.DUMMYFUNCTION("""COMPUTED_VALUE"""),0.01)</f>
        <v>0.01</v>
      </c>
      <c r="D53" s="9">
        <f ca="1">IFERROR(__xludf.DUMMYFUNCTION("""COMPUTED_VALUE"""),-0.1)</f>
        <v>-0.1</v>
      </c>
      <c r="E53" s="9">
        <f ca="1">IFERROR(__xludf.DUMMYFUNCTION("""COMPUTED_VALUE"""),0.69)</f>
        <v>0.69</v>
      </c>
      <c r="F53" s="9">
        <f ca="1">IFERROR(__xludf.DUMMYFUNCTION("""COMPUTED_VALUE"""),1.34)</f>
        <v>1.34</v>
      </c>
      <c r="G53" s="9">
        <f ca="1">IFERROR(__xludf.DUMMYFUNCTION("""COMPUTED_VALUE"""),0.901)</f>
        <v>0.90100000000000002</v>
      </c>
      <c r="H53" s="9">
        <f ca="1">IFERROR(__xludf.DUMMYFUNCTION("""COMPUTED_VALUE"""),0.015)</f>
        <v>1.4999999999999999E-2</v>
      </c>
      <c r="I53" s="9">
        <f ca="1">IFERROR(__xludf.DUMMYFUNCTION("""COMPUTED_VALUE"""),0.013)</f>
        <v>1.2999999999999999E-2</v>
      </c>
      <c r="J53" s="9">
        <f ca="1">IFERROR(__xludf.DUMMYFUNCTION("""COMPUTED_VALUE"""),1.1)</f>
        <v>1.1000000000000001</v>
      </c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</row>
    <row r="54" spans="1:28" x14ac:dyDescent="0.2">
      <c r="A54" s="9" t="str">
        <f ca="1">IFERROR(__xludf.DUMMYFUNCTION("""COMPUTED_VALUE"""),"61 - Non-depository Credit Institutions (125)")</f>
        <v>61 - Non-depository Credit Institutions (125)</v>
      </c>
      <c r="B54" s="15" t="str">
        <f t="shared" ca="1" si="0"/>
        <v>60 - Depository Institutions</v>
      </c>
      <c r="C54" s="9">
        <f ca="1">IFERROR(__xludf.DUMMYFUNCTION("""COMPUTED_VALUE"""),0.009)</f>
        <v>8.9999999999999993E-3</v>
      </c>
      <c r="D54" s="9">
        <f ca="1">IFERROR(__xludf.DUMMYFUNCTION("""COMPUTED_VALUE"""),0.083)</f>
        <v>8.3000000000000004E-2</v>
      </c>
      <c r="E54" s="9">
        <f ca="1">IFERROR(__xludf.DUMMYFUNCTION("""COMPUTED_VALUE"""),11.99)</f>
        <v>11.99</v>
      </c>
      <c r="F54" s="9">
        <f ca="1">IFERROR(__xludf.DUMMYFUNCTION("""COMPUTED_VALUE"""),5.05)</f>
        <v>5.05</v>
      </c>
      <c r="G54" s="9">
        <f ca="1">IFERROR(__xludf.DUMMYFUNCTION("""COMPUTED_VALUE"""),0.76)</f>
        <v>0.76</v>
      </c>
      <c r="H54" s="9">
        <f ca="1">IFERROR(__xludf.DUMMYFUNCTION("""COMPUTED_VALUE"""),0.459)</f>
        <v>0.45900000000000002</v>
      </c>
      <c r="I54" s="9">
        <f ca="1">IFERROR(__xludf.DUMMYFUNCTION("""COMPUTED_VALUE"""),0.244)</f>
        <v>0.24399999999999999</v>
      </c>
      <c r="J54" s="9">
        <f ca="1">IFERROR(__xludf.DUMMYFUNCTION("""COMPUTED_VALUE"""),8.46)</f>
        <v>8.4600000000000009</v>
      </c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</row>
    <row r="55" spans="1:28" x14ac:dyDescent="0.2">
      <c r="A55" s="9" t="str">
        <f ca="1">IFERROR(__xludf.DUMMYFUNCTION("""COMPUTED_VALUE"""),"62 - Security And Commodity Brokers, Dealers, Exchanges, And Services 
(255)")</f>
        <v>62 - Security And Commodity Brokers, Dealers, Exchanges, And Services _x000D_(255)</v>
      </c>
      <c r="B55" s="15" t="str">
        <f t="shared" ca="1" si="0"/>
        <v>61 - Non-depository Credit Institutions</v>
      </c>
      <c r="C55" s="9">
        <f ca="1">IFERROR(__xludf.DUMMYFUNCTION("""COMPUTED_VALUE"""),0.01)</f>
        <v>0.01</v>
      </c>
      <c r="D55" s="9">
        <f ca="1">IFERROR(__xludf.DUMMYFUNCTION("""COMPUTED_VALUE"""),0.077)</f>
        <v>7.6999999999999999E-2</v>
      </c>
      <c r="E55" s="9">
        <f ca="1">IFERROR(__xludf.DUMMYFUNCTION("""COMPUTED_VALUE"""),1.56)</f>
        <v>1.56</v>
      </c>
      <c r="F55" s="9">
        <f ca="1">IFERROR(__xludf.DUMMYFUNCTION("""COMPUTED_VALUE"""),0.7)</f>
        <v>0.7</v>
      </c>
      <c r="G55" s="9">
        <f ca="1">IFERROR(__xludf.DUMMYFUNCTION("""COMPUTED_VALUE"""),0.518)</f>
        <v>0.51800000000000002</v>
      </c>
      <c r="H55" s="9">
        <f ca="1">IFERROR(__xludf.DUMMYFUNCTION("""COMPUTED_VALUE"""),0.414)</f>
        <v>0.41399999999999998</v>
      </c>
      <c r="I55" s="9">
        <f ca="1">IFERROR(__xludf.DUMMYFUNCTION("""COMPUTED_VALUE"""),0.144)</f>
        <v>0.14399999999999999</v>
      </c>
      <c r="J55" s="9">
        <f ca="1">IFERROR(__xludf.DUMMYFUNCTION("""COMPUTED_VALUE"""),7.4)</f>
        <v>7.4</v>
      </c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</row>
    <row r="56" spans="1:28" x14ac:dyDescent="0.2">
      <c r="A56" s="9" t="str">
        <f ca="1">IFERROR(__xludf.DUMMYFUNCTION("""COMPUTED_VALUE"""),"63 - Insurance Carriers (186)")</f>
        <v>63 - Insurance Carriers (186)</v>
      </c>
      <c r="B56" s="15" t="str">
        <f t="shared" ca="1" si="0"/>
        <v>62 - Security And Commodity Brokers, Dealers, Exchanges, And Services _x000D_</v>
      </c>
      <c r="C56" s="9">
        <f ca="1">IFERROR(__xludf.DUMMYFUNCTION("""COMPUTED_VALUE"""),0.028)</f>
        <v>2.8000000000000001E-2</v>
      </c>
      <c r="D56" s="9">
        <f ca="1">IFERROR(__xludf.DUMMYFUNCTION("""COMPUTED_VALUE"""),0.092)</f>
        <v>9.1999999999999998E-2</v>
      </c>
      <c r="E56" s="9">
        <f ca="1">IFERROR(__xludf.DUMMYFUNCTION("""COMPUTED_VALUE"""),1.58)</f>
        <v>1.58</v>
      </c>
      <c r="F56" s="9">
        <f ca="1">IFERROR(__xludf.DUMMYFUNCTION("""COMPUTED_VALUE"""),2.53)</f>
        <v>2.5299999999999998</v>
      </c>
      <c r="G56" s="9">
        <f ca="1">IFERROR(__xludf.DUMMYFUNCTION("""COMPUTED_VALUE"""),0.359)</f>
        <v>0.35899999999999999</v>
      </c>
      <c r="H56" s="9">
        <f ca="1">IFERROR(__xludf.DUMMYFUNCTION("""COMPUTED_VALUE"""),0.211)</f>
        <v>0.21099999999999999</v>
      </c>
      <c r="I56" s="9">
        <f ca="1">IFERROR(__xludf.DUMMYFUNCTION("""COMPUTED_VALUE"""),0.176)</f>
        <v>0.17599999999999999</v>
      </c>
      <c r="J56" s="9">
        <f ca="1">IFERROR(__xludf.DUMMYFUNCTION("""COMPUTED_VALUE"""),0.59)</f>
        <v>0.59</v>
      </c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</row>
    <row r="57" spans="1:28" x14ac:dyDescent="0.2">
      <c r="A57" s="9" t="str">
        <f ca="1">IFERROR(__xludf.DUMMYFUNCTION("""COMPUTED_VALUE"""),"64 - Insurance Agents, Brokers, And Service (23)")</f>
        <v>64 - Insurance Agents, Brokers, And Service (23)</v>
      </c>
      <c r="B57" s="15" t="str">
        <f t="shared" ca="1" si="0"/>
        <v>63 - Insurance Carriers</v>
      </c>
      <c r="C57" s="9">
        <f ca="1">IFERROR(__xludf.DUMMYFUNCTION("""COMPUTED_VALUE"""),0.01)</f>
        <v>0.01</v>
      </c>
      <c r="D57" s="9">
        <f ca="1">IFERROR(__xludf.DUMMYFUNCTION("""COMPUTED_VALUE"""),0.063)</f>
        <v>6.3E-2</v>
      </c>
      <c r="E57" s="9">
        <f ca="1">IFERROR(__xludf.DUMMYFUNCTION("""COMPUTED_VALUE"""),26.41)</f>
        <v>26.41</v>
      </c>
      <c r="F57" s="9">
        <f ca="1">IFERROR(__xludf.DUMMYFUNCTION("""COMPUTED_VALUE"""),16.92)</f>
        <v>16.920000000000002</v>
      </c>
      <c r="G57" s="9">
        <f ca="1">IFERROR(__xludf.DUMMYFUNCTION("""COMPUTED_VALUE"""),0.294)</f>
        <v>0.29399999999999998</v>
      </c>
      <c r="H57" s="9">
        <f ca="1">IFERROR(__xludf.DUMMYFUNCTION("""COMPUTED_VALUE"""),0.097)</f>
        <v>9.7000000000000003E-2</v>
      </c>
      <c r="I57" s="9">
        <f ca="1">IFERROR(__xludf.DUMMYFUNCTION("""COMPUTED_VALUE"""),0.063)</f>
        <v>6.3E-2</v>
      </c>
      <c r="J57" s="9">
        <f ca="1">IFERROR(__xludf.DUMMYFUNCTION("""COMPUTED_VALUE"""),2.99)</f>
        <v>2.99</v>
      </c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</row>
    <row r="58" spans="1:28" x14ac:dyDescent="0.2">
      <c r="A58" s="9" t="str">
        <f ca="1">IFERROR(__xludf.DUMMYFUNCTION("""COMPUTED_VALUE"""),"65 - Real Estate (247)")</f>
        <v>65 - Real Estate (247)</v>
      </c>
      <c r="B58" s="15" t="str">
        <f t="shared" ca="1" si="0"/>
        <v>64 - Insurance Agents, Brokers, And Service</v>
      </c>
      <c r="C58" s="9">
        <f ca="1">IFERROR(__xludf.DUMMYFUNCTION("""COMPUTED_VALUE"""),0.039)</f>
        <v>3.9E-2</v>
      </c>
      <c r="D58" s="9">
        <f ca="1">IFERROR(__xludf.DUMMYFUNCTION("""COMPUTED_VALUE"""),0.093)</f>
        <v>9.2999999999999999E-2</v>
      </c>
      <c r="E58" s="9">
        <f ca="1">IFERROR(__xludf.DUMMYFUNCTION("""COMPUTED_VALUE"""),0.76)</f>
        <v>0.76</v>
      </c>
      <c r="F58" s="9">
        <f ca="1">IFERROR(__xludf.DUMMYFUNCTION("""COMPUTED_VALUE"""),1.24)</f>
        <v>1.24</v>
      </c>
      <c r="G58" s="9">
        <f ca="1">IFERROR(__xludf.DUMMYFUNCTION("""COMPUTED_VALUE"""),0.375)</f>
        <v>0.375</v>
      </c>
      <c r="H58" s="9">
        <f ca="1">IFERROR(__xludf.DUMMYFUNCTION("""COMPUTED_VALUE"""),0.149)</f>
        <v>0.14899999999999999</v>
      </c>
      <c r="I58" s="9">
        <f ca="1">IFERROR(__xludf.DUMMYFUNCTION("""COMPUTED_VALUE"""),0.079)</f>
        <v>7.9000000000000001E-2</v>
      </c>
      <c r="J58" s="9">
        <f ca="1">IFERROR(__xludf.DUMMYFUNCTION("""COMPUTED_VALUE"""),1.39)</f>
        <v>1.39</v>
      </c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</row>
    <row r="59" spans="1:28" x14ac:dyDescent="0.2">
      <c r="A59" s="9" t="str">
        <f ca="1">IFERROR(__xludf.DUMMYFUNCTION("""COMPUTED_VALUE"""),"67 - Holding And Other Investment Offices (849)")</f>
        <v>67 - Holding And Other Investment Offices (849)</v>
      </c>
      <c r="B59" s="15" t="str">
        <f t="shared" ca="1" si="0"/>
        <v>65 - Real Estate</v>
      </c>
      <c r="C59" s="9">
        <f ca="1">IFERROR(__xludf.DUMMYFUNCTION("""COMPUTED_VALUE"""),0.007)</f>
        <v>7.0000000000000001E-3</v>
      </c>
      <c r="D59" s="9">
        <f ca="1">IFERROR(__xludf.DUMMYFUNCTION("""COMPUTED_VALUE"""),0.003)</f>
        <v>3.0000000000000001E-3</v>
      </c>
      <c r="E59" s="9">
        <f ca="1">IFERROR(__xludf.DUMMYFUNCTION("""COMPUTED_VALUE"""),1.62)</f>
        <v>1.62</v>
      </c>
      <c r="F59" s="9">
        <f ca="1">IFERROR(__xludf.DUMMYFUNCTION("""COMPUTED_VALUE"""),1.87)</f>
        <v>1.87</v>
      </c>
      <c r="G59" s="9">
        <f ca="1">IFERROR(__xludf.DUMMYFUNCTION("""COMPUTED_VALUE"""),0.535)</f>
        <v>0.53500000000000003</v>
      </c>
      <c r="H59" s="9">
        <f ca="1">IFERROR(__xludf.DUMMYFUNCTION("""COMPUTED_VALUE"""),0.124)</f>
        <v>0.124</v>
      </c>
      <c r="I59" s="9">
        <f ca="1">IFERROR(__xludf.DUMMYFUNCTION("""COMPUTED_VALUE"""),0.042)</f>
        <v>4.2000000000000003E-2</v>
      </c>
      <c r="J59" s="9">
        <f ca="1">IFERROR(__xludf.DUMMYFUNCTION("""COMPUTED_VALUE"""),0.86)</f>
        <v>0.86</v>
      </c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</row>
    <row r="60" spans="1:28" x14ac:dyDescent="0.2">
      <c r="A60" s="9" t="str">
        <f ca="1">IFERROR(__xludf.DUMMYFUNCTION("""COMPUTED_VALUE"""),"70 - Hotels, Rooming Houses, Camps, And Other Lodging Places (69)")</f>
        <v>70 - Hotels, Rooming Houses, Camps, And Other Lodging Places (69)</v>
      </c>
      <c r="B60" s="15" t="str">
        <f t="shared" ca="1" si="0"/>
        <v>67 - Holding And Other Investment Offices</v>
      </c>
      <c r="C60" s="9">
        <f ca="1">IFERROR(__xludf.DUMMYFUNCTION("""COMPUTED_VALUE"""),0.001)</f>
        <v>1E-3</v>
      </c>
      <c r="D60" s="9">
        <f ca="1">IFERROR(__xludf.DUMMYFUNCTION("""COMPUTED_VALUE"""),-0.001)</f>
        <v>-1E-3</v>
      </c>
      <c r="E60" s="9">
        <f ca="1">IFERROR(__xludf.DUMMYFUNCTION("""COMPUTED_VALUE"""),1.22)</f>
        <v>1.22</v>
      </c>
      <c r="F60" s="9">
        <f ca="1">IFERROR(__xludf.DUMMYFUNCTION("""COMPUTED_VALUE"""),0.69)</f>
        <v>0.69</v>
      </c>
      <c r="G60" s="9">
        <f ca="1">IFERROR(__xludf.DUMMYFUNCTION("""COMPUTED_VALUE"""),0.383)</f>
        <v>0.38300000000000001</v>
      </c>
      <c r="H60" s="9">
        <f ca="1">IFERROR(__xludf.DUMMYFUNCTION("""COMPUTED_VALUE"""),0.118)</f>
        <v>0.11799999999999999</v>
      </c>
      <c r="I60" s="9">
        <f ca="1">IFERROR(__xludf.DUMMYFUNCTION("""COMPUTED_VALUE"""),0.042)</f>
        <v>4.2000000000000003E-2</v>
      </c>
      <c r="J60" s="9">
        <f ca="1">IFERROR(__xludf.DUMMYFUNCTION("""COMPUTED_VALUE"""),1.28)</f>
        <v>1.28</v>
      </c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</row>
    <row r="61" spans="1:28" x14ac:dyDescent="0.2">
      <c r="A61" s="9" t="str">
        <f ca="1">IFERROR(__xludf.DUMMYFUNCTION("""COMPUTED_VALUE"""),"72 - Personal Services (54)")</f>
        <v>72 - Personal Services (54)</v>
      </c>
      <c r="B61" s="15" t="str">
        <f t="shared" ca="1" si="0"/>
        <v>70 - Hotels, Rooming Houses, Camps, And Other Lodging Places</v>
      </c>
      <c r="C61" s="9">
        <f ca="1">IFERROR(__xludf.DUMMYFUNCTION("""COMPUTED_VALUE"""),-0.045)</f>
        <v>-4.4999999999999998E-2</v>
      </c>
      <c r="D61" s="9">
        <f ca="1">IFERROR(__xludf.DUMMYFUNCTION("""COMPUTED_VALUE"""),-0.246)</f>
        <v>-0.246</v>
      </c>
      <c r="E61" s="9">
        <f ca="1">IFERROR(__xludf.DUMMYFUNCTION("""COMPUTED_VALUE"""),1.19)</f>
        <v>1.19</v>
      </c>
      <c r="F61" s="9">
        <f ca="1">IFERROR(__xludf.DUMMYFUNCTION("""COMPUTED_VALUE"""),1.82)</f>
        <v>1.82</v>
      </c>
      <c r="G61" s="9">
        <f ca="1">IFERROR(__xludf.DUMMYFUNCTION("""COMPUTED_VALUE"""),0.383)</f>
        <v>0.38300000000000001</v>
      </c>
      <c r="H61" s="9">
        <f ca="1">IFERROR(__xludf.DUMMYFUNCTION("""COMPUTED_VALUE"""),-0.115)</f>
        <v>-0.115</v>
      </c>
      <c r="I61" s="9">
        <f ca="1">IFERROR(__xludf.DUMMYFUNCTION("""COMPUTED_VALUE"""),-0.166)</f>
        <v>-0.16600000000000001</v>
      </c>
      <c r="J61" s="9">
        <f ca="1">IFERROR(__xludf.DUMMYFUNCTION("""COMPUTED_VALUE"""),2.6)</f>
        <v>2.6</v>
      </c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</row>
    <row r="62" spans="1:28" x14ac:dyDescent="0.2">
      <c r="A62" s="9" t="str">
        <f ca="1">IFERROR(__xludf.DUMMYFUNCTION("""COMPUTED_VALUE"""),"73 - Business Services (1247)")</f>
        <v>73 - Business Services (1247)</v>
      </c>
      <c r="B62" s="15" t="str">
        <f t="shared" ca="1" si="0"/>
        <v>72 - Personal Services</v>
      </c>
      <c r="C62" s="9">
        <f ca="1">IFERROR(__xludf.DUMMYFUNCTION("""COMPUTED_VALUE"""),-0.005)</f>
        <v>-5.0000000000000001E-3</v>
      </c>
      <c r="D62" s="9">
        <f ca="1">IFERROR(__xludf.DUMMYFUNCTION("""COMPUTED_VALUE"""),-1.159)</f>
        <v>-1.159</v>
      </c>
      <c r="E62" s="9">
        <f ca="1">IFERROR(__xludf.DUMMYFUNCTION("""COMPUTED_VALUE"""),0.54)</f>
        <v>0.54</v>
      </c>
      <c r="F62" s="9">
        <f ca="1">IFERROR(__xludf.DUMMYFUNCTION("""COMPUTED_VALUE"""),0.88)</f>
        <v>0.88</v>
      </c>
      <c r="G62" s="9">
        <f ca="1">IFERROR(__xludf.DUMMYFUNCTION("""COMPUTED_VALUE"""),0.568)</f>
        <v>0.56799999999999995</v>
      </c>
      <c r="H62" s="9">
        <f ca="1">IFERROR(__xludf.DUMMYFUNCTION("""COMPUTED_VALUE"""),0.068)</f>
        <v>6.8000000000000005E-2</v>
      </c>
      <c r="I62" s="9">
        <f ca="1">IFERROR(__xludf.DUMMYFUNCTION("""COMPUTED_VALUE"""),-0.026)</f>
        <v>-2.5999999999999999E-2</v>
      </c>
      <c r="J62" s="9">
        <f ca="1">IFERROR(__xludf.DUMMYFUNCTION("""COMPUTED_VALUE"""),0.13)</f>
        <v>0.13</v>
      </c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</row>
    <row r="63" spans="1:28" x14ac:dyDescent="0.2">
      <c r="A63" s="9" t="str">
        <f ca="1">IFERROR(__xludf.DUMMYFUNCTION("""COMPUTED_VALUE"""),"75 - Automotive Repair, Services, And Parking (14)")</f>
        <v>75 - Automotive Repair, Services, And Parking (14)</v>
      </c>
      <c r="B63" s="15" t="str">
        <f t="shared" ca="1" si="0"/>
        <v>73 - Business Services</v>
      </c>
      <c r="C63" s="9">
        <f ca="1">IFERROR(__xludf.DUMMYFUNCTION("""COMPUTED_VALUE"""),-0.031)</f>
        <v>-3.1E-2</v>
      </c>
      <c r="D63" s="9">
        <f ca="1">IFERROR(__xludf.DUMMYFUNCTION("""COMPUTED_VALUE"""),-0.13)</f>
        <v>-0.13</v>
      </c>
      <c r="E63" s="9">
        <f ca="1">IFERROR(__xludf.DUMMYFUNCTION("""COMPUTED_VALUE"""),1.28)</f>
        <v>1.28</v>
      </c>
      <c r="F63" s="9">
        <f ca="1">IFERROR(__xludf.DUMMYFUNCTION("""COMPUTED_VALUE"""),1.49)</f>
        <v>1.49</v>
      </c>
      <c r="G63" s="9">
        <f ca="1">IFERROR(__xludf.DUMMYFUNCTION("""COMPUTED_VALUE"""),0.34)</f>
        <v>0.34</v>
      </c>
      <c r="H63" s="9">
        <f ca="1">IFERROR(__xludf.DUMMYFUNCTION("""COMPUTED_VALUE"""),-0.019)</f>
        <v>-1.9E-2</v>
      </c>
      <c r="I63" s="9">
        <f ca="1">IFERROR(__xludf.DUMMYFUNCTION("""COMPUTED_VALUE"""),-0.033)</f>
        <v>-3.3000000000000002E-2</v>
      </c>
      <c r="J63" s="9">
        <f ca="1">IFERROR(__xludf.DUMMYFUNCTION("""COMPUTED_VALUE"""),0.86)</f>
        <v>0.86</v>
      </c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</row>
    <row r="64" spans="1:28" x14ac:dyDescent="0.2">
      <c r="A64" s="9" t="str">
        <f ca="1">IFERROR(__xludf.DUMMYFUNCTION("""COMPUTED_VALUE"""),"76 - Miscellaneous Repair Services (8)")</f>
        <v>76 - Miscellaneous Repair Services (8)</v>
      </c>
      <c r="B64" s="15" t="str">
        <f t="shared" ca="1" si="0"/>
        <v>75 - Automotive Repair, Services, And Parking</v>
      </c>
      <c r="C64" s="9">
        <f ca="1">IFERROR(__xludf.DUMMYFUNCTION("""COMPUTED_VALUE"""),-0.034)</f>
        <v>-3.4000000000000002E-2</v>
      </c>
      <c r="D64" s="9">
        <f ca="1">IFERROR(__xludf.DUMMYFUNCTION("""COMPUTED_VALUE"""),-0.621)</f>
        <v>-0.621</v>
      </c>
      <c r="E64" s="9">
        <f ca="1">IFERROR(__xludf.DUMMYFUNCTION("""COMPUTED_VALUE"""),0.48)</f>
        <v>0.48</v>
      </c>
      <c r="F64" s="9">
        <f ca="1">IFERROR(__xludf.DUMMYFUNCTION("""COMPUTED_VALUE"""),0.78)</f>
        <v>0.78</v>
      </c>
      <c r="G64" s="9">
        <f ca="1">IFERROR(__xludf.DUMMYFUNCTION("""COMPUTED_VALUE"""),-1.129)</f>
        <v>-1.129</v>
      </c>
      <c r="H64" s="9">
        <f ca="1">IFERROR(__xludf.DUMMYFUNCTION("""COMPUTED_VALUE"""),-0.166)</f>
        <v>-0.16600000000000001</v>
      </c>
      <c r="I64" s="9">
        <f ca="1">IFERROR(__xludf.DUMMYFUNCTION("""COMPUTED_VALUE"""),-0.127)</f>
        <v>-0.127</v>
      </c>
      <c r="J64" s="9">
        <f ca="1">IFERROR(__xludf.DUMMYFUNCTION("""COMPUTED_VALUE"""),2.04)</f>
        <v>2.04</v>
      </c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</row>
    <row r="65" spans="1:28" x14ac:dyDescent="0.2">
      <c r="A65" s="9" t="str">
        <f ca="1">IFERROR(__xludf.DUMMYFUNCTION("""COMPUTED_VALUE"""),"78 - Motion Pictures (61)")</f>
        <v>78 - Motion Pictures (61)</v>
      </c>
      <c r="B65" s="15" t="str">
        <f t="shared" ca="1" si="0"/>
        <v>76 - Miscellaneous Repair Services</v>
      </c>
      <c r="C65" s="9">
        <f ca="1">IFERROR(__xludf.DUMMYFUNCTION("""COMPUTED_VALUE"""),-0.277)</f>
        <v>-0.27700000000000002</v>
      </c>
      <c r="D65" s="9">
        <f ca="1">IFERROR(__xludf.DUMMYFUNCTION("""COMPUTED_VALUE"""),-0.363)</f>
        <v>-0.36299999999999999</v>
      </c>
      <c r="E65" s="9">
        <f ca="1">IFERROR(__xludf.DUMMYFUNCTION("""COMPUTED_VALUE"""),1.07)</f>
        <v>1.07</v>
      </c>
      <c r="F65" s="9">
        <f ca="1">IFERROR(__xludf.DUMMYFUNCTION("""COMPUTED_VALUE"""),1.31)</f>
        <v>1.31</v>
      </c>
      <c r="G65" s="9">
        <f ca="1">IFERROR(__xludf.DUMMYFUNCTION("""COMPUTED_VALUE"""),0.225)</f>
        <v>0.22500000000000001</v>
      </c>
      <c r="H65" s="9">
        <f ca="1">IFERROR(__xludf.DUMMYFUNCTION("""COMPUTED_VALUE"""),-7.889)</f>
        <v>-7.8890000000000002</v>
      </c>
      <c r="I65" s="9">
        <f ca="1">IFERROR(__xludf.DUMMYFUNCTION("""COMPUTED_VALUE"""),-4.978)</f>
        <v>-4.9779999999999998</v>
      </c>
      <c r="J65" s="9">
        <f ca="1">IFERROR(__xludf.DUMMYFUNCTION("""COMPUTED_VALUE"""),1.2)</f>
        <v>1.2</v>
      </c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</row>
    <row r="66" spans="1:28" x14ac:dyDescent="0.2">
      <c r="A66" s="9" t="str">
        <f ca="1">IFERROR(__xludf.DUMMYFUNCTION("""COMPUTED_VALUE"""),"79 - Amusement And Recreation Services (85)")</f>
        <v>79 - Amusement And Recreation Services (85)</v>
      </c>
      <c r="B66" s="15" t="str">
        <f t="shared" ca="1" si="0"/>
        <v>78 - Motion Pictures</v>
      </c>
      <c r="C66" s="9">
        <f ca="1">IFERROR(__xludf.DUMMYFUNCTION("""COMPUTED_VALUE"""),-0.298)</f>
        <v>-0.29799999999999999</v>
      </c>
      <c r="D66" s="9">
        <f ca="1">IFERROR(__xludf.DUMMYFUNCTION("""COMPUTED_VALUE"""),-1.217)</f>
        <v>-1.2170000000000001</v>
      </c>
      <c r="E66" s="9">
        <f ca="1">IFERROR(__xludf.DUMMYFUNCTION("""COMPUTED_VALUE"""),0.75)</f>
        <v>0.75</v>
      </c>
      <c r="F66" s="9">
        <f ca="1">IFERROR(__xludf.DUMMYFUNCTION("""COMPUTED_VALUE"""),0.74)</f>
        <v>0.74</v>
      </c>
      <c r="G66" s="9">
        <f ca="1">IFERROR(__xludf.DUMMYFUNCTION("""COMPUTED_VALUE"""),0.426)</f>
        <v>0.42599999999999999</v>
      </c>
      <c r="H66" s="9">
        <f ca="1">IFERROR(__xludf.DUMMYFUNCTION("""COMPUTED_VALUE"""),-1.162)</f>
        <v>-1.1619999999999999</v>
      </c>
      <c r="I66" s="9">
        <f ca="1">IFERROR(__xludf.DUMMYFUNCTION("""COMPUTED_VALUE"""),-0.891)</f>
        <v>-0.89100000000000001</v>
      </c>
      <c r="J66" s="9">
        <f ca="1">IFERROR(__xludf.DUMMYFUNCTION("""COMPUTED_VALUE"""),0.48)</f>
        <v>0.48</v>
      </c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</row>
    <row r="67" spans="1:28" x14ac:dyDescent="0.2">
      <c r="A67" s="9" t="str">
        <f ca="1">IFERROR(__xludf.DUMMYFUNCTION("""COMPUTED_VALUE"""),"80 - Health Services (137)")</f>
        <v>80 - Health Services (137)</v>
      </c>
      <c r="B67" s="15" t="str">
        <f t="shared" ca="1" si="0"/>
        <v>79 - Amusement And Recreation Services</v>
      </c>
      <c r="C67" s="9">
        <f ca="1">IFERROR(__xludf.DUMMYFUNCTION("""COMPUTED_VALUE"""),-0.082)</f>
        <v>-8.2000000000000003E-2</v>
      </c>
      <c r="D67" s="9">
        <f ca="1">IFERROR(__xludf.DUMMYFUNCTION("""COMPUTED_VALUE"""),-0.754)</f>
        <v>-0.754</v>
      </c>
      <c r="E67" s="9">
        <f ca="1">IFERROR(__xludf.DUMMYFUNCTION("""COMPUTED_VALUE"""),1.19)</f>
        <v>1.19</v>
      </c>
      <c r="F67" s="9">
        <f ca="1">IFERROR(__xludf.DUMMYFUNCTION("""COMPUTED_VALUE"""),1.33)</f>
        <v>1.33</v>
      </c>
      <c r="G67" s="9">
        <f ca="1">IFERROR(__xludf.DUMMYFUNCTION("""COMPUTED_VALUE"""),0.337)</f>
        <v>0.33700000000000002</v>
      </c>
      <c r="H67" s="9">
        <f ca="1">IFERROR(__xludf.DUMMYFUNCTION("""COMPUTED_VALUE"""),-0.208)</f>
        <v>-0.20799999999999999</v>
      </c>
      <c r="I67" s="9">
        <f ca="1">IFERROR(__xludf.DUMMYFUNCTION("""COMPUTED_VALUE"""),-0.205)</f>
        <v>-0.20499999999999999</v>
      </c>
      <c r="J67" s="9">
        <f ca="1">IFERROR(__xludf.DUMMYFUNCTION("""COMPUTED_VALUE"""),0.27)</f>
        <v>0.27</v>
      </c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</row>
    <row r="68" spans="1:28" x14ac:dyDescent="0.2">
      <c r="A68" s="9" t="str">
        <f ca="1">IFERROR(__xludf.DUMMYFUNCTION("""COMPUTED_VALUE"""),"81 - Legal Services (2)")</f>
        <v>81 - Legal Services (2)</v>
      </c>
      <c r="B68" s="15" t="str">
        <f t="shared" ca="1" si="0"/>
        <v>80 - Health Services</v>
      </c>
      <c r="C68" s="9">
        <f ca="1">IFERROR(__xludf.DUMMYFUNCTION("""COMPUTED_VALUE"""),-0.022)</f>
        <v>-2.1999999999999999E-2</v>
      </c>
      <c r="D68" s="9">
        <f ca="1">IFERROR(__xludf.DUMMYFUNCTION("""COMPUTED_VALUE"""),-0.159)</f>
        <v>-0.159</v>
      </c>
      <c r="E68" s="9">
        <f ca="1">IFERROR(__xludf.DUMMYFUNCTION("""COMPUTED_VALUE"""),1.25)</f>
        <v>1.25</v>
      </c>
      <c r="F68" s="9">
        <f ca="1">IFERROR(__xludf.DUMMYFUNCTION("""COMPUTED_VALUE"""),1.66)</f>
        <v>1.66</v>
      </c>
      <c r="G68" s="9">
        <f ca="1">IFERROR(__xludf.DUMMYFUNCTION("""COMPUTED_VALUE"""),0.271)</f>
        <v>0.27100000000000002</v>
      </c>
      <c r="H68" s="9">
        <f ca="1">IFERROR(__xludf.DUMMYFUNCTION("""COMPUTED_VALUE"""),-0.003)</f>
        <v>-3.0000000000000001E-3</v>
      </c>
      <c r="I68" s="9">
        <f ca="1">IFERROR(__xludf.DUMMYFUNCTION("""COMPUTED_VALUE"""),-0.061)</f>
        <v>-6.0999999999999999E-2</v>
      </c>
      <c r="J68" s="9">
        <f ca="1">IFERROR(__xludf.DUMMYFUNCTION("""COMPUTED_VALUE"""),0.74)</f>
        <v>0.74</v>
      </c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</row>
    <row r="69" spans="1:28" x14ac:dyDescent="0.2">
      <c r="A69" s="9" t="str">
        <f ca="1">IFERROR(__xludf.DUMMYFUNCTION("""COMPUTED_VALUE"""),"82 - Educational Services (57)")</f>
        <v>82 - Educational Services (57)</v>
      </c>
      <c r="B69" s="15" t="str">
        <f t="shared" ca="1" si="0"/>
        <v>81 - Legal Services</v>
      </c>
      <c r="C69" s="9">
        <f ca="1">IFERROR(__xludf.DUMMYFUNCTION("""COMPUTED_VALUE"""),0.045)</f>
        <v>4.4999999999999998E-2</v>
      </c>
      <c r="D69" s="9">
        <f ca="1">IFERROR(__xludf.DUMMYFUNCTION("""COMPUTED_VALUE"""),0.12)</f>
        <v>0.12</v>
      </c>
      <c r="E69" s="9">
        <f ca="1">IFERROR(__xludf.DUMMYFUNCTION("""COMPUTED_VALUE"""),0.79)</f>
        <v>0.79</v>
      </c>
      <c r="F69" s="9">
        <f ca="1">IFERROR(__xludf.DUMMYFUNCTION("""COMPUTED_VALUE"""),1.1)</f>
        <v>1.1000000000000001</v>
      </c>
      <c r="G69" s="9">
        <f ca="1">IFERROR(__xludf.DUMMYFUNCTION("""COMPUTED_VALUE"""),0.538)</f>
        <v>0.53800000000000003</v>
      </c>
      <c r="H69" s="9">
        <f ca="1">IFERROR(__xludf.DUMMYFUNCTION("""COMPUTED_VALUE"""),0.069)</f>
        <v>6.9000000000000006E-2</v>
      </c>
      <c r="I69" s="9">
        <f ca="1">IFERROR(__xludf.DUMMYFUNCTION("""COMPUTED_VALUE"""),0.048)</f>
        <v>4.8000000000000001E-2</v>
      </c>
      <c r="J69" s="9">
        <f ca="1">IFERROR(__xludf.DUMMYFUNCTION("""COMPUTED_VALUE"""),1.67)</f>
        <v>1.67</v>
      </c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</row>
    <row r="70" spans="1:28" x14ac:dyDescent="0.2">
      <c r="A70" s="9" t="str">
        <f ca="1">IFERROR(__xludf.DUMMYFUNCTION("""COMPUTED_VALUE"""),"83 - Social Services (7)")</f>
        <v>83 - Social Services (7)</v>
      </c>
      <c r="B70" s="15" t="str">
        <f t="shared" ca="1" si="0"/>
        <v>82 - Educational Services</v>
      </c>
      <c r="C70" s="9">
        <f ca="1">IFERROR(__xludf.DUMMYFUNCTION("""COMPUTED_VALUE"""),0.017)</f>
        <v>1.7000000000000001E-2</v>
      </c>
      <c r="D70" s="9">
        <f ca="1">IFERROR(__xludf.DUMMYFUNCTION("""COMPUTED_VALUE"""),0.026)</f>
        <v>2.5999999999999999E-2</v>
      </c>
      <c r="E70" s="9">
        <f ca="1">IFERROR(__xludf.DUMMYFUNCTION("""COMPUTED_VALUE"""),1.23)</f>
        <v>1.23</v>
      </c>
      <c r="F70" s="9">
        <f ca="1">IFERROR(__xludf.DUMMYFUNCTION("""COMPUTED_VALUE"""),1.85)</f>
        <v>1.85</v>
      </c>
      <c r="G70" s="9">
        <f ca="1">IFERROR(__xludf.DUMMYFUNCTION("""COMPUTED_VALUE"""),0.201)</f>
        <v>0.20100000000000001</v>
      </c>
      <c r="H70" s="9">
        <f ca="1">IFERROR(__xludf.DUMMYFUNCTION("""COMPUTED_VALUE"""),0.05)</f>
        <v>0.05</v>
      </c>
      <c r="I70" s="9">
        <f ca="1">IFERROR(__xludf.DUMMYFUNCTION("""COMPUTED_VALUE"""),0.036)</f>
        <v>3.5999999999999997E-2</v>
      </c>
      <c r="J70" s="9">
        <f ca="1">IFERROR(__xludf.DUMMYFUNCTION("""COMPUTED_VALUE"""),0.71)</f>
        <v>0.71</v>
      </c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</row>
    <row r="71" spans="1:28" x14ac:dyDescent="0.2">
      <c r="A71" s="9" t="str">
        <f ca="1">IFERROR(__xludf.DUMMYFUNCTION("""COMPUTED_VALUE"""),"87 - Engineering, Accounting, Research, Management, And Related Services 
(189)")</f>
        <v>87 - Engineering, Accounting, Research, Management, And Related Services _x000D_(189)</v>
      </c>
      <c r="B71" s="15" t="str">
        <f t="shared" ca="1" si="0"/>
        <v>83 - Social Services</v>
      </c>
      <c r="C71" s="9">
        <f ca="1">IFERROR(__xludf.DUMMYFUNCTION("""COMPUTED_VALUE"""),-0.088)</f>
        <v>-8.7999999999999995E-2</v>
      </c>
      <c r="D71" s="9">
        <f ca="1">IFERROR(__xludf.DUMMYFUNCTION("""COMPUTED_VALUE"""),-0.099)</f>
        <v>-9.9000000000000005E-2</v>
      </c>
      <c r="E71" s="9">
        <f ca="1">IFERROR(__xludf.DUMMYFUNCTION("""COMPUTED_VALUE"""),0.57)</f>
        <v>0.56999999999999995</v>
      </c>
      <c r="F71" s="9">
        <f ca="1">IFERROR(__xludf.DUMMYFUNCTION("""COMPUTED_VALUE"""),0.62)</f>
        <v>0.62</v>
      </c>
      <c r="G71" s="9">
        <f ca="1">IFERROR(__xludf.DUMMYFUNCTION("""COMPUTED_VALUE"""),0.315)</f>
        <v>0.315</v>
      </c>
      <c r="H71" s="9">
        <f ca="1">IFERROR(__xludf.DUMMYFUNCTION("""COMPUTED_VALUE"""),0.011)</f>
        <v>1.0999999999999999E-2</v>
      </c>
      <c r="I71" s="9">
        <f ca="1">IFERROR(__xludf.DUMMYFUNCTION("""COMPUTED_VALUE"""),-3.814)</f>
        <v>-3.8140000000000001</v>
      </c>
      <c r="J71" s="9">
        <f ca="1">IFERROR(__xludf.DUMMYFUNCTION("""COMPUTED_VALUE"""),1.1)</f>
        <v>1.1000000000000001</v>
      </c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</row>
    <row r="72" spans="1:28" x14ac:dyDescent="0.2">
      <c r="A72" s="9" t="str">
        <f ca="1">IFERROR(__xludf.DUMMYFUNCTION("""COMPUTED_VALUE"""),"89 - Miscellaneous Services (3)")</f>
        <v>89 - Miscellaneous Services (3)</v>
      </c>
      <c r="B72" s="15" t="str">
        <f t="shared" ca="1" si="0"/>
        <v>87 - Engineering, Accounting, Research, Management, And Related Services _x000D_</v>
      </c>
      <c r="C72" s="9">
        <f ca="1">IFERROR(__xludf.DUMMYFUNCTION("""COMPUTED_VALUE"""),-0.026)</f>
        <v>-2.5999999999999999E-2</v>
      </c>
      <c r="D72" s="9">
        <f ca="1">IFERROR(__xludf.DUMMYFUNCTION("""COMPUTED_VALUE"""),-0.125)</f>
        <v>-0.125</v>
      </c>
      <c r="E72" s="9">
        <f ca="1">IFERROR(__xludf.DUMMYFUNCTION("""COMPUTED_VALUE"""),1.12)</f>
        <v>1.1200000000000001</v>
      </c>
      <c r="F72" s="9">
        <f ca="1">IFERROR(__xludf.DUMMYFUNCTION("""COMPUTED_VALUE"""),1.23)</f>
        <v>1.23</v>
      </c>
      <c r="G72" s="9">
        <f ca="1">IFERROR(__xludf.DUMMYFUNCTION("""COMPUTED_VALUE"""),0.189)</f>
        <v>0.189</v>
      </c>
      <c r="H72" s="9">
        <f ca="1">IFERROR(__xludf.DUMMYFUNCTION("""COMPUTED_VALUE"""),0.02)</f>
        <v>0.02</v>
      </c>
      <c r="I72" s="9">
        <f ca="1">IFERROR(__xludf.DUMMYFUNCTION("""COMPUTED_VALUE"""),0.008)</f>
        <v>8.0000000000000002E-3</v>
      </c>
      <c r="J72" s="9">
        <f ca="1">IFERROR(__xludf.DUMMYFUNCTION("""COMPUTED_VALUE"""),0.86)</f>
        <v>0.86</v>
      </c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</row>
    <row r="73" spans="1:28" x14ac:dyDescent="0.2">
      <c r="A73" s="9" t="str">
        <f ca="1">IFERROR(__xludf.DUMMYFUNCTION("""COMPUTED_VALUE"""),"All Industries")</f>
        <v>All Industries</v>
      </c>
      <c r="B73" s="15" t="str">
        <f t="shared" ca="1" si="0"/>
        <v>89 - Miscellaneous Services</v>
      </c>
      <c r="C73" s="9">
        <f ca="1">IFERROR(__xludf.DUMMYFUNCTION("""COMPUTED_VALUE"""),-0.01)</f>
        <v>-0.01</v>
      </c>
      <c r="D73" s="9">
        <f ca="1">IFERROR(__xludf.DUMMYFUNCTION("""COMPUTED_VALUE"""),-0.035)</f>
        <v>-3.5000000000000003E-2</v>
      </c>
      <c r="E73" s="9">
        <f ca="1">IFERROR(__xludf.DUMMYFUNCTION("""COMPUTED_VALUE"""),0.96)</f>
        <v>0.96</v>
      </c>
      <c r="F73" s="9">
        <f ca="1">IFERROR(__xludf.DUMMYFUNCTION("""COMPUTED_VALUE"""),1.52)</f>
        <v>1.52</v>
      </c>
      <c r="G73" s="9">
        <f ca="1">IFERROR(__xludf.DUMMYFUNCTION("""COMPUTED_VALUE"""),0.415)</f>
        <v>0.41499999999999998</v>
      </c>
      <c r="H73" s="9">
        <f ca="1">IFERROR(__xludf.DUMMYFUNCTION("""COMPUTED_VALUE"""),0.015)</f>
        <v>1.4999999999999999E-2</v>
      </c>
      <c r="I73" s="9">
        <f ca="1">IFERROR(__xludf.DUMMYFUNCTION("""COMPUTED_VALUE"""),-0.014)</f>
        <v>-1.4E-2</v>
      </c>
      <c r="J73" s="9">
        <f ca="1">IFERROR(__xludf.DUMMYFUNCTION("""COMPUTED_VALUE"""),3.2)</f>
        <v>3.2</v>
      </c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</row>
    <row r="74" spans="1:28" x14ac:dyDescent="0.2">
      <c r="A74" s="9" t="str">
        <f ca="1">IFERROR(__xludf.DUMMYFUNCTION("""COMPUTED_VALUE"""),"08 - Forestry (2)")</f>
        <v>08 - Forestry (2)</v>
      </c>
      <c r="B74" s="15" t="e">
        <f t="shared" ca="1" si="0"/>
        <v>#VALUE!</v>
      </c>
      <c r="C74" s="9">
        <f ca="1">IFERROR(__xludf.DUMMYFUNCTION("""COMPUTED_VALUE"""),-0.001)</f>
        <v>-1E-3</v>
      </c>
      <c r="D74" s="9">
        <f ca="1">IFERROR(__xludf.DUMMYFUNCTION("""COMPUTED_VALUE"""),-0.021)</f>
        <v>-2.1000000000000001E-2</v>
      </c>
      <c r="E74" s="9">
        <f ca="1">IFERROR(__xludf.DUMMYFUNCTION("""COMPUTED_VALUE"""),1.25)</f>
        <v>1.25</v>
      </c>
      <c r="F74" s="9">
        <f ca="1">IFERROR(__xludf.DUMMYFUNCTION("""COMPUTED_VALUE"""),1.94)</f>
        <v>1.94</v>
      </c>
      <c r="G74" s="9">
        <f ca="1">IFERROR(__xludf.DUMMYFUNCTION("""COMPUTED_VALUE"""),0.412)</f>
        <v>0.41199999999999998</v>
      </c>
      <c r="H74" s="9">
        <f ca="1">IFERROR(__xludf.DUMMYFUNCTION("""COMPUTED_VALUE"""),0.048)</f>
        <v>4.8000000000000001E-2</v>
      </c>
      <c r="I74" s="9">
        <f ca="1">IFERROR(__xludf.DUMMYFUNCTION("""COMPUTED_VALUE"""),0.015)</f>
        <v>1.4999999999999999E-2</v>
      </c>
      <c r="J74" s="9">
        <f ca="1">IFERROR(__xludf.DUMMYFUNCTION("""COMPUTED_VALUE"""),1.07)</f>
        <v>1.07</v>
      </c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</row>
    <row r="75" spans="1:28" x14ac:dyDescent="0.2">
      <c r="A75" s="9" t="str">
        <f ca="1">IFERROR(__xludf.DUMMYFUNCTION("""COMPUTED_VALUE"""),"41 - Local And Suburban Transit And Interurban Highway Passenger 
Transportation (2)")</f>
        <v>41 - Local And Suburban Transit And Interurban Highway Passenger _x000D_Transportation (2)</v>
      </c>
      <c r="B75" s="15" t="str">
        <f t="shared" ca="1" si="0"/>
        <v>08 - Forestry</v>
      </c>
      <c r="C75" s="9">
        <f ca="1">IFERROR(__xludf.DUMMYFUNCTION("""COMPUTED_VALUE"""),-0.001)</f>
        <v>-1E-3</v>
      </c>
      <c r="D75" s="9">
        <f ca="1">IFERROR(__xludf.DUMMYFUNCTION("""COMPUTED_VALUE"""),-0.041)</f>
        <v>-4.1000000000000002E-2</v>
      </c>
      <c r="E75" s="9">
        <f ca="1">IFERROR(__xludf.DUMMYFUNCTION("""COMPUTED_VALUE"""),1.09)</f>
        <v>1.0900000000000001</v>
      </c>
      <c r="F75" s="9">
        <f ca="1">IFERROR(__xludf.DUMMYFUNCTION("""COMPUTED_VALUE"""),1.53)</f>
        <v>1.53</v>
      </c>
      <c r="G75" s="9">
        <f ca="1">IFERROR(__xludf.DUMMYFUNCTION("""COMPUTED_VALUE"""),0.403)</f>
        <v>0.40300000000000002</v>
      </c>
      <c r="H75" s="9">
        <f ca="1">IFERROR(__xludf.DUMMYFUNCTION("""COMPUTED_VALUE"""),0.055)</f>
        <v>5.5E-2</v>
      </c>
      <c r="I75" s="9">
        <f ca="1">IFERROR(__xludf.DUMMYFUNCTION("""COMPUTED_VALUE"""),0.019)</f>
        <v>1.9E-2</v>
      </c>
      <c r="J75" s="9">
        <f ca="1">IFERROR(__xludf.DUMMYFUNCTION("""COMPUTED_VALUE"""),0.67)</f>
        <v>0.67</v>
      </c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</row>
    <row r="76" spans="1:28" x14ac:dyDescent="0.2">
      <c r="A76" s="9" t="str">
        <f ca="1">IFERROR(__xludf.DUMMYFUNCTION("""COMPUTED_VALUE"""),"99 - Nonclassifiable Establishments (9)")</f>
        <v>99 - Nonclassifiable Establishments (9)</v>
      </c>
      <c r="B76" s="15" t="str">
        <f t="shared" ca="1" si="0"/>
        <v>41 - Local And Suburban Transit And Interurban Highway Passenger _x000D_Transportation</v>
      </c>
      <c r="C76" s="9">
        <f ca="1">IFERROR(__xludf.DUMMYFUNCTION("""COMPUTED_VALUE"""),0.031)</f>
        <v>3.1E-2</v>
      </c>
      <c r="D76" s="9">
        <f ca="1">IFERROR(__xludf.DUMMYFUNCTION("""COMPUTED_VALUE"""),0.06)</f>
        <v>0.06</v>
      </c>
      <c r="E76" s="9"/>
      <c r="F76" s="9">
        <f ca="1">IFERROR(__xludf.DUMMYFUNCTION("""COMPUTED_VALUE"""),1.08)</f>
        <v>1.08</v>
      </c>
      <c r="G76" s="9">
        <f ca="1">IFERROR(__xludf.DUMMYFUNCTION("""COMPUTED_VALUE"""),-0.086)</f>
        <v>-8.5999999999999993E-2</v>
      </c>
      <c r="H76" s="9">
        <f ca="1">IFERROR(__xludf.DUMMYFUNCTION("""COMPUTED_VALUE"""),0.148)</f>
        <v>0.14799999999999999</v>
      </c>
      <c r="I76" s="9">
        <f ca="1">IFERROR(__xludf.DUMMYFUNCTION("""COMPUTED_VALUE"""),0.14)</f>
        <v>0.14000000000000001</v>
      </c>
      <c r="J76" s="9">
        <f ca="1">IFERROR(__xludf.DUMMYFUNCTION("""COMPUTED_VALUE"""),0.51)</f>
        <v>0.51</v>
      </c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</row>
    <row r="77" spans="1:28" x14ac:dyDescent="0.2">
      <c r="A77" s="9"/>
      <c r="B77" s="15" t="str">
        <f t="shared" ca="1" si="0"/>
        <v>99 - Nonclassifiable Establishments</v>
      </c>
      <c r="C77" s="9">
        <f ca="1">IFERROR(__xludf.DUMMYFUNCTION("""COMPUTED_VALUE"""),-15.544)</f>
        <v>-15.544</v>
      </c>
      <c r="D77" s="9">
        <f ca="1">IFERROR(__xludf.DUMMYFUNCTION("""COMPUTED_VALUE"""),0)</f>
        <v>0</v>
      </c>
      <c r="E77" s="9"/>
      <c r="F77" s="9">
        <f ca="1">IFERROR(__xludf.DUMMYFUNCTION("""COMPUTED_VALUE"""),0)</f>
        <v>0</v>
      </c>
      <c r="G77" s="9">
        <f ca="1">IFERROR(__xludf.DUMMYFUNCTION("""COMPUTED_VALUE"""),-0.086)</f>
        <v>-8.5999999999999993E-2</v>
      </c>
      <c r="H77" s="9">
        <f ca="1">IFERROR(__xludf.DUMMYFUNCTION("""COMPUTED_VALUE"""),-1.318)</f>
        <v>-1.3180000000000001</v>
      </c>
      <c r="I77" s="9">
        <f ca="1">IFERROR(__xludf.DUMMYFUNCTION("""COMPUTED_VALUE"""),-2.647)</f>
        <v>-2.6469999999999998</v>
      </c>
      <c r="J77" s="9">
        <f ca="1">IFERROR(__xludf.DUMMYFUNCTION("""COMPUTED_VALUE"""),0)</f>
        <v>0</v>
      </c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</row>
    <row r="78" spans="1:28" x14ac:dyDescent="0.2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</row>
    <row r="79" spans="1:28" x14ac:dyDescent="0.2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</row>
    <row r="80" spans="1:28" x14ac:dyDescent="0.2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</row>
    <row r="81" spans="1:28" x14ac:dyDescent="0.2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</row>
    <row r="82" spans="1:28" x14ac:dyDescent="0.2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</row>
    <row r="83" spans="1:28" x14ac:dyDescent="0.2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</row>
    <row r="84" spans="1:28" x14ac:dyDescent="0.2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</row>
    <row r="85" spans="1:28" x14ac:dyDescent="0.2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</row>
    <row r="86" spans="1:28" x14ac:dyDescent="0.2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</row>
    <row r="87" spans="1:28" x14ac:dyDescent="0.2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</row>
    <row r="88" spans="1:28" x14ac:dyDescent="0.2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</row>
    <row r="89" spans="1:28" x14ac:dyDescent="0.2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</row>
    <row r="90" spans="1:28" x14ac:dyDescent="0.2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</row>
    <row r="91" spans="1:28" x14ac:dyDescent="0.2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</row>
    <row r="92" spans="1:28" x14ac:dyDescent="0.2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</row>
    <row r="93" spans="1:28" x14ac:dyDescent="0.2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</row>
    <row r="94" spans="1:28" x14ac:dyDescent="0.2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</row>
    <row r="95" spans="1:28" x14ac:dyDescent="0.2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</row>
    <row r="96" spans="1:28" x14ac:dyDescent="0.2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</row>
    <row r="97" spans="1:28" x14ac:dyDescent="0.2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</row>
    <row r="98" spans="1:28" x14ac:dyDescent="0.2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</row>
    <row r="99" spans="1:28" x14ac:dyDescent="0.2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</row>
    <row r="100" spans="1:28" x14ac:dyDescent="0.2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</row>
    <row r="101" spans="1:28" x14ac:dyDescent="0.2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</row>
    <row r="102" spans="1:28" x14ac:dyDescent="0.2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</row>
    <row r="103" spans="1:28" x14ac:dyDescent="0.2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</row>
    <row r="104" spans="1:28" x14ac:dyDescent="0.2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</row>
    <row r="105" spans="1:28" x14ac:dyDescent="0.2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</row>
    <row r="106" spans="1:28" x14ac:dyDescent="0.2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</row>
    <row r="107" spans="1:28" x14ac:dyDescent="0.2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</row>
    <row r="108" spans="1:28" x14ac:dyDescent="0.2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</row>
    <row r="109" spans="1:28" x14ac:dyDescent="0.2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</row>
    <row r="110" spans="1:28" x14ac:dyDescent="0.2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</row>
    <row r="111" spans="1:28" x14ac:dyDescent="0.2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</row>
    <row r="112" spans="1:28" x14ac:dyDescent="0.2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</row>
    <row r="113" spans="1:28" x14ac:dyDescent="0.2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</row>
    <row r="114" spans="1:28" x14ac:dyDescent="0.2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</row>
    <row r="115" spans="1:28" x14ac:dyDescent="0.2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</row>
    <row r="116" spans="1:28" x14ac:dyDescent="0.2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</row>
    <row r="117" spans="1:28" x14ac:dyDescent="0.2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</row>
    <row r="118" spans="1:28" x14ac:dyDescent="0.2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</row>
    <row r="119" spans="1:28" x14ac:dyDescent="0.2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</row>
    <row r="120" spans="1:28" x14ac:dyDescent="0.2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</row>
    <row r="121" spans="1:28" x14ac:dyDescent="0.2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</row>
    <row r="122" spans="1:28" x14ac:dyDescent="0.2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</row>
    <row r="123" spans="1:28" x14ac:dyDescent="0.2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</row>
    <row r="124" spans="1:28" x14ac:dyDescent="0.2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</row>
    <row r="125" spans="1:28" x14ac:dyDescent="0.2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</row>
    <row r="126" spans="1:28" x14ac:dyDescent="0.2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</row>
    <row r="127" spans="1:28" x14ac:dyDescent="0.2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</row>
    <row r="128" spans="1:28" x14ac:dyDescent="0.2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</row>
    <row r="129" spans="1:28" x14ac:dyDescent="0.2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</row>
    <row r="130" spans="1:28" x14ac:dyDescent="0.2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</row>
    <row r="131" spans="1:28" x14ac:dyDescent="0.2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</row>
    <row r="132" spans="1:28" x14ac:dyDescent="0.2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</row>
    <row r="133" spans="1:28" x14ac:dyDescent="0.2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</row>
    <row r="134" spans="1:28" x14ac:dyDescent="0.2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</row>
    <row r="135" spans="1:28" x14ac:dyDescent="0.2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</row>
    <row r="136" spans="1:28" x14ac:dyDescent="0.2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</row>
    <row r="137" spans="1:28" x14ac:dyDescent="0.2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</row>
    <row r="138" spans="1:28" x14ac:dyDescent="0.2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</row>
    <row r="139" spans="1:28" x14ac:dyDescent="0.2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</row>
    <row r="140" spans="1:28" x14ac:dyDescent="0.2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</row>
    <row r="141" spans="1:28" x14ac:dyDescent="0.2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</row>
    <row r="142" spans="1:28" x14ac:dyDescent="0.2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</row>
    <row r="143" spans="1:28" x14ac:dyDescent="0.2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</row>
    <row r="144" spans="1:28" x14ac:dyDescent="0.2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</row>
    <row r="145" spans="1:28" x14ac:dyDescent="0.2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</row>
    <row r="146" spans="1:28" x14ac:dyDescent="0.2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</row>
    <row r="147" spans="1:28" x14ac:dyDescent="0.2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</row>
    <row r="148" spans="1:28" x14ac:dyDescent="0.2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</row>
    <row r="149" spans="1:28" x14ac:dyDescent="0.2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</row>
    <row r="150" spans="1:28" x14ac:dyDescent="0.2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</row>
    <row r="151" spans="1:28" x14ac:dyDescent="0.2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</row>
    <row r="152" spans="1:28" x14ac:dyDescent="0.2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</row>
    <row r="153" spans="1:28" x14ac:dyDescent="0.2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</row>
    <row r="154" spans="1:28" x14ac:dyDescent="0.2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</row>
    <row r="155" spans="1:28" x14ac:dyDescent="0.2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</row>
    <row r="156" spans="1:28" x14ac:dyDescent="0.2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</row>
    <row r="157" spans="1:28" x14ac:dyDescent="0.2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</row>
    <row r="158" spans="1:28" x14ac:dyDescent="0.2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</row>
    <row r="159" spans="1:28" x14ac:dyDescent="0.2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</row>
    <row r="160" spans="1:28" x14ac:dyDescent="0.2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</row>
    <row r="161" spans="1:28" x14ac:dyDescent="0.2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</row>
    <row r="162" spans="1:28" x14ac:dyDescent="0.2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</row>
    <row r="163" spans="1:28" x14ac:dyDescent="0.2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</row>
    <row r="164" spans="1:28" x14ac:dyDescent="0.2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</row>
    <row r="165" spans="1:28" x14ac:dyDescent="0.2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</row>
    <row r="166" spans="1:28" x14ac:dyDescent="0.2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</row>
    <row r="167" spans="1:28" x14ac:dyDescent="0.2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</row>
    <row r="168" spans="1:28" x14ac:dyDescent="0.2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</row>
    <row r="169" spans="1:28" x14ac:dyDescent="0.2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</row>
    <row r="170" spans="1:28" x14ac:dyDescent="0.2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</row>
    <row r="171" spans="1:28" x14ac:dyDescent="0.2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</row>
    <row r="172" spans="1:28" x14ac:dyDescent="0.2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</row>
    <row r="173" spans="1:28" x14ac:dyDescent="0.2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</row>
    <row r="174" spans="1:28" x14ac:dyDescent="0.2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</row>
    <row r="175" spans="1:28" x14ac:dyDescent="0.2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</row>
    <row r="176" spans="1:28" x14ac:dyDescent="0.2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</row>
    <row r="177" spans="1:28" x14ac:dyDescent="0.2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</row>
    <row r="178" spans="1:28" x14ac:dyDescent="0.2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</row>
    <row r="179" spans="1:28" x14ac:dyDescent="0.2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</row>
    <row r="180" spans="1:28" x14ac:dyDescent="0.2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</row>
    <row r="181" spans="1:28" x14ac:dyDescent="0.2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</row>
    <row r="182" spans="1:28" x14ac:dyDescent="0.2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</row>
    <row r="183" spans="1:28" x14ac:dyDescent="0.2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</row>
    <row r="184" spans="1:28" x14ac:dyDescent="0.2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</row>
    <row r="185" spans="1:28" x14ac:dyDescent="0.2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</row>
    <row r="186" spans="1:28" x14ac:dyDescent="0.2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</row>
    <row r="187" spans="1:28" x14ac:dyDescent="0.2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</row>
    <row r="188" spans="1:28" x14ac:dyDescent="0.2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</row>
    <row r="189" spans="1:28" x14ac:dyDescent="0.2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</row>
    <row r="190" spans="1:28" x14ac:dyDescent="0.2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</row>
    <row r="191" spans="1:28" x14ac:dyDescent="0.2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</row>
    <row r="192" spans="1:28" x14ac:dyDescent="0.2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</row>
    <row r="193" spans="1:28" x14ac:dyDescent="0.2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</row>
    <row r="194" spans="1:28" x14ac:dyDescent="0.2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</row>
    <row r="195" spans="1:28" x14ac:dyDescent="0.2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</row>
    <row r="196" spans="1:28" x14ac:dyDescent="0.2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</row>
    <row r="197" spans="1:28" x14ac:dyDescent="0.2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</row>
    <row r="198" spans="1:28" x14ac:dyDescent="0.2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</row>
    <row r="199" spans="1:28" x14ac:dyDescent="0.2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</row>
    <row r="200" spans="1:28" x14ac:dyDescent="0.2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</row>
    <row r="201" spans="1:28" x14ac:dyDescent="0.2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</row>
    <row r="202" spans="1:28" x14ac:dyDescent="0.2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</row>
    <row r="203" spans="1:28" x14ac:dyDescent="0.2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</row>
    <row r="204" spans="1:28" x14ac:dyDescent="0.2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</row>
    <row r="205" spans="1:28" x14ac:dyDescent="0.2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</row>
    <row r="206" spans="1:28" x14ac:dyDescent="0.2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</row>
    <row r="207" spans="1:28" x14ac:dyDescent="0.2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</row>
    <row r="208" spans="1:28" x14ac:dyDescent="0.2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</row>
    <row r="209" spans="1:28" x14ac:dyDescent="0.2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</row>
    <row r="210" spans="1:28" x14ac:dyDescent="0.2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</row>
    <row r="211" spans="1:28" x14ac:dyDescent="0.2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</row>
    <row r="212" spans="1:28" x14ac:dyDescent="0.2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</row>
    <row r="213" spans="1:28" x14ac:dyDescent="0.2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</row>
    <row r="214" spans="1:28" x14ac:dyDescent="0.2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</row>
    <row r="215" spans="1:28" x14ac:dyDescent="0.2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</row>
    <row r="216" spans="1:28" x14ac:dyDescent="0.2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</row>
    <row r="217" spans="1:28" x14ac:dyDescent="0.2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</row>
    <row r="218" spans="1:28" x14ac:dyDescent="0.2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</row>
    <row r="219" spans="1:28" x14ac:dyDescent="0.2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</row>
    <row r="220" spans="1:28" x14ac:dyDescent="0.2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</row>
    <row r="221" spans="1:28" x14ac:dyDescent="0.2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</row>
    <row r="222" spans="1:28" x14ac:dyDescent="0.2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</row>
    <row r="223" spans="1:28" x14ac:dyDescent="0.2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</row>
    <row r="224" spans="1:28" x14ac:dyDescent="0.2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</row>
    <row r="225" spans="1:28" x14ac:dyDescent="0.2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</row>
    <row r="226" spans="1:28" x14ac:dyDescent="0.2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</row>
    <row r="227" spans="1:28" x14ac:dyDescent="0.2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</row>
    <row r="228" spans="1:28" x14ac:dyDescent="0.2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</row>
    <row r="229" spans="1:28" x14ac:dyDescent="0.2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</row>
    <row r="230" spans="1:28" x14ac:dyDescent="0.2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</row>
    <row r="231" spans="1:28" x14ac:dyDescent="0.2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</row>
    <row r="232" spans="1:28" x14ac:dyDescent="0.2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</row>
    <row r="233" spans="1:28" x14ac:dyDescent="0.2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</row>
    <row r="234" spans="1:28" x14ac:dyDescent="0.2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</row>
    <row r="235" spans="1:28" x14ac:dyDescent="0.2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</row>
    <row r="236" spans="1:28" x14ac:dyDescent="0.2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</row>
    <row r="237" spans="1:28" x14ac:dyDescent="0.2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</row>
    <row r="238" spans="1:28" x14ac:dyDescent="0.2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</row>
    <row r="239" spans="1:28" x14ac:dyDescent="0.2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</row>
    <row r="240" spans="1:28" x14ac:dyDescent="0.2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</row>
    <row r="241" spans="1:28" x14ac:dyDescent="0.2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</row>
    <row r="242" spans="1:28" x14ac:dyDescent="0.2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</row>
    <row r="243" spans="1:28" x14ac:dyDescent="0.2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</row>
    <row r="244" spans="1:28" x14ac:dyDescent="0.2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</row>
    <row r="245" spans="1:28" x14ac:dyDescent="0.2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</row>
    <row r="246" spans="1:28" x14ac:dyDescent="0.2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</row>
    <row r="247" spans="1:28" x14ac:dyDescent="0.2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</row>
    <row r="248" spans="1:28" x14ac:dyDescent="0.2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</row>
    <row r="249" spans="1:28" x14ac:dyDescent="0.2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</row>
    <row r="250" spans="1:28" x14ac:dyDescent="0.2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</row>
    <row r="251" spans="1:28" x14ac:dyDescent="0.2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</row>
    <row r="252" spans="1:28" x14ac:dyDescent="0.2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</row>
    <row r="253" spans="1:28" x14ac:dyDescent="0.2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</row>
    <row r="254" spans="1:28" x14ac:dyDescent="0.2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</row>
    <row r="255" spans="1:28" x14ac:dyDescent="0.2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</row>
    <row r="256" spans="1:28" x14ac:dyDescent="0.2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</row>
    <row r="257" spans="1:28" x14ac:dyDescent="0.2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</row>
    <row r="258" spans="1:28" x14ac:dyDescent="0.2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</row>
    <row r="259" spans="1:28" x14ac:dyDescent="0.2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</row>
    <row r="260" spans="1:28" x14ac:dyDescent="0.2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</row>
    <row r="261" spans="1:28" x14ac:dyDescent="0.2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</row>
    <row r="262" spans="1:28" x14ac:dyDescent="0.2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</row>
    <row r="263" spans="1:28" x14ac:dyDescent="0.2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</row>
    <row r="264" spans="1:28" x14ac:dyDescent="0.2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</row>
    <row r="265" spans="1:28" x14ac:dyDescent="0.2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</row>
    <row r="266" spans="1:28" x14ac:dyDescent="0.2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</row>
    <row r="267" spans="1:28" x14ac:dyDescent="0.2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</row>
    <row r="268" spans="1:28" x14ac:dyDescent="0.2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</row>
    <row r="269" spans="1:28" x14ac:dyDescent="0.2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</row>
    <row r="270" spans="1:28" x14ac:dyDescent="0.2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</row>
    <row r="271" spans="1:28" x14ac:dyDescent="0.2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</row>
    <row r="272" spans="1:28" x14ac:dyDescent="0.2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</row>
    <row r="273" spans="1:28" x14ac:dyDescent="0.2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</row>
    <row r="274" spans="1:28" x14ac:dyDescent="0.2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</row>
    <row r="275" spans="1:28" x14ac:dyDescent="0.2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</row>
    <row r="276" spans="1:28" x14ac:dyDescent="0.2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</row>
    <row r="277" spans="1:28" x14ac:dyDescent="0.2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</row>
    <row r="278" spans="1:28" x14ac:dyDescent="0.2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</row>
    <row r="279" spans="1:28" x14ac:dyDescent="0.2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</row>
    <row r="280" spans="1:28" x14ac:dyDescent="0.2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</row>
    <row r="281" spans="1:28" x14ac:dyDescent="0.2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</row>
    <row r="282" spans="1:28" x14ac:dyDescent="0.2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</row>
    <row r="283" spans="1:28" x14ac:dyDescent="0.2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</row>
    <row r="284" spans="1:28" x14ac:dyDescent="0.2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</row>
    <row r="285" spans="1:28" x14ac:dyDescent="0.2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</row>
    <row r="286" spans="1:28" x14ac:dyDescent="0.2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</row>
    <row r="287" spans="1:28" x14ac:dyDescent="0.2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</row>
    <row r="288" spans="1:28" x14ac:dyDescent="0.2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</row>
    <row r="289" spans="1:28" x14ac:dyDescent="0.2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</row>
    <row r="290" spans="1:28" x14ac:dyDescent="0.2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</row>
    <row r="291" spans="1:28" x14ac:dyDescent="0.2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</row>
    <row r="292" spans="1:28" x14ac:dyDescent="0.2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</row>
    <row r="293" spans="1:28" x14ac:dyDescent="0.2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</row>
    <row r="294" spans="1:28" x14ac:dyDescent="0.2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</row>
    <row r="295" spans="1:28" x14ac:dyDescent="0.2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</row>
    <row r="296" spans="1:28" x14ac:dyDescent="0.2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</row>
    <row r="297" spans="1:28" x14ac:dyDescent="0.2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</row>
    <row r="298" spans="1:28" x14ac:dyDescent="0.2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</row>
    <row r="299" spans="1:28" x14ac:dyDescent="0.2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</row>
    <row r="300" spans="1:28" x14ac:dyDescent="0.2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</row>
    <row r="301" spans="1:28" x14ac:dyDescent="0.2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</row>
    <row r="302" spans="1:28" x14ac:dyDescent="0.2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</row>
    <row r="303" spans="1:28" x14ac:dyDescent="0.2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</row>
    <row r="304" spans="1:28" x14ac:dyDescent="0.2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</row>
    <row r="305" spans="1:28" x14ac:dyDescent="0.2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</row>
    <row r="306" spans="1:28" x14ac:dyDescent="0.2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</row>
    <row r="307" spans="1:28" x14ac:dyDescent="0.2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</row>
    <row r="308" spans="1:28" x14ac:dyDescent="0.2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</row>
    <row r="309" spans="1:28" x14ac:dyDescent="0.2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</row>
    <row r="310" spans="1:28" x14ac:dyDescent="0.2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</row>
    <row r="311" spans="1:28" x14ac:dyDescent="0.2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</row>
    <row r="312" spans="1:28" x14ac:dyDescent="0.2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</row>
    <row r="313" spans="1:28" x14ac:dyDescent="0.2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</row>
    <row r="314" spans="1:28" x14ac:dyDescent="0.2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</row>
    <row r="315" spans="1:28" x14ac:dyDescent="0.2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</row>
    <row r="316" spans="1:28" x14ac:dyDescent="0.2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</row>
    <row r="317" spans="1:28" x14ac:dyDescent="0.2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</row>
    <row r="318" spans="1:28" x14ac:dyDescent="0.2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</row>
    <row r="319" spans="1:28" x14ac:dyDescent="0.2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</row>
    <row r="320" spans="1:28" x14ac:dyDescent="0.2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</row>
    <row r="321" spans="1:28" x14ac:dyDescent="0.2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</row>
    <row r="322" spans="1:28" x14ac:dyDescent="0.2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</row>
    <row r="323" spans="1:28" x14ac:dyDescent="0.2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</row>
    <row r="324" spans="1:28" x14ac:dyDescent="0.2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</row>
    <row r="325" spans="1:28" x14ac:dyDescent="0.2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</row>
    <row r="326" spans="1:28" x14ac:dyDescent="0.2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</row>
    <row r="327" spans="1:28" x14ac:dyDescent="0.2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</row>
    <row r="328" spans="1:28" x14ac:dyDescent="0.2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</row>
    <row r="329" spans="1:28" x14ac:dyDescent="0.2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</row>
    <row r="330" spans="1:28" x14ac:dyDescent="0.2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</row>
    <row r="331" spans="1:28" x14ac:dyDescent="0.2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</row>
    <row r="332" spans="1:28" x14ac:dyDescent="0.2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</row>
    <row r="333" spans="1:28" x14ac:dyDescent="0.2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</row>
    <row r="334" spans="1:28" x14ac:dyDescent="0.2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</row>
    <row r="335" spans="1:28" x14ac:dyDescent="0.2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</row>
    <row r="336" spans="1:28" x14ac:dyDescent="0.2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</row>
    <row r="337" spans="1:28" x14ac:dyDescent="0.2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</row>
    <row r="338" spans="1:28" x14ac:dyDescent="0.2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</row>
    <row r="339" spans="1:28" x14ac:dyDescent="0.2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</row>
    <row r="340" spans="1:28" x14ac:dyDescent="0.2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</row>
    <row r="341" spans="1:28" x14ac:dyDescent="0.2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</row>
    <row r="342" spans="1:28" x14ac:dyDescent="0.2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</row>
    <row r="343" spans="1:28" x14ac:dyDescent="0.2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</row>
    <row r="344" spans="1:28" x14ac:dyDescent="0.2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</row>
    <row r="345" spans="1:28" x14ac:dyDescent="0.2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</row>
    <row r="346" spans="1:28" x14ac:dyDescent="0.2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</row>
    <row r="347" spans="1:28" x14ac:dyDescent="0.2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</row>
    <row r="348" spans="1:28" x14ac:dyDescent="0.2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</row>
    <row r="349" spans="1:28" x14ac:dyDescent="0.2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</row>
    <row r="350" spans="1:28" x14ac:dyDescent="0.2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</row>
    <row r="351" spans="1:28" x14ac:dyDescent="0.2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</row>
    <row r="352" spans="1:28" x14ac:dyDescent="0.2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</row>
    <row r="353" spans="1:28" x14ac:dyDescent="0.2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</row>
    <row r="354" spans="1:28" x14ac:dyDescent="0.2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</row>
    <row r="355" spans="1:28" x14ac:dyDescent="0.2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</row>
    <row r="356" spans="1:28" x14ac:dyDescent="0.2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</row>
    <row r="357" spans="1:28" x14ac:dyDescent="0.2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</row>
    <row r="358" spans="1:28" x14ac:dyDescent="0.2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</row>
    <row r="359" spans="1:28" x14ac:dyDescent="0.2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</row>
    <row r="360" spans="1:28" x14ac:dyDescent="0.2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</row>
    <row r="361" spans="1:28" x14ac:dyDescent="0.2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</row>
    <row r="362" spans="1:28" x14ac:dyDescent="0.2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</row>
    <row r="363" spans="1:28" x14ac:dyDescent="0.2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</row>
    <row r="364" spans="1:28" x14ac:dyDescent="0.2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</row>
    <row r="365" spans="1:28" x14ac:dyDescent="0.2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</row>
    <row r="366" spans="1:28" x14ac:dyDescent="0.2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</row>
    <row r="367" spans="1:28" x14ac:dyDescent="0.2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</row>
    <row r="368" spans="1:28" x14ac:dyDescent="0.2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</row>
    <row r="369" spans="1:28" x14ac:dyDescent="0.2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</row>
    <row r="370" spans="1:28" x14ac:dyDescent="0.2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</row>
    <row r="371" spans="1:28" x14ac:dyDescent="0.2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</row>
    <row r="372" spans="1:28" x14ac:dyDescent="0.2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</row>
    <row r="373" spans="1:28" x14ac:dyDescent="0.2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</row>
    <row r="374" spans="1:28" x14ac:dyDescent="0.2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</row>
    <row r="375" spans="1:28" x14ac:dyDescent="0.2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</row>
    <row r="376" spans="1:28" x14ac:dyDescent="0.2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</row>
    <row r="377" spans="1:28" x14ac:dyDescent="0.2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</row>
    <row r="378" spans="1:28" x14ac:dyDescent="0.2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</row>
    <row r="379" spans="1:28" x14ac:dyDescent="0.2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</row>
    <row r="380" spans="1:28" x14ac:dyDescent="0.2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</row>
    <row r="381" spans="1:28" x14ac:dyDescent="0.2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</row>
    <row r="382" spans="1:28" x14ac:dyDescent="0.2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</row>
    <row r="383" spans="1:28" x14ac:dyDescent="0.2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</row>
    <row r="384" spans="1:28" x14ac:dyDescent="0.2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</row>
    <row r="385" spans="1:28" x14ac:dyDescent="0.2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</row>
    <row r="386" spans="1:28" x14ac:dyDescent="0.2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</row>
    <row r="387" spans="1:28" x14ac:dyDescent="0.2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</row>
    <row r="388" spans="1:28" x14ac:dyDescent="0.2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</row>
    <row r="389" spans="1:28" x14ac:dyDescent="0.2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</row>
    <row r="390" spans="1:28" x14ac:dyDescent="0.2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</row>
    <row r="391" spans="1:28" x14ac:dyDescent="0.2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</row>
    <row r="392" spans="1:28" x14ac:dyDescent="0.2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</row>
    <row r="393" spans="1:28" x14ac:dyDescent="0.2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</row>
    <row r="394" spans="1:28" x14ac:dyDescent="0.2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</row>
    <row r="395" spans="1:28" x14ac:dyDescent="0.2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</row>
    <row r="396" spans="1:28" x14ac:dyDescent="0.2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</row>
    <row r="397" spans="1:28" x14ac:dyDescent="0.2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</row>
    <row r="398" spans="1:28" x14ac:dyDescent="0.2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</row>
    <row r="399" spans="1:28" x14ac:dyDescent="0.2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</row>
    <row r="400" spans="1:28" x14ac:dyDescent="0.2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</row>
    <row r="401" spans="1:28" x14ac:dyDescent="0.2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</row>
    <row r="402" spans="1:28" x14ac:dyDescent="0.2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</row>
    <row r="403" spans="1:28" x14ac:dyDescent="0.2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</row>
    <row r="404" spans="1:28" x14ac:dyDescent="0.2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</row>
    <row r="405" spans="1:28" x14ac:dyDescent="0.2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</row>
    <row r="406" spans="1:28" x14ac:dyDescent="0.2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</row>
    <row r="407" spans="1:28" x14ac:dyDescent="0.2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</row>
    <row r="408" spans="1:28" x14ac:dyDescent="0.2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</row>
    <row r="409" spans="1:28" x14ac:dyDescent="0.2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</row>
    <row r="410" spans="1:28" x14ac:dyDescent="0.2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</row>
    <row r="411" spans="1:28" x14ac:dyDescent="0.2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</row>
    <row r="412" spans="1:28" x14ac:dyDescent="0.2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</row>
    <row r="413" spans="1:28" x14ac:dyDescent="0.2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</row>
    <row r="414" spans="1:28" x14ac:dyDescent="0.2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</row>
    <row r="415" spans="1:28" x14ac:dyDescent="0.2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</row>
    <row r="416" spans="1:28" x14ac:dyDescent="0.2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</row>
    <row r="417" spans="1:28" x14ac:dyDescent="0.2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</row>
    <row r="418" spans="1:28" x14ac:dyDescent="0.2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</row>
    <row r="419" spans="1:28" x14ac:dyDescent="0.2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</row>
    <row r="420" spans="1:28" x14ac:dyDescent="0.2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</row>
    <row r="421" spans="1:28" x14ac:dyDescent="0.2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</row>
    <row r="422" spans="1:28" x14ac:dyDescent="0.2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</row>
    <row r="423" spans="1:28" x14ac:dyDescent="0.2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</row>
    <row r="424" spans="1:28" x14ac:dyDescent="0.2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</row>
    <row r="425" spans="1:28" x14ac:dyDescent="0.2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</row>
    <row r="426" spans="1:28" x14ac:dyDescent="0.2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</row>
    <row r="427" spans="1:28" x14ac:dyDescent="0.2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</row>
    <row r="428" spans="1:28" x14ac:dyDescent="0.2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</row>
    <row r="429" spans="1:28" x14ac:dyDescent="0.2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</row>
    <row r="430" spans="1:28" x14ac:dyDescent="0.2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</row>
    <row r="431" spans="1:28" x14ac:dyDescent="0.2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</row>
    <row r="432" spans="1:28" x14ac:dyDescent="0.2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</row>
    <row r="433" spans="1:28" x14ac:dyDescent="0.2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</row>
    <row r="434" spans="1:28" x14ac:dyDescent="0.2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</row>
    <row r="435" spans="1:28" x14ac:dyDescent="0.2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</row>
    <row r="436" spans="1:28" x14ac:dyDescent="0.2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</row>
    <row r="437" spans="1:28" x14ac:dyDescent="0.2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</row>
    <row r="438" spans="1:28" x14ac:dyDescent="0.2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</row>
    <row r="439" spans="1:28" x14ac:dyDescent="0.2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</row>
    <row r="440" spans="1:28" x14ac:dyDescent="0.2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</row>
    <row r="441" spans="1:28" x14ac:dyDescent="0.2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</row>
    <row r="442" spans="1:28" x14ac:dyDescent="0.2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</row>
    <row r="443" spans="1:28" x14ac:dyDescent="0.2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</row>
    <row r="444" spans="1:28" x14ac:dyDescent="0.2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</row>
    <row r="445" spans="1:28" x14ac:dyDescent="0.2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</row>
    <row r="446" spans="1:28" x14ac:dyDescent="0.2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</row>
    <row r="447" spans="1:28" x14ac:dyDescent="0.2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</row>
    <row r="448" spans="1:28" x14ac:dyDescent="0.2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</row>
    <row r="449" spans="1:28" x14ac:dyDescent="0.2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</row>
    <row r="450" spans="1:28" x14ac:dyDescent="0.2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</row>
    <row r="451" spans="1:28" x14ac:dyDescent="0.2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</row>
    <row r="452" spans="1:28" x14ac:dyDescent="0.2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</row>
    <row r="453" spans="1:28" x14ac:dyDescent="0.2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</row>
    <row r="454" spans="1:28" x14ac:dyDescent="0.2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</row>
    <row r="455" spans="1:28" x14ac:dyDescent="0.2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</row>
    <row r="456" spans="1:28" x14ac:dyDescent="0.2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</row>
    <row r="457" spans="1:28" x14ac:dyDescent="0.2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</row>
    <row r="458" spans="1:28" x14ac:dyDescent="0.2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</row>
    <row r="459" spans="1:28" x14ac:dyDescent="0.2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</row>
    <row r="460" spans="1:28" x14ac:dyDescent="0.2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</row>
    <row r="461" spans="1:28" x14ac:dyDescent="0.2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</row>
    <row r="462" spans="1:28" x14ac:dyDescent="0.2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</row>
    <row r="463" spans="1:28" x14ac:dyDescent="0.2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</row>
    <row r="464" spans="1:28" x14ac:dyDescent="0.2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</row>
    <row r="465" spans="1:28" x14ac:dyDescent="0.2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</row>
    <row r="466" spans="1:28" x14ac:dyDescent="0.2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</row>
    <row r="467" spans="1:28" x14ac:dyDescent="0.2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</row>
    <row r="468" spans="1:28" x14ac:dyDescent="0.2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</row>
    <row r="469" spans="1:28" x14ac:dyDescent="0.2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</row>
    <row r="470" spans="1:28" x14ac:dyDescent="0.2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</row>
    <row r="471" spans="1:28" x14ac:dyDescent="0.2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</row>
    <row r="472" spans="1:28" x14ac:dyDescent="0.2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</row>
    <row r="473" spans="1:28" x14ac:dyDescent="0.2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</row>
    <row r="474" spans="1:28" x14ac:dyDescent="0.2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</row>
    <row r="475" spans="1:28" x14ac:dyDescent="0.2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</row>
    <row r="476" spans="1:28" x14ac:dyDescent="0.2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</row>
    <row r="477" spans="1:28" x14ac:dyDescent="0.2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</row>
    <row r="478" spans="1:28" x14ac:dyDescent="0.2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</row>
    <row r="479" spans="1:28" x14ac:dyDescent="0.2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</row>
    <row r="480" spans="1:28" x14ac:dyDescent="0.2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</row>
    <row r="481" spans="1:28" x14ac:dyDescent="0.2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</row>
    <row r="482" spans="1:28" x14ac:dyDescent="0.2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</row>
    <row r="483" spans="1:28" x14ac:dyDescent="0.2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</row>
    <row r="484" spans="1:28" x14ac:dyDescent="0.2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</row>
    <row r="485" spans="1:28" x14ac:dyDescent="0.2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</row>
    <row r="486" spans="1:28" x14ac:dyDescent="0.2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</row>
    <row r="487" spans="1:28" x14ac:dyDescent="0.2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</row>
    <row r="488" spans="1:28" x14ac:dyDescent="0.2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</row>
    <row r="489" spans="1:28" x14ac:dyDescent="0.2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</row>
    <row r="490" spans="1:28" x14ac:dyDescent="0.2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</row>
    <row r="491" spans="1:28" x14ac:dyDescent="0.2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</row>
    <row r="492" spans="1:28" x14ac:dyDescent="0.2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</row>
    <row r="493" spans="1:28" x14ac:dyDescent="0.2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</row>
    <row r="494" spans="1:28" x14ac:dyDescent="0.2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</row>
    <row r="495" spans="1:28" x14ac:dyDescent="0.2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</row>
    <row r="496" spans="1:28" x14ac:dyDescent="0.2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</row>
    <row r="497" spans="1:28" x14ac:dyDescent="0.2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</row>
    <row r="498" spans="1:28" x14ac:dyDescent="0.2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</row>
    <row r="499" spans="1:28" x14ac:dyDescent="0.2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</row>
    <row r="500" spans="1:28" x14ac:dyDescent="0.2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</row>
    <row r="501" spans="1:28" x14ac:dyDescent="0.2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</row>
    <row r="502" spans="1:28" x14ac:dyDescent="0.2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</row>
    <row r="503" spans="1:28" x14ac:dyDescent="0.2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</row>
    <row r="504" spans="1:28" x14ac:dyDescent="0.2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</row>
    <row r="505" spans="1:28" x14ac:dyDescent="0.2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</row>
    <row r="506" spans="1:28" x14ac:dyDescent="0.2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</row>
    <row r="507" spans="1:28" x14ac:dyDescent="0.2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</row>
    <row r="508" spans="1:28" x14ac:dyDescent="0.2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</row>
    <row r="509" spans="1:28" x14ac:dyDescent="0.2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</row>
    <row r="510" spans="1:28" x14ac:dyDescent="0.2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</row>
    <row r="511" spans="1:28" x14ac:dyDescent="0.2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</row>
    <row r="512" spans="1:28" x14ac:dyDescent="0.2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</row>
    <row r="513" spans="1:28" x14ac:dyDescent="0.2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</row>
    <row r="514" spans="1:28" x14ac:dyDescent="0.2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</row>
    <row r="515" spans="1:28" x14ac:dyDescent="0.2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</row>
    <row r="516" spans="1:28" x14ac:dyDescent="0.2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</row>
    <row r="517" spans="1:28" x14ac:dyDescent="0.2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</row>
    <row r="518" spans="1:28" x14ac:dyDescent="0.2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</row>
    <row r="519" spans="1:28" x14ac:dyDescent="0.2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</row>
    <row r="520" spans="1:28" x14ac:dyDescent="0.2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</row>
    <row r="521" spans="1:28" x14ac:dyDescent="0.2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</row>
    <row r="522" spans="1:28" x14ac:dyDescent="0.2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</row>
    <row r="523" spans="1:28" x14ac:dyDescent="0.2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</row>
    <row r="524" spans="1:28" x14ac:dyDescent="0.2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</row>
    <row r="525" spans="1:28" x14ac:dyDescent="0.2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</row>
    <row r="526" spans="1:28" x14ac:dyDescent="0.2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</row>
    <row r="527" spans="1:28" x14ac:dyDescent="0.2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</row>
    <row r="528" spans="1:28" x14ac:dyDescent="0.2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</row>
    <row r="529" spans="1:28" x14ac:dyDescent="0.2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</row>
    <row r="530" spans="1:28" x14ac:dyDescent="0.2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</row>
    <row r="531" spans="1:28" x14ac:dyDescent="0.2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</row>
    <row r="532" spans="1:28" x14ac:dyDescent="0.2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</row>
    <row r="533" spans="1:28" x14ac:dyDescent="0.2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</row>
    <row r="534" spans="1:28" x14ac:dyDescent="0.2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</row>
    <row r="535" spans="1:28" x14ac:dyDescent="0.2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</row>
    <row r="536" spans="1:28" x14ac:dyDescent="0.2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</row>
    <row r="537" spans="1:28" x14ac:dyDescent="0.2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</row>
    <row r="538" spans="1:28" x14ac:dyDescent="0.2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</row>
    <row r="539" spans="1:28" x14ac:dyDescent="0.2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</row>
    <row r="540" spans="1:28" x14ac:dyDescent="0.2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</row>
    <row r="541" spans="1:28" x14ac:dyDescent="0.2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</row>
    <row r="542" spans="1:28" x14ac:dyDescent="0.2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</row>
    <row r="543" spans="1:28" x14ac:dyDescent="0.2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</row>
    <row r="544" spans="1:28" x14ac:dyDescent="0.2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</row>
    <row r="545" spans="1:28" x14ac:dyDescent="0.2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</row>
    <row r="546" spans="1:28" x14ac:dyDescent="0.2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</row>
    <row r="547" spans="1:28" x14ac:dyDescent="0.2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</row>
    <row r="548" spans="1:28" x14ac:dyDescent="0.2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</row>
    <row r="549" spans="1:28" x14ac:dyDescent="0.2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</row>
    <row r="550" spans="1:28" x14ac:dyDescent="0.2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</row>
    <row r="551" spans="1:28" x14ac:dyDescent="0.2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</row>
    <row r="552" spans="1:28" x14ac:dyDescent="0.2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</row>
    <row r="553" spans="1:28" x14ac:dyDescent="0.2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</row>
    <row r="554" spans="1:28" x14ac:dyDescent="0.2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</row>
    <row r="555" spans="1:28" x14ac:dyDescent="0.2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</row>
    <row r="556" spans="1:28" x14ac:dyDescent="0.2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</row>
    <row r="557" spans="1:28" x14ac:dyDescent="0.2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</row>
    <row r="558" spans="1:28" x14ac:dyDescent="0.2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</row>
    <row r="559" spans="1:28" x14ac:dyDescent="0.2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</row>
    <row r="560" spans="1:28" x14ac:dyDescent="0.2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</row>
    <row r="561" spans="1:28" x14ac:dyDescent="0.2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</row>
    <row r="562" spans="1:28" x14ac:dyDescent="0.2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</row>
    <row r="563" spans="1:28" x14ac:dyDescent="0.2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</row>
    <row r="564" spans="1:28" x14ac:dyDescent="0.2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</row>
    <row r="565" spans="1:28" x14ac:dyDescent="0.2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</row>
    <row r="566" spans="1:28" x14ac:dyDescent="0.2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</row>
    <row r="567" spans="1:28" x14ac:dyDescent="0.2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</row>
    <row r="568" spans="1:28" x14ac:dyDescent="0.2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</row>
    <row r="569" spans="1:28" x14ac:dyDescent="0.2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</row>
    <row r="570" spans="1:28" x14ac:dyDescent="0.2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</row>
    <row r="571" spans="1:28" x14ac:dyDescent="0.2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</row>
    <row r="572" spans="1:28" x14ac:dyDescent="0.2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</row>
    <row r="573" spans="1:28" x14ac:dyDescent="0.2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</row>
    <row r="574" spans="1:28" x14ac:dyDescent="0.2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</row>
    <row r="575" spans="1:28" x14ac:dyDescent="0.2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</row>
    <row r="576" spans="1:28" x14ac:dyDescent="0.2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</row>
    <row r="577" spans="1:28" x14ac:dyDescent="0.2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</row>
    <row r="578" spans="1:28" x14ac:dyDescent="0.2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</row>
    <row r="579" spans="1:28" x14ac:dyDescent="0.2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</row>
    <row r="580" spans="1:28" x14ac:dyDescent="0.2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</row>
    <row r="581" spans="1:28" x14ac:dyDescent="0.2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</row>
    <row r="582" spans="1:28" x14ac:dyDescent="0.2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</row>
    <row r="583" spans="1:28" x14ac:dyDescent="0.2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</row>
    <row r="584" spans="1:28" x14ac:dyDescent="0.2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</row>
    <row r="585" spans="1:28" x14ac:dyDescent="0.2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</row>
    <row r="586" spans="1:28" x14ac:dyDescent="0.2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</row>
    <row r="587" spans="1:28" x14ac:dyDescent="0.2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</row>
    <row r="588" spans="1:28" x14ac:dyDescent="0.2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</row>
    <row r="589" spans="1:28" x14ac:dyDescent="0.2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</row>
    <row r="590" spans="1:28" x14ac:dyDescent="0.2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</row>
    <row r="591" spans="1:28" x14ac:dyDescent="0.2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</row>
    <row r="592" spans="1:28" x14ac:dyDescent="0.2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</row>
    <row r="593" spans="1:28" x14ac:dyDescent="0.2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</row>
    <row r="594" spans="1:28" x14ac:dyDescent="0.2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</row>
    <row r="595" spans="1:28" x14ac:dyDescent="0.2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</row>
    <row r="596" spans="1:28" x14ac:dyDescent="0.2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</row>
    <row r="597" spans="1:28" x14ac:dyDescent="0.2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</row>
    <row r="598" spans="1:28" x14ac:dyDescent="0.2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</row>
    <row r="599" spans="1:28" x14ac:dyDescent="0.2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</row>
    <row r="600" spans="1:28" x14ac:dyDescent="0.2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</row>
    <row r="601" spans="1:28" x14ac:dyDescent="0.2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</row>
    <row r="602" spans="1:28" x14ac:dyDescent="0.2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</row>
    <row r="603" spans="1:28" x14ac:dyDescent="0.2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</row>
    <row r="604" spans="1:28" x14ac:dyDescent="0.2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</row>
    <row r="605" spans="1:28" x14ac:dyDescent="0.2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</row>
    <row r="606" spans="1:28" x14ac:dyDescent="0.2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</row>
    <row r="607" spans="1:28" x14ac:dyDescent="0.2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</row>
    <row r="608" spans="1:28" x14ac:dyDescent="0.2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</row>
    <row r="609" spans="1:28" x14ac:dyDescent="0.2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</row>
    <row r="610" spans="1:28" x14ac:dyDescent="0.2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</row>
    <row r="611" spans="1:28" x14ac:dyDescent="0.2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</row>
    <row r="612" spans="1:28" x14ac:dyDescent="0.2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</row>
    <row r="613" spans="1:28" x14ac:dyDescent="0.2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</row>
    <row r="614" spans="1:28" x14ac:dyDescent="0.2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</row>
    <row r="615" spans="1:28" x14ac:dyDescent="0.2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</row>
    <row r="616" spans="1:28" x14ac:dyDescent="0.2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</row>
    <row r="617" spans="1:28" x14ac:dyDescent="0.2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</row>
    <row r="618" spans="1:28" x14ac:dyDescent="0.2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</row>
    <row r="619" spans="1:28" x14ac:dyDescent="0.2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</row>
    <row r="620" spans="1:28" x14ac:dyDescent="0.2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</row>
    <row r="621" spans="1:28" x14ac:dyDescent="0.2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</row>
    <row r="622" spans="1:28" x14ac:dyDescent="0.2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</row>
    <row r="623" spans="1:28" x14ac:dyDescent="0.2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</row>
    <row r="624" spans="1:28" x14ac:dyDescent="0.2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</row>
    <row r="625" spans="1:28" x14ac:dyDescent="0.2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</row>
    <row r="626" spans="1:28" x14ac:dyDescent="0.2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</row>
    <row r="627" spans="1:28" x14ac:dyDescent="0.2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</row>
    <row r="628" spans="1:28" x14ac:dyDescent="0.2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</row>
    <row r="629" spans="1:28" x14ac:dyDescent="0.2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</row>
    <row r="630" spans="1:28" x14ac:dyDescent="0.2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</row>
    <row r="631" spans="1:28" x14ac:dyDescent="0.2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</row>
    <row r="632" spans="1:28" x14ac:dyDescent="0.2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</row>
    <row r="633" spans="1:28" x14ac:dyDescent="0.2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</row>
    <row r="634" spans="1:28" x14ac:dyDescent="0.2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</row>
    <row r="635" spans="1:28" x14ac:dyDescent="0.2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</row>
    <row r="636" spans="1:28" x14ac:dyDescent="0.2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</row>
    <row r="637" spans="1:28" x14ac:dyDescent="0.2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</row>
    <row r="638" spans="1:28" x14ac:dyDescent="0.2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</row>
    <row r="639" spans="1:28" x14ac:dyDescent="0.2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</row>
    <row r="640" spans="1:28" x14ac:dyDescent="0.2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</row>
    <row r="641" spans="1:28" x14ac:dyDescent="0.2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</row>
    <row r="642" spans="1:28" x14ac:dyDescent="0.2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</row>
    <row r="643" spans="1:28" x14ac:dyDescent="0.2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</row>
    <row r="644" spans="1:28" x14ac:dyDescent="0.2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</row>
    <row r="645" spans="1:28" x14ac:dyDescent="0.2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</row>
    <row r="646" spans="1:28" x14ac:dyDescent="0.2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</row>
    <row r="647" spans="1:28" x14ac:dyDescent="0.2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</row>
    <row r="648" spans="1:28" x14ac:dyDescent="0.2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</row>
    <row r="649" spans="1:28" x14ac:dyDescent="0.2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</row>
    <row r="650" spans="1:28" x14ac:dyDescent="0.2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</row>
    <row r="651" spans="1:28" x14ac:dyDescent="0.2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</row>
    <row r="652" spans="1:28" x14ac:dyDescent="0.2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</row>
    <row r="653" spans="1:28" x14ac:dyDescent="0.2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</row>
    <row r="654" spans="1:28" x14ac:dyDescent="0.2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</row>
    <row r="655" spans="1:28" x14ac:dyDescent="0.2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</row>
    <row r="656" spans="1:28" x14ac:dyDescent="0.2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</row>
    <row r="657" spans="1:28" x14ac:dyDescent="0.2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</row>
    <row r="658" spans="1:28" x14ac:dyDescent="0.2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</row>
    <row r="659" spans="1:28" x14ac:dyDescent="0.2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</row>
    <row r="660" spans="1:28" x14ac:dyDescent="0.2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</row>
    <row r="661" spans="1:28" x14ac:dyDescent="0.2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</row>
    <row r="662" spans="1:28" x14ac:dyDescent="0.2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</row>
    <row r="663" spans="1:28" x14ac:dyDescent="0.2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</row>
    <row r="664" spans="1:28" x14ac:dyDescent="0.2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</row>
    <row r="665" spans="1:28" x14ac:dyDescent="0.2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</row>
    <row r="666" spans="1:28" x14ac:dyDescent="0.2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</row>
    <row r="667" spans="1:28" x14ac:dyDescent="0.2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</row>
    <row r="668" spans="1:28" x14ac:dyDescent="0.2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</row>
    <row r="669" spans="1:28" x14ac:dyDescent="0.2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</row>
    <row r="670" spans="1:28" x14ac:dyDescent="0.2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</row>
    <row r="671" spans="1:28" x14ac:dyDescent="0.2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</row>
    <row r="672" spans="1:28" x14ac:dyDescent="0.2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</row>
    <row r="673" spans="1:28" x14ac:dyDescent="0.2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</row>
    <row r="674" spans="1:28" x14ac:dyDescent="0.2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</row>
    <row r="675" spans="1:28" x14ac:dyDescent="0.2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</row>
    <row r="676" spans="1:28" x14ac:dyDescent="0.2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</row>
    <row r="677" spans="1:28" x14ac:dyDescent="0.2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</row>
    <row r="678" spans="1:28" x14ac:dyDescent="0.2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</row>
    <row r="679" spans="1:28" x14ac:dyDescent="0.2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</row>
    <row r="680" spans="1:28" x14ac:dyDescent="0.2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</row>
    <row r="681" spans="1:28" x14ac:dyDescent="0.2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</row>
    <row r="682" spans="1:28" x14ac:dyDescent="0.2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</row>
    <row r="683" spans="1:28" x14ac:dyDescent="0.2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</row>
    <row r="684" spans="1:28" x14ac:dyDescent="0.2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</row>
    <row r="685" spans="1:28" x14ac:dyDescent="0.2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</row>
    <row r="686" spans="1:28" x14ac:dyDescent="0.2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</row>
    <row r="687" spans="1:28" x14ac:dyDescent="0.2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</row>
    <row r="688" spans="1:28" x14ac:dyDescent="0.2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</row>
    <row r="689" spans="1:28" x14ac:dyDescent="0.2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</row>
    <row r="690" spans="1:28" x14ac:dyDescent="0.2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</row>
    <row r="691" spans="1:28" x14ac:dyDescent="0.2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</row>
    <row r="692" spans="1:28" x14ac:dyDescent="0.2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</row>
    <row r="693" spans="1:28" x14ac:dyDescent="0.2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</row>
    <row r="694" spans="1:28" x14ac:dyDescent="0.2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</row>
    <row r="695" spans="1:28" x14ac:dyDescent="0.2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</row>
    <row r="696" spans="1:28" x14ac:dyDescent="0.2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</row>
    <row r="697" spans="1:28" x14ac:dyDescent="0.2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</row>
    <row r="698" spans="1:28" x14ac:dyDescent="0.2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</row>
    <row r="699" spans="1:28" x14ac:dyDescent="0.2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</row>
    <row r="700" spans="1:28" x14ac:dyDescent="0.2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</row>
    <row r="701" spans="1:28" x14ac:dyDescent="0.2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</row>
    <row r="702" spans="1:28" x14ac:dyDescent="0.2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</row>
    <row r="703" spans="1:28" x14ac:dyDescent="0.2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</row>
    <row r="704" spans="1:28" x14ac:dyDescent="0.2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</row>
    <row r="705" spans="1:28" x14ac:dyDescent="0.2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</row>
    <row r="706" spans="1:28" x14ac:dyDescent="0.2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</row>
    <row r="707" spans="1:28" x14ac:dyDescent="0.2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</row>
    <row r="708" spans="1:28" x14ac:dyDescent="0.2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</row>
    <row r="709" spans="1:28" x14ac:dyDescent="0.2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</row>
    <row r="710" spans="1:28" x14ac:dyDescent="0.2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</row>
    <row r="711" spans="1:28" x14ac:dyDescent="0.2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</row>
    <row r="712" spans="1:28" x14ac:dyDescent="0.2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</row>
    <row r="713" spans="1:28" x14ac:dyDescent="0.2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</row>
    <row r="714" spans="1:28" x14ac:dyDescent="0.2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</row>
    <row r="715" spans="1:28" x14ac:dyDescent="0.2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</row>
    <row r="716" spans="1:28" x14ac:dyDescent="0.2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</row>
    <row r="717" spans="1:28" x14ac:dyDescent="0.2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</row>
    <row r="718" spans="1:28" x14ac:dyDescent="0.2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</row>
    <row r="719" spans="1:28" x14ac:dyDescent="0.2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</row>
    <row r="720" spans="1:28" x14ac:dyDescent="0.2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</row>
    <row r="721" spans="1:28" x14ac:dyDescent="0.2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</row>
    <row r="722" spans="1:28" x14ac:dyDescent="0.2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</row>
    <row r="723" spans="1:28" x14ac:dyDescent="0.2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</row>
    <row r="724" spans="1:28" x14ac:dyDescent="0.2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</row>
    <row r="725" spans="1:28" x14ac:dyDescent="0.2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</row>
    <row r="726" spans="1:28" x14ac:dyDescent="0.2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</row>
    <row r="727" spans="1:28" x14ac:dyDescent="0.2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</row>
    <row r="728" spans="1:28" x14ac:dyDescent="0.2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</row>
    <row r="729" spans="1:28" x14ac:dyDescent="0.2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</row>
    <row r="730" spans="1:28" x14ac:dyDescent="0.2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</row>
    <row r="731" spans="1:28" x14ac:dyDescent="0.2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</row>
    <row r="732" spans="1:28" x14ac:dyDescent="0.2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</row>
    <row r="733" spans="1:28" x14ac:dyDescent="0.2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</row>
    <row r="734" spans="1:28" x14ac:dyDescent="0.2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</row>
    <row r="735" spans="1:28" x14ac:dyDescent="0.2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</row>
    <row r="736" spans="1:28" x14ac:dyDescent="0.2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</row>
    <row r="737" spans="1:28" x14ac:dyDescent="0.2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</row>
    <row r="738" spans="1:28" x14ac:dyDescent="0.2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</row>
    <row r="739" spans="1:28" x14ac:dyDescent="0.2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</row>
    <row r="740" spans="1:28" x14ac:dyDescent="0.2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</row>
    <row r="741" spans="1:28" x14ac:dyDescent="0.2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</row>
    <row r="742" spans="1:28" x14ac:dyDescent="0.2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</row>
    <row r="743" spans="1:28" x14ac:dyDescent="0.2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</row>
    <row r="744" spans="1:28" x14ac:dyDescent="0.2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</row>
    <row r="745" spans="1:28" x14ac:dyDescent="0.2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</row>
    <row r="746" spans="1:28" x14ac:dyDescent="0.2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</row>
    <row r="747" spans="1:28" x14ac:dyDescent="0.2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</row>
    <row r="748" spans="1:28" x14ac:dyDescent="0.2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</row>
    <row r="749" spans="1:28" x14ac:dyDescent="0.2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</row>
    <row r="750" spans="1:28" x14ac:dyDescent="0.2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</row>
    <row r="751" spans="1:28" x14ac:dyDescent="0.2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</row>
    <row r="752" spans="1:28" x14ac:dyDescent="0.2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</row>
    <row r="753" spans="1:28" x14ac:dyDescent="0.2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</row>
    <row r="754" spans="1:28" x14ac:dyDescent="0.2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</row>
    <row r="755" spans="1:28" x14ac:dyDescent="0.2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</row>
    <row r="756" spans="1:28" x14ac:dyDescent="0.2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</row>
    <row r="757" spans="1:28" x14ac:dyDescent="0.2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</row>
    <row r="758" spans="1:28" x14ac:dyDescent="0.2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</row>
    <row r="759" spans="1:28" x14ac:dyDescent="0.2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</row>
    <row r="760" spans="1:28" x14ac:dyDescent="0.2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</row>
    <row r="761" spans="1:28" x14ac:dyDescent="0.2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</row>
    <row r="762" spans="1:28" x14ac:dyDescent="0.2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</row>
    <row r="763" spans="1:28" x14ac:dyDescent="0.2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</row>
    <row r="764" spans="1:28" x14ac:dyDescent="0.2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</row>
    <row r="765" spans="1:28" x14ac:dyDescent="0.2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</row>
    <row r="766" spans="1:28" x14ac:dyDescent="0.2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</row>
    <row r="767" spans="1:28" x14ac:dyDescent="0.2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</row>
    <row r="768" spans="1:28" x14ac:dyDescent="0.2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</row>
    <row r="769" spans="1:28" x14ac:dyDescent="0.2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</row>
    <row r="770" spans="1:28" x14ac:dyDescent="0.2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</row>
    <row r="771" spans="1:28" x14ac:dyDescent="0.2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</row>
    <row r="772" spans="1:28" x14ac:dyDescent="0.2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</row>
    <row r="773" spans="1:28" x14ac:dyDescent="0.2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</row>
    <row r="774" spans="1:28" x14ac:dyDescent="0.2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</row>
    <row r="775" spans="1:28" x14ac:dyDescent="0.2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</row>
    <row r="776" spans="1:28" x14ac:dyDescent="0.2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</row>
    <row r="777" spans="1:28" x14ac:dyDescent="0.2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</row>
    <row r="778" spans="1:28" x14ac:dyDescent="0.2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</row>
    <row r="779" spans="1:28" x14ac:dyDescent="0.2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</row>
    <row r="780" spans="1:28" x14ac:dyDescent="0.2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</row>
    <row r="781" spans="1:28" x14ac:dyDescent="0.2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</row>
    <row r="782" spans="1:28" x14ac:dyDescent="0.2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</row>
    <row r="783" spans="1:28" x14ac:dyDescent="0.2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</row>
    <row r="784" spans="1:28" x14ac:dyDescent="0.2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</row>
    <row r="785" spans="1:28" x14ac:dyDescent="0.2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</row>
    <row r="786" spans="1:28" x14ac:dyDescent="0.2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</row>
    <row r="787" spans="1:28" x14ac:dyDescent="0.2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</row>
    <row r="788" spans="1:28" x14ac:dyDescent="0.2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</row>
    <row r="789" spans="1:28" x14ac:dyDescent="0.2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</row>
    <row r="790" spans="1:28" x14ac:dyDescent="0.2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</row>
    <row r="791" spans="1:28" x14ac:dyDescent="0.2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</row>
    <row r="792" spans="1:28" x14ac:dyDescent="0.2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</row>
    <row r="793" spans="1:28" x14ac:dyDescent="0.2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</row>
    <row r="794" spans="1:28" x14ac:dyDescent="0.2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</row>
    <row r="795" spans="1:28" x14ac:dyDescent="0.2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</row>
    <row r="796" spans="1:28" x14ac:dyDescent="0.2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</row>
    <row r="797" spans="1:28" x14ac:dyDescent="0.2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</row>
    <row r="798" spans="1:28" x14ac:dyDescent="0.2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</row>
    <row r="799" spans="1:28" x14ac:dyDescent="0.2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</row>
    <row r="800" spans="1:28" x14ac:dyDescent="0.2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</row>
    <row r="801" spans="1:28" x14ac:dyDescent="0.2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</row>
    <row r="802" spans="1:28" x14ac:dyDescent="0.2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</row>
    <row r="803" spans="1:28" x14ac:dyDescent="0.2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</row>
    <row r="804" spans="1:28" x14ac:dyDescent="0.2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</row>
    <row r="805" spans="1:28" x14ac:dyDescent="0.2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</row>
    <row r="806" spans="1:28" x14ac:dyDescent="0.2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</row>
    <row r="807" spans="1:28" x14ac:dyDescent="0.2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</row>
    <row r="808" spans="1:28" x14ac:dyDescent="0.2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</row>
    <row r="809" spans="1:28" x14ac:dyDescent="0.2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</row>
    <row r="810" spans="1:28" x14ac:dyDescent="0.2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</row>
    <row r="811" spans="1:28" x14ac:dyDescent="0.2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</row>
    <row r="812" spans="1:28" x14ac:dyDescent="0.2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</row>
    <row r="813" spans="1:28" x14ac:dyDescent="0.2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</row>
    <row r="814" spans="1:28" x14ac:dyDescent="0.2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</row>
    <row r="815" spans="1:28" x14ac:dyDescent="0.2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</row>
    <row r="816" spans="1:28" x14ac:dyDescent="0.2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</row>
    <row r="817" spans="1:28" x14ac:dyDescent="0.2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</row>
    <row r="818" spans="1:28" x14ac:dyDescent="0.2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</row>
    <row r="819" spans="1:28" x14ac:dyDescent="0.2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</row>
    <row r="820" spans="1:28" x14ac:dyDescent="0.2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</row>
    <row r="821" spans="1:28" x14ac:dyDescent="0.2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</row>
    <row r="822" spans="1:28" x14ac:dyDescent="0.2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</row>
    <row r="823" spans="1:28" x14ac:dyDescent="0.2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</row>
    <row r="824" spans="1:28" x14ac:dyDescent="0.2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</row>
    <row r="825" spans="1:28" x14ac:dyDescent="0.2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</row>
    <row r="826" spans="1:28" x14ac:dyDescent="0.2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</row>
    <row r="827" spans="1:28" x14ac:dyDescent="0.2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</row>
    <row r="828" spans="1:28" x14ac:dyDescent="0.2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</row>
    <row r="829" spans="1:28" x14ac:dyDescent="0.2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</row>
    <row r="830" spans="1:28" x14ac:dyDescent="0.2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</row>
    <row r="831" spans="1:28" x14ac:dyDescent="0.2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</row>
    <row r="832" spans="1:28" x14ac:dyDescent="0.2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</row>
    <row r="833" spans="1:28" x14ac:dyDescent="0.2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</row>
    <row r="834" spans="1:28" x14ac:dyDescent="0.2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</row>
    <row r="835" spans="1:28" x14ac:dyDescent="0.2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</row>
    <row r="836" spans="1:28" x14ac:dyDescent="0.2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</row>
    <row r="837" spans="1:28" x14ac:dyDescent="0.2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</row>
    <row r="838" spans="1:28" x14ac:dyDescent="0.2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</row>
    <row r="839" spans="1:28" x14ac:dyDescent="0.2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</row>
    <row r="840" spans="1:28" x14ac:dyDescent="0.2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</row>
    <row r="841" spans="1:28" x14ac:dyDescent="0.2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</row>
    <row r="842" spans="1:28" x14ac:dyDescent="0.2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</row>
    <row r="843" spans="1:28" x14ac:dyDescent="0.2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</row>
    <row r="844" spans="1:28" x14ac:dyDescent="0.2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</row>
    <row r="845" spans="1:28" x14ac:dyDescent="0.2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</row>
    <row r="846" spans="1:28" x14ac:dyDescent="0.2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</row>
    <row r="847" spans="1:28" x14ac:dyDescent="0.2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</row>
    <row r="848" spans="1:28" x14ac:dyDescent="0.2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</row>
    <row r="849" spans="1:28" x14ac:dyDescent="0.2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</row>
    <row r="850" spans="1:28" x14ac:dyDescent="0.2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</row>
    <row r="851" spans="1:28" x14ac:dyDescent="0.2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</row>
    <row r="852" spans="1:28" x14ac:dyDescent="0.2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</row>
    <row r="853" spans="1:28" x14ac:dyDescent="0.2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</row>
    <row r="854" spans="1:28" x14ac:dyDescent="0.2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</row>
    <row r="855" spans="1:28" x14ac:dyDescent="0.2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</row>
    <row r="856" spans="1:28" x14ac:dyDescent="0.2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</row>
    <row r="857" spans="1:28" x14ac:dyDescent="0.2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</row>
    <row r="858" spans="1:28" x14ac:dyDescent="0.2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</row>
    <row r="859" spans="1:28" x14ac:dyDescent="0.2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</row>
    <row r="860" spans="1:28" x14ac:dyDescent="0.2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</row>
    <row r="861" spans="1:28" x14ac:dyDescent="0.2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</row>
    <row r="862" spans="1:28" x14ac:dyDescent="0.2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</row>
    <row r="863" spans="1:28" x14ac:dyDescent="0.2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</row>
    <row r="864" spans="1:28" x14ac:dyDescent="0.2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</row>
    <row r="865" spans="1:28" x14ac:dyDescent="0.2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</row>
    <row r="866" spans="1:28" x14ac:dyDescent="0.2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</row>
    <row r="867" spans="1:28" x14ac:dyDescent="0.2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</row>
    <row r="868" spans="1:28" x14ac:dyDescent="0.2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</row>
    <row r="869" spans="1:28" x14ac:dyDescent="0.2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</row>
    <row r="870" spans="1:28" x14ac:dyDescent="0.2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</row>
    <row r="871" spans="1:28" x14ac:dyDescent="0.2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</row>
    <row r="872" spans="1:28" x14ac:dyDescent="0.2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</row>
    <row r="873" spans="1:28" x14ac:dyDescent="0.2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</row>
    <row r="874" spans="1:28" x14ac:dyDescent="0.2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9"/>
    </row>
    <row r="875" spans="1:28" x14ac:dyDescent="0.2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9"/>
    </row>
    <row r="876" spans="1:28" x14ac:dyDescent="0.2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9"/>
    </row>
    <row r="877" spans="1:28" x14ac:dyDescent="0.2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9"/>
    </row>
    <row r="878" spans="1:28" x14ac:dyDescent="0.2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</row>
    <row r="879" spans="1:28" x14ac:dyDescent="0.2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9"/>
    </row>
    <row r="880" spans="1:28" x14ac:dyDescent="0.2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  <c r="AB880" s="9"/>
    </row>
    <row r="881" spans="1:28" x14ac:dyDescent="0.2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9"/>
    </row>
    <row r="882" spans="1:28" x14ac:dyDescent="0.2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</row>
    <row r="883" spans="1:28" x14ac:dyDescent="0.2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9"/>
    </row>
    <row r="884" spans="1:28" x14ac:dyDescent="0.2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  <c r="AB884" s="9"/>
    </row>
    <row r="885" spans="1:28" x14ac:dyDescent="0.2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9"/>
    </row>
    <row r="886" spans="1:28" x14ac:dyDescent="0.2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</row>
    <row r="887" spans="1:28" x14ac:dyDescent="0.2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9"/>
    </row>
    <row r="888" spans="1:28" x14ac:dyDescent="0.2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  <c r="AB888" s="9"/>
    </row>
    <row r="889" spans="1:28" x14ac:dyDescent="0.2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9"/>
    </row>
    <row r="890" spans="1:28" x14ac:dyDescent="0.2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  <c r="AB890" s="9"/>
    </row>
    <row r="891" spans="1:28" x14ac:dyDescent="0.2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  <c r="AB891" s="9"/>
    </row>
    <row r="892" spans="1:28" x14ac:dyDescent="0.2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  <c r="AB892" s="9"/>
    </row>
    <row r="893" spans="1:28" x14ac:dyDescent="0.2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  <c r="AB893" s="9"/>
    </row>
    <row r="894" spans="1:28" x14ac:dyDescent="0.2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  <c r="AB894" s="9"/>
    </row>
    <row r="895" spans="1:28" x14ac:dyDescent="0.2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  <c r="AB895" s="9"/>
    </row>
    <row r="896" spans="1:28" x14ac:dyDescent="0.2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  <c r="AB896" s="9"/>
    </row>
    <row r="897" spans="1:28" x14ac:dyDescent="0.2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  <c r="AB897" s="9"/>
    </row>
    <row r="898" spans="1:28" x14ac:dyDescent="0.2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  <c r="AB898" s="9"/>
    </row>
    <row r="899" spans="1:28" x14ac:dyDescent="0.2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  <c r="AB899" s="9"/>
    </row>
    <row r="900" spans="1:28" x14ac:dyDescent="0.2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  <c r="AB900" s="9"/>
    </row>
    <row r="901" spans="1:28" x14ac:dyDescent="0.2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  <c r="AB901" s="9"/>
    </row>
    <row r="902" spans="1:28" x14ac:dyDescent="0.2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  <c r="AB902" s="9"/>
    </row>
    <row r="903" spans="1:28" x14ac:dyDescent="0.2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  <c r="AB903" s="9"/>
    </row>
    <row r="904" spans="1:28" x14ac:dyDescent="0.2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  <c r="AB904" s="9"/>
    </row>
    <row r="905" spans="1:28" x14ac:dyDescent="0.2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  <c r="AB905" s="9"/>
    </row>
    <row r="906" spans="1:28" x14ac:dyDescent="0.2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  <c r="AB906" s="9"/>
    </row>
    <row r="907" spans="1:28" x14ac:dyDescent="0.2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  <c r="AB907" s="9"/>
    </row>
    <row r="908" spans="1:28" x14ac:dyDescent="0.2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  <c r="AB908" s="9"/>
    </row>
    <row r="909" spans="1:28" x14ac:dyDescent="0.2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  <c r="AB909" s="9"/>
    </row>
    <row r="910" spans="1:28" x14ac:dyDescent="0.2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  <c r="AB910" s="9"/>
    </row>
    <row r="911" spans="1:28" x14ac:dyDescent="0.2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  <c r="AB911" s="9"/>
    </row>
    <row r="912" spans="1:28" x14ac:dyDescent="0.2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  <c r="AB912" s="9"/>
    </row>
    <row r="913" spans="1:28" x14ac:dyDescent="0.2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  <c r="AB913" s="9"/>
    </row>
    <row r="914" spans="1:28" x14ac:dyDescent="0.2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  <c r="AB914" s="9"/>
    </row>
    <row r="915" spans="1:28" x14ac:dyDescent="0.2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  <c r="AB915" s="9"/>
    </row>
    <row r="916" spans="1:28" x14ac:dyDescent="0.2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  <c r="AB916" s="9"/>
    </row>
    <row r="917" spans="1:28" x14ac:dyDescent="0.2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  <c r="AB917" s="9"/>
    </row>
    <row r="918" spans="1:28" x14ac:dyDescent="0.2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  <c r="AB918" s="9"/>
    </row>
    <row r="919" spans="1:28" x14ac:dyDescent="0.2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  <c r="AB919" s="9"/>
    </row>
    <row r="920" spans="1:28" x14ac:dyDescent="0.2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  <c r="AB920" s="9"/>
    </row>
    <row r="921" spans="1:28" x14ac:dyDescent="0.2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  <c r="AB921" s="9"/>
    </row>
    <row r="922" spans="1:28" x14ac:dyDescent="0.2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  <c r="AB922" s="9"/>
    </row>
    <row r="923" spans="1:28" x14ac:dyDescent="0.2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  <c r="AB923" s="9"/>
    </row>
    <row r="924" spans="1:28" x14ac:dyDescent="0.2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  <c r="AB924" s="9"/>
    </row>
    <row r="925" spans="1:28" x14ac:dyDescent="0.2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  <c r="AB925" s="9"/>
    </row>
    <row r="926" spans="1:28" x14ac:dyDescent="0.2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  <c r="AB926" s="9"/>
    </row>
    <row r="927" spans="1:28" x14ac:dyDescent="0.2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  <c r="AB927" s="9"/>
    </row>
    <row r="928" spans="1:28" x14ac:dyDescent="0.2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  <c r="AB928" s="9"/>
    </row>
    <row r="929" spans="1:28" x14ac:dyDescent="0.2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  <c r="AB929" s="9"/>
    </row>
    <row r="930" spans="1:28" x14ac:dyDescent="0.2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  <c r="AB930" s="9"/>
    </row>
    <row r="931" spans="1:28" x14ac:dyDescent="0.2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  <c r="AB931" s="9"/>
    </row>
    <row r="932" spans="1:28" x14ac:dyDescent="0.2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  <c r="AB932" s="9"/>
    </row>
    <row r="933" spans="1:28" x14ac:dyDescent="0.2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  <c r="AB933" s="9"/>
    </row>
    <row r="934" spans="1:28" x14ac:dyDescent="0.2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  <c r="AB934" s="9"/>
    </row>
    <row r="935" spans="1:28" x14ac:dyDescent="0.2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  <c r="AB935" s="9"/>
    </row>
    <row r="936" spans="1:28" x14ac:dyDescent="0.2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  <c r="AB936" s="9"/>
    </row>
    <row r="937" spans="1:28" x14ac:dyDescent="0.2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  <c r="AB937" s="9"/>
    </row>
    <row r="938" spans="1:28" x14ac:dyDescent="0.2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  <c r="AB938" s="9"/>
    </row>
    <row r="939" spans="1:28" x14ac:dyDescent="0.2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  <c r="AB939" s="9"/>
    </row>
    <row r="940" spans="1:28" x14ac:dyDescent="0.2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  <c r="AB940" s="9"/>
    </row>
    <row r="941" spans="1:28" x14ac:dyDescent="0.2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  <c r="AB941" s="9"/>
    </row>
    <row r="942" spans="1:28" x14ac:dyDescent="0.2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  <c r="AB942" s="9"/>
    </row>
    <row r="943" spans="1:28" x14ac:dyDescent="0.2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  <c r="AB943" s="9"/>
    </row>
    <row r="944" spans="1:28" x14ac:dyDescent="0.2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  <c r="AB944" s="9"/>
    </row>
    <row r="945" spans="1:28" x14ac:dyDescent="0.2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  <c r="AB945" s="9"/>
    </row>
    <row r="946" spans="1:28" x14ac:dyDescent="0.2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  <c r="AB946" s="9"/>
    </row>
    <row r="947" spans="1:28" x14ac:dyDescent="0.2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  <c r="AB947" s="9"/>
    </row>
    <row r="948" spans="1:28" x14ac:dyDescent="0.2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  <c r="AB948" s="9"/>
    </row>
    <row r="949" spans="1:28" x14ac:dyDescent="0.2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  <c r="AB949" s="9"/>
    </row>
    <row r="950" spans="1:28" x14ac:dyDescent="0.2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  <c r="AB950" s="9"/>
    </row>
    <row r="951" spans="1:28" x14ac:dyDescent="0.2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  <c r="AB951" s="9"/>
    </row>
    <row r="952" spans="1:28" x14ac:dyDescent="0.2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  <c r="AB952" s="9"/>
    </row>
    <row r="953" spans="1:28" x14ac:dyDescent="0.2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  <c r="AB953" s="9"/>
    </row>
    <row r="954" spans="1:28" x14ac:dyDescent="0.2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  <c r="AB954" s="9"/>
    </row>
    <row r="955" spans="1:28" x14ac:dyDescent="0.2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  <c r="AB955" s="9"/>
    </row>
    <row r="956" spans="1:28" x14ac:dyDescent="0.2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  <c r="AB956" s="9"/>
    </row>
    <row r="957" spans="1:28" x14ac:dyDescent="0.2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  <c r="AB957" s="9"/>
    </row>
    <row r="958" spans="1:28" x14ac:dyDescent="0.2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  <c r="AB958" s="9"/>
    </row>
    <row r="959" spans="1:28" x14ac:dyDescent="0.2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  <c r="AB959" s="9"/>
    </row>
    <row r="960" spans="1:28" x14ac:dyDescent="0.2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  <c r="AB960" s="9"/>
    </row>
    <row r="961" spans="1:28" x14ac:dyDescent="0.2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  <c r="AB961" s="9"/>
    </row>
    <row r="962" spans="1:28" x14ac:dyDescent="0.2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  <c r="AB962" s="9"/>
    </row>
    <row r="963" spans="1:28" x14ac:dyDescent="0.2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  <c r="AB963" s="9"/>
    </row>
    <row r="964" spans="1:28" x14ac:dyDescent="0.2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  <c r="AB964" s="9"/>
    </row>
    <row r="965" spans="1:28" x14ac:dyDescent="0.2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  <c r="AB965" s="9"/>
    </row>
    <row r="966" spans="1:28" x14ac:dyDescent="0.2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  <c r="AB966" s="9"/>
    </row>
    <row r="967" spans="1:28" x14ac:dyDescent="0.2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  <c r="AB967" s="9"/>
    </row>
    <row r="968" spans="1:28" x14ac:dyDescent="0.2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  <c r="AB968" s="9"/>
    </row>
    <row r="969" spans="1:28" x14ac:dyDescent="0.2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  <c r="AB969" s="9"/>
    </row>
    <row r="970" spans="1:28" x14ac:dyDescent="0.2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  <c r="AB970" s="9"/>
    </row>
    <row r="971" spans="1:28" x14ac:dyDescent="0.2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  <c r="AB971" s="9"/>
    </row>
    <row r="972" spans="1:28" x14ac:dyDescent="0.2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  <c r="AB972" s="9"/>
    </row>
    <row r="973" spans="1:28" x14ac:dyDescent="0.2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  <c r="AB973" s="9"/>
    </row>
    <row r="974" spans="1:28" x14ac:dyDescent="0.2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  <c r="AB974" s="9"/>
    </row>
    <row r="975" spans="1:28" x14ac:dyDescent="0.2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  <c r="AB975" s="9"/>
    </row>
    <row r="976" spans="1:28" x14ac:dyDescent="0.2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  <c r="AB976" s="9"/>
    </row>
    <row r="977" spans="1:28" x14ac:dyDescent="0.2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  <c r="AB977" s="9"/>
    </row>
    <row r="978" spans="1:28" x14ac:dyDescent="0.2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  <c r="AB978" s="9"/>
    </row>
    <row r="979" spans="1:28" x14ac:dyDescent="0.2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  <c r="AB979" s="9"/>
    </row>
    <row r="980" spans="1:28" x14ac:dyDescent="0.2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  <c r="AB980" s="9"/>
    </row>
    <row r="981" spans="1:28" x14ac:dyDescent="0.2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  <c r="AB981" s="9"/>
    </row>
    <row r="982" spans="1:28" x14ac:dyDescent="0.2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  <c r="AB982" s="9"/>
    </row>
    <row r="983" spans="1:28" x14ac:dyDescent="0.2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  <c r="AB983" s="9"/>
    </row>
    <row r="984" spans="1:28" x14ac:dyDescent="0.2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  <c r="AB984" s="9"/>
    </row>
    <row r="985" spans="1:28" x14ac:dyDescent="0.2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  <c r="AB985" s="9"/>
    </row>
    <row r="986" spans="1:28" x14ac:dyDescent="0.2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  <c r="AB986" s="9"/>
    </row>
    <row r="987" spans="1:28" x14ac:dyDescent="0.2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  <c r="AB987" s="9"/>
    </row>
    <row r="988" spans="1:28" x14ac:dyDescent="0.2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  <c r="AB988" s="9"/>
    </row>
    <row r="989" spans="1:28" x14ac:dyDescent="0.2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  <c r="AB989" s="9"/>
    </row>
    <row r="990" spans="1:28" x14ac:dyDescent="0.2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  <c r="AB990" s="9"/>
    </row>
    <row r="991" spans="1:28" x14ac:dyDescent="0.2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  <c r="AB991" s="9"/>
    </row>
    <row r="992" spans="1:28" x14ac:dyDescent="0.2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  <c r="AB992" s="9"/>
    </row>
    <row r="993" spans="1:28" x14ac:dyDescent="0.2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  <c r="AB993" s="9"/>
    </row>
    <row r="994" spans="1:28" x14ac:dyDescent="0.2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  <c r="AB994" s="9"/>
    </row>
    <row r="995" spans="1:28" x14ac:dyDescent="0.2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  <c r="AB995" s="9"/>
    </row>
    <row r="996" spans="1:28" x14ac:dyDescent="0.2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/>
      <c r="AB996" s="9"/>
    </row>
    <row r="997" spans="1:28" x14ac:dyDescent="0.2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  <c r="AA997" s="9"/>
      <c r="AB997" s="9"/>
    </row>
    <row r="998" spans="1:28" x14ac:dyDescent="0.2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  <c r="AA998" s="9"/>
      <c r="AB998" s="9"/>
    </row>
    <row r="999" spans="1:28" x14ac:dyDescent="0.2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  <c r="AA999" s="9"/>
      <c r="AB999" s="9"/>
    </row>
    <row r="1000" spans="1:28" x14ac:dyDescent="0.2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  <c r="AA1000" s="9"/>
      <c r="AB1000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Holdings</vt:lpstr>
      <vt:lpstr>Sector Metrics</vt:lpstr>
      <vt:lpstr>Industry Metrics</vt:lpstr>
      <vt:lpstr>Industry Metrics 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2021-07-16T23:03:10Z</dcterms:created>
  <dcterms:modified xsi:type="dcterms:W3CDTF">2022-01-15T19:44:36Z</dcterms:modified>
</cp:coreProperties>
</file>