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deepak/Desktop/Markets/Options Strategy/Option Income Analyzer/"/>
    </mc:Choice>
  </mc:AlternateContent>
  <bookViews>
    <workbookView xWindow="12400" yWindow="540" windowWidth="28560" windowHeight="17380" tabRatio="500"/>
  </bookViews>
  <sheets>
    <sheet name="Holdings" sheetId="1" r:id="rId1"/>
    <sheet name="Sector Metrics" sheetId="5" state="hidden" r:id="rId2"/>
    <sheet name="Industry Metrics" sheetId="6" state="hidden" r:id="rId3"/>
    <sheet name="Industry Metrics 2" sheetId="7" state="hidden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7" i="7" l="1"/>
  <c r="I77" i="7"/>
  <c r="H77" i="7"/>
  <c r="G77" i="7"/>
  <c r="F77" i="7"/>
  <c r="D77" i="7"/>
  <c r="C77" i="7"/>
  <c r="A76" i="7"/>
  <c r="B77" i="7"/>
  <c r="J76" i="7"/>
  <c r="I76" i="7"/>
  <c r="H76" i="7"/>
  <c r="G76" i="7"/>
  <c r="F76" i="7"/>
  <c r="D76" i="7"/>
  <c r="C76" i="7"/>
  <c r="A75" i="7"/>
  <c r="B76" i="7"/>
  <c r="J75" i="7"/>
  <c r="I75" i="7"/>
  <c r="H75" i="7"/>
  <c r="G75" i="7"/>
  <c r="F75" i="7"/>
  <c r="E75" i="7"/>
  <c r="D75" i="7"/>
  <c r="C75" i="7"/>
  <c r="A74" i="7"/>
  <c r="B75" i="7"/>
  <c r="J74" i="7"/>
  <c r="I74" i="7"/>
  <c r="H74" i="7"/>
  <c r="G74" i="7"/>
  <c r="F74" i="7"/>
  <c r="E74" i="7"/>
  <c r="D74" i="7"/>
  <c r="C74" i="7"/>
  <c r="A73" i="7"/>
  <c r="B74" i="7"/>
  <c r="J73" i="7"/>
  <c r="I73" i="7"/>
  <c r="H73" i="7"/>
  <c r="G73" i="7"/>
  <c r="F73" i="7"/>
  <c r="E73" i="7"/>
  <c r="D73" i="7"/>
  <c r="C73" i="7"/>
  <c r="A72" i="7"/>
  <c r="B73" i="7"/>
  <c r="J72" i="7"/>
  <c r="I72" i="7"/>
  <c r="H72" i="7"/>
  <c r="G72" i="7"/>
  <c r="F72" i="7"/>
  <c r="E72" i="7"/>
  <c r="D72" i="7"/>
  <c r="C72" i="7"/>
  <c r="A71" i="7"/>
  <c r="B72" i="7"/>
  <c r="J71" i="7"/>
  <c r="I71" i="7"/>
  <c r="H71" i="7"/>
  <c r="G71" i="7"/>
  <c r="F71" i="7"/>
  <c r="E71" i="7"/>
  <c r="D71" i="7"/>
  <c r="C71" i="7"/>
  <c r="A70" i="7"/>
  <c r="B71" i="7"/>
  <c r="J70" i="7"/>
  <c r="I70" i="7"/>
  <c r="H70" i="7"/>
  <c r="G70" i="7"/>
  <c r="F70" i="7"/>
  <c r="E70" i="7"/>
  <c r="D70" i="7"/>
  <c r="C70" i="7"/>
  <c r="A69" i="7"/>
  <c r="B70" i="7"/>
  <c r="J69" i="7"/>
  <c r="I69" i="7"/>
  <c r="H69" i="7"/>
  <c r="G69" i="7"/>
  <c r="F69" i="7"/>
  <c r="E69" i="7"/>
  <c r="D69" i="7"/>
  <c r="C69" i="7"/>
  <c r="A68" i="7"/>
  <c r="B69" i="7"/>
  <c r="J68" i="7"/>
  <c r="I68" i="7"/>
  <c r="H68" i="7"/>
  <c r="G68" i="7"/>
  <c r="F68" i="7"/>
  <c r="E68" i="7"/>
  <c r="D68" i="7"/>
  <c r="C68" i="7"/>
  <c r="A67" i="7"/>
  <c r="B68" i="7"/>
  <c r="J67" i="7"/>
  <c r="I67" i="7"/>
  <c r="H67" i="7"/>
  <c r="G67" i="7"/>
  <c r="F67" i="7"/>
  <c r="E67" i="7"/>
  <c r="D67" i="7"/>
  <c r="C67" i="7"/>
  <c r="A66" i="7"/>
  <c r="B67" i="7"/>
  <c r="J66" i="7"/>
  <c r="I66" i="7"/>
  <c r="H66" i="7"/>
  <c r="G66" i="7"/>
  <c r="F66" i="7"/>
  <c r="E66" i="7"/>
  <c r="D66" i="7"/>
  <c r="C66" i="7"/>
  <c r="A65" i="7"/>
  <c r="B66" i="7"/>
  <c r="J65" i="7"/>
  <c r="I65" i="7"/>
  <c r="H65" i="7"/>
  <c r="G65" i="7"/>
  <c r="F65" i="7"/>
  <c r="E65" i="7"/>
  <c r="D65" i="7"/>
  <c r="C65" i="7"/>
  <c r="A64" i="7"/>
  <c r="B65" i="7"/>
  <c r="J64" i="7"/>
  <c r="I64" i="7"/>
  <c r="H64" i="7"/>
  <c r="G64" i="7"/>
  <c r="F64" i="7"/>
  <c r="E64" i="7"/>
  <c r="D64" i="7"/>
  <c r="C64" i="7"/>
  <c r="A63" i="7"/>
  <c r="B64" i="7"/>
  <c r="J63" i="7"/>
  <c r="I63" i="7"/>
  <c r="H63" i="7"/>
  <c r="G63" i="7"/>
  <c r="F63" i="7"/>
  <c r="E63" i="7"/>
  <c r="D63" i="7"/>
  <c r="C63" i="7"/>
  <c r="A62" i="7"/>
  <c r="B63" i="7"/>
  <c r="J62" i="7"/>
  <c r="I62" i="7"/>
  <c r="H62" i="7"/>
  <c r="G62" i="7"/>
  <c r="F62" i="7"/>
  <c r="E62" i="7"/>
  <c r="D62" i="7"/>
  <c r="C62" i="7"/>
  <c r="A61" i="7"/>
  <c r="B62" i="7"/>
  <c r="J61" i="7"/>
  <c r="I61" i="7"/>
  <c r="H61" i="7"/>
  <c r="G61" i="7"/>
  <c r="F61" i="7"/>
  <c r="E61" i="7"/>
  <c r="D61" i="7"/>
  <c r="C61" i="7"/>
  <c r="A60" i="7"/>
  <c r="B61" i="7"/>
  <c r="J60" i="7"/>
  <c r="I60" i="7"/>
  <c r="H60" i="7"/>
  <c r="G60" i="7"/>
  <c r="F60" i="7"/>
  <c r="E60" i="7"/>
  <c r="D60" i="7"/>
  <c r="C60" i="7"/>
  <c r="A59" i="7"/>
  <c r="B60" i="7"/>
  <c r="J59" i="7"/>
  <c r="I59" i="7"/>
  <c r="H59" i="7"/>
  <c r="G59" i="7"/>
  <c r="F59" i="7"/>
  <c r="E59" i="7"/>
  <c r="D59" i="7"/>
  <c r="C59" i="7"/>
  <c r="A58" i="7"/>
  <c r="B59" i="7"/>
  <c r="J58" i="7"/>
  <c r="I58" i="7"/>
  <c r="H58" i="7"/>
  <c r="G58" i="7"/>
  <c r="F58" i="7"/>
  <c r="E58" i="7"/>
  <c r="D58" i="7"/>
  <c r="C58" i="7"/>
  <c r="A57" i="7"/>
  <c r="B58" i="7"/>
  <c r="J57" i="7"/>
  <c r="I57" i="7"/>
  <c r="H57" i="7"/>
  <c r="G57" i="7"/>
  <c r="F57" i="7"/>
  <c r="E57" i="7"/>
  <c r="D57" i="7"/>
  <c r="C57" i="7"/>
  <c r="A56" i="7"/>
  <c r="B57" i="7"/>
  <c r="J56" i="7"/>
  <c r="I56" i="7"/>
  <c r="H56" i="7"/>
  <c r="G56" i="7"/>
  <c r="F56" i="7"/>
  <c r="E56" i="7"/>
  <c r="D56" i="7"/>
  <c r="C56" i="7"/>
  <c r="A55" i="7"/>
  <c r="B56" i="7"/>
  <c r="J55" i="7"/>
  <c r="I55" i="7"/>
  <c r="H55" i="7"/>
  <c r="G55" i="7"/>
  <c r="F55" i="7"/>
  <c r="E55" i="7"/>
  <c r="D55" i="7"/>
  <c r="C55" i="7"/>
  <c r="A54" i="7"/>
  <c r="B55" i="7"/>
  <c r="J54" i="7"/>
  <c r="I54" i="7"/>
  <c r="H54" i="7"/>
  <c r="G54" i="7"/>
  <c r="F54" i="7"/>
  <c r="E54" i="7"/>
  <c r="D54" i="7"/>
  <c r="C54" i="7"/>
  <c r="A53" i="7"/>
  <c r="B54" i="7"/>
  <c r="J53" i="7"/>
  <c r="I53" i="7"/>
  <c r="H53" i="7"/>
  <c r="G53" i="7"/>
  <c r="F53" i="7"/>
  <c r="E53" i="7"/>
  <c r="D53" i="7"/>
  <c r="C53" i="7"/>
  <c r="A52" i="7"/>
  <c r="B53" i="7"/>
  <c r="J52" i="7"/>
  <c r="I52" i="7"/>
  <c r="H52" i="7"/>
  <c r="G52" i="7"/>
  <c r="F52" i="7"/>
  <c r="E52" i="7"/>
  <c r="D52" i="7"/>
  <c r="C52" i="7"/>
  <c r="A51" i="7"/>
  <c r="B52" i="7"/>
  <c r="J51" i="7"/>
  <c r="I51" i="7"/>
  <c r="H51" i="7"/>
  <c r="G51" i="7"/>
  <c r="F51" i="7"/>
  <c r="E51" i="7"/>
  <c r="D51" i="7"/>
  <c r="C51" i="7"/>
  <c r="A50" i="7"/>
  <c r="B51" i="7"/>
  <c r="J50" i="7"/>
  <c r="I50" i="7"/>
  <c r="H50" i="7"/>
  <c r="G50" i="7"/>
  <c r="F50" i="7"/>
  <c r="E50" i="7"/>
  <c r="D50" i="7"/>
  <c r="C50" i="7"/>
  <c r="A49" i="7"/>
  <c r="B50" i="7"/>
  <c r="J49" i="7"/>
  <c r="I49" i="7"/>
  <c r="H49" i="7"/>
  <c r="G49" i="7"/>
  <c r="F49" i="7"/>
  <c r="E49" i="7"/>
  <c r="D49" i="7"/>
  <c r="C49" i="7"/>
  <c r="A48" i="7"/>
  <c r="B49" i="7"/>
  <c r="J48" i="7"/>
  <c r="I48" i="7"/>
  <c r="H48" i="7"/>
  <c r="G48" i="7"/>
  <c r="F48" i="7"/>
  <c r="E48" i="7"/>
  <c r="D48" i="7"/>
  <c r="C48" i="7"/>
  <c r="A47" i="7"/>
  <c r="B48" i="7"/>
  <c r="J47" i="7"/>
  <c r="I47" i="7"/>
  <c r="H47" i="7"/>
  <c r="G47" i="7"/>
  <c r="F47" i="7"/>
  <c r="E47" i="7"/>
  <c r="D47" i="7"/>
  <c r="C47" i="7"/>
  <c r="A46" i="7"/>
  <c r="B47" i="7"/>
  <c r="J46" i="7"/>
  <c r="I46" i="7"/>
  <c r="H46" i="7"/>
  <c r="G46" i="7"/>
  <c r="F46" i="7"/>
  <c r="E46" i="7"/>
  <c r="D46" i="7"/>
  <c r="C46" i="7"/>
  <c r="A45" i="7"/>
  <c r="B46" i="7"/>
  <c r="J45" i="7"/>
  <c r="I45" i="7"/>
  <c r="H45" i="7"/>
  <c r="G45" i="7"/>
  <c r="F45" i="7"/>
  <c r="E45" i="7"/>
  <c r="D45" i="7"/>
  <c r="C45" i="7"/>
  <c r="A44" i="7"/>
  <c r="B45" i="7"/>
  <c r="J44" i="7"/>
  <c r="I44" i="7"/>
  <c r="H44" i="7"/>
  <c r="G44" i="7"/>
  <c r="F44" i="7"/>
  <c r="E44" i="7"/>
  <c r="D44" i="7"/>
  <c r="C44" i="7"/>
  <c r="A43" i="7"/>
  <c r="B44" i="7"/>
  <c r="J43" i="7"/>
  <c r="I43" i="7"/>
  <c r="H43" i="7"/>
  <c r="G43" i="7"/>
  <c r="F43" i="7"/>
  <c r="E43" i="7"/>
  <c r="D43" i="7"/>
  <c r="C43" i="7"/>
  <c r="A42" i="7"/>
  <c r="B43" i="7"/>
  <c r="J42" i="7"/>
  <c r="I42" i="7"/>
  <c r="H42" i="7"/>
  <c r="G42" i="7"/>
  <c r="F42" i="7"/>
  <c r="E42" i="7"/>
  <c r="D42" i="7"/>
  <c r="C42" i="7"/>
  <c r="A41" i="7"/>
  <c r="B42" i="7"/>
  <c r="J41" i="7"/>
  <c r="I41" i="7"/>
  <c r="H41" i="7"/>
  <c r="G41" i="7"/>
  <c r="F41" i="7"/>
  <c r="E41" i="7"/>
  <c r="D41" i="7"/>
  <c r="C41" i="7"/>
  <c r="A40" i="7"/>
  <c r="B41" i="7"/>
  <c r="J40" i="7"/>
  <c r="I40" i="7"/>
  <c r="H40" i="7"/>
  <c r="G40" i="7"/>
  <c r="F40" i="7"/>
  <c r="E40" i="7"/>
  <c r="D40" i="7"/>
  <c r="C40" i="7"/>
  <c r="A39" i="7"/>
  <c r="B40" i="7"/>
  <c r="J39" i="7"/>
  <c r="I39" i="7"/>
  <c r="H39" i="7"/>
  <c r="G39" i="7"/>
  <c r="F39" i="7"/>
  <c r="E39" i="7"/>
  <c r="D39" i="7"/>
  <c r="C39" i="7"/>
  <c r="A38" i="7"/>
  <c r="B39" i="7"/>
  <c r="J38" i="7"/>
  <c r="I38" i="7"/>
  <c r="H38" i="7"/>
  <c r="G38" i="7"/>
  <c r="F38" i="7"/>
  <c r="E38" i="7"/>
  <c r="D38" i="7"/>
  <c r="C38" i="7"/>
  <c r="A37" i="7"/>
  <c r="B38" i="7"/>
  <c r="J37" i="7"/>
  <c r="I37" i="7"/>
  <c r="H37" i="7"/>
  <c r="G37" i="7"/>
  <c r="F37" i="7"/>
  <c r="E37" i="7"/>
  <c r="D37" i="7"/>
  <c r="C37" i="7"/>
  <c r="A36" i="7"/>
  <c r="B37" i="7"/>
  <c r="J36" i="7"/>
  <c r="I36" i="7"/>
  <c r="H36" i="7"/>
  <c r="G36" i="7"/>
  <c r="F36" i="7"/>
  <c r="E36" i="7"/>
  <c r="D36" i="7"/>
  <c r="C36" i="7"/>
  <c r="A35" i="7"/>
  <c r="B36" i="7"/>
  <c r="J35" i="7"/>
  <c r="I35" i="7"/>
  <c r="H35" i="7"/>
  <c r="G35" i="7"/>
  <c r="F35" i="7"/>
  <c r="E35" i="7"/>
  <c r="D35" i="7"/>
  <c r="C35" i="7"/>
  <c r="A34" i="7"/>
  <c r="B35" i="7"/>
  <c r="J34" i="7"/>
  <c r="I34" i="7"/>
  <c r="H34" i="7"/>
  <c r="G34" i="7"/>
  <c r="F34" i="7"/>
  <c r="E34" i="7"/>
  <c r="D34" i="7"/>
  <c r="C34" i="7"/>
  <c r="A33" i="7"/>
  <c r="B34" i="7"/>
  <c r="J33" i="7"/>
  <c r="I33" i="7"/>
  <c r="H33" i="7"/>
  <c r="G33" i="7"/>
  <c r="F33" i="7"/>
  <c r="E33" i="7"/>
  <c r="D33" i="7"/>
  <c r="C33" i="7"/>
  <c r="A32" i="7"/>
  <c r="B33" i="7"/>
  <c r="J32" i="7"/>
  <c r="I32" i="7"/>
  <c r="H32" i="7"/>
  <c r="G32" i="7"/>
  <c r="F32" i="7"/>
  <c r="E32" i="7"/>
  <c r="D32" i="7"/>
  <c r="C32" i="7"/>
  <c r="A31" i="7"/>
  <c r="B32" i="7"/>
  <c r="J31" i="7"/>
  <c r="I31" i="7"/>
  <c r="H31" i="7"/>
  <c r="G31" i="7"/>
  <c r="F31" i="7"/>
  <c r="E31" i="7"/>
  <c r="D31" i="7"/>
  <c r="C31" i="7"/>
  <c r="A30" i="7"/>
  <c r="B31" i="7"/>
  <c r="J30" i="7"/>
  <c r="I30" i="7"/>
  <c r="H30" i="7"/>
  <c r="G30" i="7"/>
  <c r="F30" i="7"/>
  <c r="E30" i="7"/>
  <c r="D30" i="7"/>
  <c r="C30" i="7"/>
  <c r="A29" i="7"/>
  <c r="B30" i="7"/>
  <c r="J29" i="7"/>
  <c r="I29" i="7"/>
  <c r="H29" i="7"/>
  <c r="G29" i="7"/>
  <c r="F29" i="7"/>
  <c r="E29" i="7"/>
  <c r="D29" i="7"/>
  <c r="C29" i="7"/>
  <c r="A28" i="7"/>
  <c r="B29" i="7"/>
  <c r="J28" i="7"/>
  <c r="I28" i="7"/>
  <c r="H28" i="7"/>
  <c r="G28" i="7"/>
  <c r="F28" i="7"/>
  <c r="E28" i="7"/>
  <c r="D28" i="7"/>
  <c r="C28" i="7"/>
  <c r="A27" i="7"/>
  <c r="B28" i="7"/>
  <c r="J27" i="7"/>
  <c r="I27" i="7"/>
  <c r="H27" i="7"/>
  <c r="G27" i="7"/>
  <c r="F27" i="7"/>
  <c r="E27" i="7"/>
  <c r="D27" i="7"/>
  <c r="C27" i="7"/>
  <c r="A26" i="7"/>
  <c r="B27" i="7"/>
  <c r="J26" i="7"/>
  <c r="I26" i="7"/>
  <c r="H26" i="7"/>
  <c r="G26" i="7"/>
  <c r="F26" i="7"/>
  <c r="E26" i="7"/>
  <c r="D26" i="7"/>
  <c r="C26" i="7"/>
  <c r="A25" i="7"/>
  <c r="B26" i="7"/>
  <c r="J25" i="7"/>
  <c r="I25" i="7"/>
  <c r="H25" i="7"/>
  <c r="G25" i="7"/>
  <c r="F25" i="7"/>
  <c r="E25" i="7"/>
  <c r="D25" i="7"/>
  <c r="C25" i="7"/>
  <c r="A24" i="7"/>
  <c r="B25" i="7"/>
  <c r="J24" i="7"/>
  <c r="I24" i="7"/>
  <c r="H24" i="7"/>
  <c r="G24" i="7"/>
  <c r="F24" i="7"/>
  <c r="E24" i="7"/>
  <c r="D24" i="7"/>
  <c r="C24" i="7"/>
  <c r="A23" i="7"/>
  <c r="B24" i="7"/>
  <c r="J23" i="7"/>
  <c r="I23" i="7"/>
  <c r="H23" i="7"/>
  <c r="G23" i="7"/>
  <c r="F23" i="7"/>
  <c r="E23" i="7"/>
  <c r="D23" i="7"/>
  <c r="C23" i="7"/>
  <c r="A22" i="7"/>
  <c r="B23" i="7"/>
  <c r="J22" i="7"/>
  <c r="I22" i="7"/>
  <c r="H22" i="7"/>
  <c r="G22" i="7"/>
  <c r="F22" i="7"/>
  <c r="E22" i="7"/>
  <c r="D22" i="7"/>
  <c r="C22" i="7"/>
  <c r="A21" i="7"/>
  <c r="B22" i="7"/>
  <c r="J21" i="7"/>
  <c r="I21" i="7"/>
  <c r="H21" i="7"/>
  <c r="G21" i="7"/>
  <c r="F21" i="7"/>
  <c r="E21" i="7"/>
  <c r="D21" i="7"/>
  <c r="C21" i="7"/>
  <c r="A20" i="7"/>
  <c r="B21" i="7"/>
  <c r="J20" i="7"/>
  <c r="I20" i="7"/>
  <c r="H20" i="7"/>
  <c r="G20" i="7"/>
  <c r="F20" i="7"/>
  <c r="E20" i="7"/>
  <c r="D20" i="7"/>
  <c r="C20" i="7"/>
  <c r="A19" i="7"/>
  <c r="B20" i="7"/>
  <c r="J19" i="7"/>
  <c r="I19" i="7"/>
  <c r="H19" i="7"/>
  <c r="G19" i="7"/>
  <c r="F19" i="7"/>
  <c r="E19" i="7"/>
  <c r="D19" i="7"/>
  <c r="C19" i="7"/>
  <c r="A18" i="7"/>
  <c r="B19" i="7"/>
  <c r="J18" i="7"/>
  <c r="I18" i="7"/>
  <c r="H18" i="7"/>
  <c r="G18" i="7"/>
  <c r="F18" i="7"/>
  <c r="E18" i="7"/>
  <c r="D18" i="7"/>
  <c r="C18" i="7"/>
  <c r="A17" i="7"/>
  <c r="B18" i="7"/>
  <c r="J17" i="7"/>
  <c r="I17" i="7"/>
  <c r="H17" i="7"/>
  <c r="G17" i="7"/>
  <c r="F17" i="7"/>
  <c r="E17" i="7"/>
  <c r="D17" i="7"/>
  <c r="C17" i="7"/>
  <c r="A16" i="7"/>
  <c r="B17" i="7"/>
  <c r="J16" i="7"/>
  <c r="I16" i="7"/>
  <c r="H16" i="7"/>
  <c r="G16" i="7"/>
  <c r="F16" i="7"/>
  <c r="E16" i="7"/>
  <c r="D16" i="7"/>
  <c r="C16" i="7"/>
  <c r="A15" i="7"/>
  <c r="B16" i="7"/>
  <c r="J15" i="7"/>
  <c r="I15" i="7"/>
  <c r="H15" i="7"/>
  <c r="G15" i="7"/>
  <c r="F15" i="7"/>
  <c r="E15" i="7"/>
  <c r="D15" i="7"/>
  <c r="C15" i="7"/>
  <c r="A14" i="7"/>
  <c r="B15" i="7"/>
  <c r="J14" i="7"/>
  <c r="I14" i="7"/>
  <c r="H14" i="7"/>
  <c r="G14" i="7"/>
  <c r="F14" i="7"/>
  <c r="E14" i="7"/>
  <c r="D14" i="7"/>
  <c r="C14" i="7"/>
  <c r="A13" i="7"/>
  <c r="B14" i="7"/>
  <c r="J13" i="7"/>
  <c r="I13" i="7"/>
  <c r="H13" i="7"/>
  <c r="G13" i="7"/>
  <c r="F13" i="7"/>
  <c r="E13" i="7"/>
  <c r="D13" i="7"/>
  <c r="C13" i="7"/>
  <c r="A12" i="7"/>
  <c r="B13" i="7"/>
  <c r="J12" i="7"/>
  <c r="I12" i="7"/>
  <c r="H12" i="7"/>
  <c r="G12" i="7"/>
  <c r="F12" i="7"/>
  <c r="E12" i="7"/>
  <c r="D12" i="7"/>
  <c r="C12" i="7"/>
  <c r="A11" i="7"/>
  <c r="B12" i="7"/>
  <c r="J11" i="7"/>
  <c r="I11" i="7"/>
  <c r="H11" i="7"/>
  <c r="G11" i="7"/>
  <c r="F11" i="7"/>
  <c r="E11" i="7"/>
  <c r="D11" i="7"/>
  <c r="C11" i="7"/>
  <c r="A10" i="7"/>
  <c r="B11" i="7"/>
  <c r="J10" i="7"/>
  <c r="I10" i="7"/>
  <c r="H10" i="7"/>
  <c r="G10" i="7"/>
  <c r="F10" i="7"/>
  <c r="E10" i="7"/>
  <c r="D10" i="7"/>
  <c r="C10" i="7"/>
  <c r="A9" i="7"/>
  <c r="B10" i="7"/>
  <c r="J9" i="7"/>
  <c r="I9" i="7"/>
  <c r="H9" i="7"/>
  <c r="G9" i="7"/>
  <c r="F9" i="7"/>
  <c r="E9" i="7"/>
  <c r="D9" i="7"/>
  <c r="C9" i="7"/>
  <c r="A8" i="7"/>
  <c r="B9" i="7"/>
  <c r="J8" i="7"/>
  <c r="I8" i="7"/>
  <c r="H8" i="7"/>
  <c r="G8" i="7"/>
  <c r="F8" i="7"/>
  <c r="E8" i="7"/>
  <c r="D8" i="7"/>
  <c r="C8" i="7"/>
  <c r="A7" i="7"/>
  <c r="B8" i="7"/>
  <c r="J7" i="7"/>
  <c r="I7" i="7"/>
  <c r="H7" i="7"/>
  <c r="G7" i="7"/>
  <c r="F7" i="7"/>
  <c r="E7" i="7"/>
  <c r="D7" i="7"/>
  <c r="C7" i="7"/>
  <c r="A6" i="7"/>
  <c r="B7" i="7"/>
  <c r="J6" i="7"/>
  <c r="I6" i="7"/>
  <c r="H6" i="7"/>
  <c r="G6" i="7"/>
  <c r="F6" i="7"/>
  <c r="E6" i="7"/>
  <c r="D6" i="7"/>
  <c r="C6" i="7"/>
  <c r="A5" i="7"/>
  <c r="B6" i="7"/>
  <c r="J5" i="7"/>
  <c r="I5" i="7"/>
  <c r="H5" i="7"/>
  <c r="G5" i="7"/>
  <c r="F5" i="7"/>
  <c r="E5" i="7"/>
  <c r="D5" i="7"/>
  <c r="C5" i="7"/>
  <c r="J4" i="7"/>
  <c r="I4" i="7"/>
  <c r="H4" i="7"/>
  <c r="G4" i="7"/>
  <c r="F4" i="7"/>
  <c r="E4" i="7"/>
  <c r="D4" i="7"/>
  <c r="C4" i="7"/>
  <c r="A4" i="7"/>
  <c r="J3" i="7"/>
  <c r="I3" i="7"/>
  <c r="H3" i="7"/>
  <c r="G3" i="7"/>
  <c r="F3" i="7"/>
  <c r="E3" i="7"/>
  <c r="D3" i="7"/>
  <c r="C3" i="7"/>
  <c r="A2" i="7"/>
  <c r="A1" i="6"/>
  <c r="A1" i="5"/>
</calcChain>
</file>

<file path=xl/sharedStrings.xml><?xml version="1.0" encoding="utf-8"?>
<sst xmlns="http://schemas.openxmlformats.org/spreadsheetml/2006/main" count="43" uniqueCount="43">
  <si>
    <t>Shares</t>
  </si>
  <si>
    <t>AAPL</t>
  </si>
  <si>
    <t>AMZN</t>
  </si>
  <si>
    <t>NVDA</t>
  </si>
  <si>
    <t>FB</t>
  </si>
  <si>
    <t>GOOG</t>
  </si>
  <si>
    <t>MSFT</t>
  </si>
  <si>
    <t>TSLA</t>
  </si>
  <si>
    <t>Based on 2019</t>
  </si>
  <si>
    <t>Industry</t>
  </si>
  <si>
    <t>ROA</t>
  </si>
  <si>
    <t>ROE</t>
  </si>
  <si>
    <t>Quick Ratio</t>
  </si>
  <si>
    <t>Current Ratio</t>
  </si>
  <si>
    <t>Gross Margin</t>
  </si>
  <si>
    <t>Operating Margin</t>
  </si>
  <si>
    <t>Profit Margin</t>
  </si>
  <si>
    <t>Debt/Equity</t>
  </si>
  <si>
    <t>All Industries</t>
  </si>
  <si>
    <t>Ticker</t>
  </si>
  <si>
    <t>Cost</t>
  </si>
  <si>
    <t>ADBE</t>
  </si>
  <si>
    <t>ASML</t>
  </si>
  <si>
    <t>AVGO</t>
  </si>
  <si>
    <t>CSCO</t>
  </si>
  <si>
    <t>GOOGL</t>
  </si>
  <si>
    <t>NTES</t>
  </si>
  <si>
    <t>TSM</t>
  </si>
  <si>
    <t>JPM</t>
  </si>
  <si>
    <t>V</t>
  </si>
  <si>
    <t>JNJ</t>
  </si>
  <si>
    <t>UNH</t>
  </si>
  <si>
    <t>BAC</t>
  </si>
  <si>
    <t>HD</t>
  </si>
  <si>
    <t>WMT</t>
  </si>
  <si>
    <t>PG</t>
  </si>
  <si>
    <t>MA</t>
  </si>
  <si>
    <t>BABA</t>
  </si>
  <si>
    <t>PFE</t>
  </si>
  <si>
    <t>XOM</t>
  </si>
  <si>
    <t>TM</t>
  </si>
  <si>
    <t>DIS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</si>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</sst>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_);_(&quot;$&quot;* \(#,##0.0\);_(&quot;$&quot;* &quot;-&quot;??_);_(@_)"/>
    <numFmt numFmtId="165" formatCode="&quot;$&quot;#,##0.00"/>
    <numFmt numFmtId="166" formatCode="&quot;$&quot;#,##0.0"/>
  </numFmts>
  <fonts count="10" x14ac:knownFonts="1">
    <font>
      <sz val="11"/>
      <color theme="1"/>
      <name val="Arial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i/>
      <sz val="11"/>
      <color theme="1"/>
      <name val="Calibri"/>
    </font>
    <font>
      <b/>
      <sz val="14"/>
      <color rgb="FF2B2B2B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6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2" fontId="8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1" fillId="3" borderId="0" xfId="0" applyNumberFormat="1" applyFont="1" applyFill="1" applyAlignment="1">
      <alignment horizontal="left"/>
    </xf>
    <xf numFmtId="2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2" fontId="4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left"/>
    </xf>
    <xf numFmtId="2" fontId="4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6" fontId="3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D6DCE4"/>
  </sheetPr>
  <dimension ref="A1:G101"/>
  <sheetViews>
    <sheetView tabSelected="1" workbookViewId="0">
      <pane xSplit="2" topLeftCell="C1" activePane="topRight" state="frozen"/>
      <selection pane="topRight" activeCell="D15" sqref="D15"/>
    </sheetView>
  </sheetViews>
  <sheetFormatPr baseColWidth="10" defaultColWidth="12.6640625" defaultRowHeight="15" customHeight="1" x14ac:dyDescent="0.15"/>
  <cols>
    <col min="1" max="1" width="12.6640625" style="20"/>
    <col min="2" max="2" width="13.1640625" style="20" customWidth="1"/>
    <col min="3" max="3" width="14.33203125" style="20" customWidth="1"/>
    <col min="4" max="4" width="12.6640625" style="19"/>
    <col min="5" max="16384" width="12.6640625" style="20"/>
  </cols>
  <sheetData>
    <row r="1" spans="1:7" ht="15" customHeight="1" x14ac:dyDescent="0.15">
      <c r="A1" s="16" t="s">
        <v>19</v>
      </c>
      <c r="B1" s="16" t="s">
        <v>20</v>
      </c>
      <c r="C1" s="16" t="s">
        <v>0</v>
      </c>
      <c r="G1" s="21"/>
    </row>
    <row r="2" spans="1:7" ht="15" customHeight="1" x14ac:dyDescent="0.15">
      <c r="A2" s="22" t="s">
        <v>1</v>
      </c>
      <c r="B2" s="17">
        <v>172.19</v>
      </c>
      <c r="C2" s="18">
        <v>370</v>
      </c>
      <c r="F2" s="23"/>
      <c r="G2" s="24"/>
    </row>
    <row r="3" spans="1:7" ht="15" customHeight="1" x14ac:dyDescent="0.15">
      <c r="A3" s="22" t="s">
        <v>6</v>
      </c>
      <c r="B3" s="17">
        <v>304.8</v>
      </c>
      <c r="C3" s="18">
        <v>710</v>
      </c>
      <c r="G3" s="24"/>
    </row>
    <row r="4" spans="1:7" ht="15" customHeight="1" x14ac:dyDescent="0.15">
      <c r="A4" s="22" t="s">
        <v>5</v>
      </c>
      <c r="B4" s="17">
        <v>2782.62</v>
      </c>
      <c r="C4" s="18">
        <v>35</v>
      </c>
      <c r="G4" s="24"/>
    </row>
    <row r="5" spans="1:7" ht="15" customHeight="1" x14ac:dyDescent="0.15">
      <c r="A5" s="22" t="s">
        <v>25</v>
      </c>
      <c r="B5" s="17">
        <v>2771.74</v>
      </c>
      <c r="C5" s="18">
        <v>100</v>
      </c>
      <c r="G5" s="24"/>
    </row>
    <row r="6" spans="1:7" ht="15" customHeight="1" x14ac:dyDescent="0.15">
      <c r="A6" s="22" t="s">
        <v>2</v>
      </c>
      <c r="B6" s="17">
        <v>3224.28</v>
      </c>
      <c r="C6" s="18">
        <v>220</v>
      </c>
      <c r="G6" s="24"/>
    </row>
    <row r="7" spans="1:7" ht="15" customHeight="1" x14ac:dyDescent="0.15">
      <c r="A7" s="22" t="s">
        <v>7</v>
      </c>
      <c r="B7" s="17">
        <v>1031.56</v>
      </c>
      <c r="C7" s="18">
        <v>1060</v>
      </c>
      <c r="G7" s="24"/>
    </row>
    <row r="8" spans="1:7" ht="15" customHeight="1" x14ac:dyDescent="0.15">
      <c r="A8" s="22" t="s">
        <v>4</v>
      </c>
      <c r="B8" s="17">
        <v>326.48</v>
      </c>
      <c r="C8" s="18">
        <v>300</v>
      </c>
      <c r="G8" s="24"/>
    </row>
    <row r="9" spans="1:7" ht="15" customHeight="1" x14ac:dyDescent="0.15">
      <c r="A9" s="22" t="s">
        <v>27</v>
      </c>
      <c r="B9" s="17">
        <v>139.19</v>
      </c>
      <c r="C9" s="18">
        <v>1050</v>
      </c>
      <c r="G9" s="24"/>
    </row>
    <row r="10" spans="1:7" ht="15" customHeight="1" x14ac:dyDescent="0.15">
      <c r="A10" s="22" t="s">
        <v>3</v>
      </c>
      <c r="B10" s="17">
        <v>265.75</v>
      </c>
      <c r="C10" s="18">
        <v>1400</v>
      </c>
      <c r="G10" s="24"/>
    </row>
    <row r="11" spans="1:7" ht="15" customHeight="1" x14ac:dyDescent="0.15">
      <c r="A11" s="22" t="s">
        <v>28</v>
      </c>
      <c r="B11" s="17">
        <v>168.23</v>
      </c>
      <c r="C11" s="18">
        <v>360</v>
      </c>
      <c r="G11" s="24"/>
    </row>
    <row r="12" spans="1:7" ht="15" customHeight="1" x14ac:dyDescent="0.15">
      <c r="A12" s="22" t="s">
        <v>29</v>
      </c>
      <c r="B12" s="17">
        <v>215</v>
      </c>
      <c r="C12" s="18">
        <v>95</v>
      </c>
      <c r="G12" s="24"/>
    </row>
    <row r="13" spans="1:7" ht="15" customHeight="1" x14ac:dyDescent="0.15">
      <c r="A13" s="22" t="s">
        <v>30</v>
      </c>
      <c r="B13" s="17">
        <v>168.76</v>
      </c>
      <c r="C13" s="18">
        <v>24</v>
      </c>
      <c r="G13" s="24"/>
    </row>
    <row r="14" spans="1:7" x14ac:dyDescent="0.15">
      <c r="A14" s="22" t="s">
        <v>31</v>
      </c>
      <c r="B14" s="17">
        <v>467.43</v>
      </c>
      <c r="C14" s="18">
        <v>800</v>
      </c>
      <c r="G14" s="24"/>
    </row>
    <row r="15" spans="1:7" ht="15" customHeight="1" x14ac:dyDescent="0.15">
      <c r="A15" s="22" t="s">
        <v>32</v>
      </c>
      <c r="B15" s="17">
        <v>48.76</v>
      </c>
      <c r="C15" s="18">
        <v>250</v>
      </c>
      <c r="G15" s="24"/>
    </row>
    <row r="16" spans="1:7" ht="15" customHeight="1" x14ac:dyDescent="0.15">
      <c r="A16" s="22" t="s">
        <v>33</v>
      </c>
      <c r="B16" s="17">
        <v>1288.712</v>
      </c>
      <c r="C16" s="18">
        <v>0</v>
      </c>
      <c r="G16" s="24"/>
    </row>
    <row r="17" spans="1:7" x14ac:dyDescent="0.15">
      <c r="A17" s="22" t="s">
        <v>34</v>
      </c>
      <c r="B17" s="17">
        <v>296.19139999999999</v>
      </c>
      <c r="C17" s="18">
        <v>0</v>
      </c>
      <c r="G17" s="24"/>
    </row>
    <row r="18" spans="1:7" ht="15" customHeight="1" x14ac:dyDescent="0.15">
      <c r="A18" s="22" t="s">
        <v>35</v>
      </c>
      <c r="B18" s="17">
        <v>130.35923076899999</v>
      </c>
      <c r="C18" s="18">
        <v>0</v>
      </c>
      <c r="G18" s="24"/>
    </row>
    <row r="19" spans="1:7" ht="15" customHeight="1" x14ac:dyDescent="0.15">
      <c r="A19" s="22" t="s">
        <v>36</v>
      </c>
      <c r="B19" s="17">
        <v>5.085</v>
      </c>
      <c r="C19" s="18">
        <v>0</v>
      </c>
      <c r="G19" s="24"/>
    </row>
    <row r="20" spans="1:7" ht="15" customHeight="1" x14ac:dyDescent="0.15">
      <c r="A20" s="22" t="s">
        <v>37</v>
      </c>
      <c r="B20" s="17">
        <v>140.307916667</v>
      </c>
      <c r="C20" s="18">
        <v>0</v>
      </c>
      <c r="G20" s="24"/>
    </row>
    <row r="21" spans="1:7" ht="15" customHeight="1" x14ac:dyDescent="0.15">
      <c r="A21" s="22" t="s">
        <v>38</v>
      </c>
      <c r="B21" s="17">
        <v>359.53333333299997</v>
      </c>
      <c r="C21" s="18">
        <v>0</v>
      </c>
      <c r="G21" s="24"/>
    </row>
    <row r="22" spans="1:7" ht="15" customHeight="1" x14ac:dyDescent="0.15">
      <c r="A22" s="22" t="s">
        <v>39</v>
      </c>
      <c r="B22" s="17">
        <v>48.265714285999998</v>
      </c>
      <c r="C22" s="18">
        <v>0</v>
      </c>
      <c r="G22" s="24"/>
    </row>
    <row r="23" spans="1:7" ht="15" customHeight="1" x14ac:dyDescent="0.15">
      <c r="A23" s="22" t="s">
        <v>22</v>
      </c>
      <c r="B23" s="17">
        <v>22.44845814</v>
      </c>
      <c r="C23" s="18">
        <v>0</v>
      </c>
      <c r="G23" s="24"/>
    </row>
    <row r="24" spans="1:7" ht="15" customHeight="1" x14ac:dyDescent="0.15">
      <c r="A24" s="22" t="s">
        <v>40</v>
      </c>
      <c r="B24" s="17">
        <v>207.147272727</v>
      </c>
      <c r="C24" s="18">
        <v>0</v>
      </c>
      <c r="G24" s="24"/>
    </row>
    <row r="25" spans="1:7" ht="15" customHeight="1" x14ac:dyDescent="0.15">
      <c r="A25" s="22" t="s">
        <v>41</v>
      </c>
      <c r="B25" s="17">
        <v>194.36793442600001</v>
      </c>
      <c r="C25" s="18">
        <v>0</v>
      </c>
      <c r="G25" s="24"/>
    </row>
    <row r="26" spans="1:7" ht="15" customHeight="1" x14ac:dyDescent="0.15">
      <c r="A26" s="22" t="s">
        <v>26</v>
      </c>
      <c r="B26" s="17">
        <v>136.440151515</v>
      </c>
      <c r="C26" s="18">
        <v>0</v>
      </c>
      <c r="G26" s="24"/>
    </row>
    <row r="27" spans="1:7" ht="15" customHeight="1" x14ac:dyDescent="0.15">
      <c r="A27" s="22" t="s">
        <v>42</v>
      </c>
      <c r="B27" s="17">
        <v>129.38409090900001</v>
      </c>
      <c r="C27" s="18">
        <v>0</v>
      </c>
      <c r="G27" s="24"/>
    </row>
    <row r="28" spans="1:7" ht="15" customHeight="1" x14ac:dyDescent="0.15">
      <c r="A28" s="22" t="s">
        <v>24</v>
      </c>
      <c r="B28" s="17">
        <v>634.35</v>
      </c>
      <c r="C28" s="18">
        <v>0</v>
      </c>
      <c r="G28" s="24"/>
    </row>
    <row r="29" spans="1:7" ht="15" customHeight="1" x14ac:dyDescent="0.15">
      <c r="A29" s="22" t="s">
        <v>23</v>
      </c>
      <c r="B29" s="17">
        <v>42.348382608999998</v>
      </c>
      <c r="C29" s="18">
        <v>0</v>
      </c>
      <c r="G29" s="24"/>
    </row>
    <row r="30" spans="1:7" ht="15" customHeight="1" x14ac:dyDescent="0.15">
      <c r="A30" s="22" t="s">
        <v>21</v>
      </c>
      <c r="B30" s="17">
        <v>118.72817499999999</v>
      </c>
      <c r="C30" s="18">
        <v>0</v>
      </c>
      <c r="G30" s="24"/>
    </row>
    <row r="31" spans="1:7" ht="15" customHeight="1" x14ac:dyDescent="0.15">
      <c r="A31" s="22"/>
      <c r="B31" s="17"/>
      <c r="C31" s="18"/>
      <c r="G31" s="24"/>
    </row>
    <row r="32" spans="1:7" ht="15" customHeight="1" x14ac:dyDescent="0.15">
      <c r="A32" s="22"/>
      <c r="B32" s="17"/>
      <c r="C32" s="18"/>
      <c r="G32" s="19"/>
    </row>
    <row r="33" spans="1:7" ht="15" customHeight="1" x14ac:dyDescent="0.15">
      <c r="A33" s="22"/>
      <c r="B33" s="17"/>
      <c r="C33" s="18"/>
      <c r="G33" s="25"/>
    </row>
    <row r="34" spans="1:7" ht="15" customHeight="1" x14ac:dyDescent="0.15">
      <c r="A34" s="22"/>
      <c r="B34" s="17"/>
      <c r="C34" s="18"/>
      <c r="G34" s="25"/>
    </row>
    <row r="35" spans="1:7" ht="15" customHeight="1" x14ac:dyDescent="0.15">
      <c r="A35" s="22"/>
      <c r="B35" s="17"/>
      <c r="C35" s="18"/>
    </row>
    <row r="36" spans="1:7" ht="15" customHeight="1" x14ac:dyDescent="0.15">
      <c r="A36" s="22"/>
      <c r="B36" s="17"/>
      <c r="C36" s="18"/>
    </row>
    <row r="37" spans="1:7" ht="15" customHeight="1" x14ac:dyDescent="0.15">
      <c r="A37" s="22"/>
      <c r="B37" s="17"/>
      <c r="C37" s="18"/>
    </row>
    <row r="38" spans="1:7" ht="15" customHeight="1" x14ac:dyDescent="0.15">
      <c r="A38" s="22"/>
      <c r="B38" s="17"/>
      <c r="C38" s="18"/>
    </row>
    <row r="39" spans="1:7" ht="15" customHeight="1" x14ac:dyDescent="0.15">
      <c r="A39" s="22"/>
      <c r="B39" s="17"/>
      <c r="C39" s="18"/>
    </row>
    <row r="40" spans="1:7" ht="15" customHeight="1" x14ac:dyDescent="0.15">
      <c r="A40" s="22"/>
      <c r="B40" s="17"/>
      <c r="C40" s="18"/>
    </row>
    <row r="41" spans="1:7" ht="15" customHeight="1" x14ac:dyDescent="0.15">
      <c r="A41" s="22"/>
      <c r="B41" s="17"/>
      <c r="C41" s="18"/>
    </row>
    <row r="42" spans="1:7" ht="15" customHeight="1" x14ac:dyDescent="0.15">
      <c r="A42" s="22"/>
      <c r="B42" s="17"/>
      <c r="C42" s="18"/>
    </row>
    <row r="43" spans="1:7" ht="15" customHeight="1" x14ac:dyDescent="0.15">
      <c r="A43" s="22"/>
      <c r="B43" s="17"/>
      <c r="C43" s="18"/>
    </row>
    <row r="44" spans="1:7" ht="15" customHeight="1" x14ac:dyDescent="0.15">
      <c r="A44" s="22"/>
      <c r="B44" s="17"/>
      <c r="C44" s="18"/>
    </row>
    <row r="45" spans="1:7" ht="15" customHeight="1" x14ac:dyDescent="0.15">
      <c r="A45" s="22"/>
      <c r="B45" s="17"/>
      <c r="C45" s="18"/>
    </row>
    <row r="46" spans="1:7" ht="15" customHeight="1" x14ac:dyDescent="0.15">
      <c r="A46" s="22"/>
      <c r="B46" s="17"/>
      <c r="C46" s="18"/>
    </row>
    <row r="47" spans="1:7" ht="15" customHeight="1" x14ac:dyDescent="0.15">
      <c r="A47" s="22"/>
      <c r="B47" s="17"/>
      <c r="C47" s="18"/>
    </row>
    <row r="48" spans="1:7" ht="15" customHeight="1" x14ac:dyDescent="0.15">
      <c r="A48" s="22"/>
      <c r="B48" s="17"/>
      <c r="C48" s="18"/>
    </row>
    <row r="49" spans="1:3" ht="15" customHeight="1" x14ac:dyDescent="0.15">
      <c r="A49" s="22"/>
      <c r="B49" s="17"/>
      <c r="C49" s="18"/>
    </row>
    <row r="50" spans="1:3" ht="15" customHeight="1" x14ac:dyDescent="0.15">
      <c r="A50" s="22"/>
      <c r="B50" s="17"/>
      <c r="C50" s="18"/>
    </row>
    <row r="51" spans="1:3" ht="15" customHeight="1" x14ac:dyDescent="0.15">
      <c r="A51" s="22"/>
      <c r="B51" s="17"/>
      <c r="C51" s="18"/>
    </row>
    <row r="52" spans="1:3" ht="15" customHeight="1" x14ac:dyDescent="0.15">
      <c r="A52" s="22"/>
      <c r="B52" s="17"/>
      <c r="C52" s="18"/>
    </row>
    <row r="53" spans="1:3" ht="15" customHeight="1" x14ac:dyDescent="0.15">
      <c r="A53" s="22"/>
      <c r="B53" s="17"/>
      <c r="C53" s="18"/>
    </row>
    <row r="54" spans="1:3" ht="15" customHeight="1" x14ac:dyDescent="0.15">
      <c r="A54" s="22"/>
      <c r="B54" s="17"/>
      <c r="C54" s="18"/>
    </row>
    <row r="55" spans="1:3" ht="15" customHeight="1" x14ac:dyDescent="0.15">
      <c r="A55" s="22"/>
      <c r="B55" s="17"/>
      <c r="C55" s="18"/>
    </row>
    <row r="56" spans="1:3" ht="15" customHeight="1" x14ac:dyDescent="0.15">
      <c r="A56" s="22"/>
      <c r="B56" s="17"/>
      <c r="C56" s="18"/>
    </row>
    <row r="57" spans="1:3" ht="15" customHeight="1" x14ac:dyDescent="0.15">
      <c r="A57" s="22"/>
      <c r="B57" s="17"/>
      <c r="C57" s="18"/>
    </row>
    <row r="58" spans="1:3" ht="15" customHeight="1" x14ac:dyDescent="0.15">
      <c r="A58" s="22"/>
      <c r="B58" s="17"/>
      <c r="C58" s="18"/>
    </row>
    <row r="59" spans="1:3" ht="15" customHeight="1" x14ac:dyDescent="0.15">
      <c r="A59" s="22"/>
      <c r="B59" s="17"/>
      <c r="C59" s="18"/>
    </row>
    <row r="60" spans="1:3" ht="15" customHeight="1" x14ac:dyDescent="0.15">
      <c r="A60" s="22"/>
      <c r="B60" s="17"/>
      <c r="C60" s="18"/>
    </row>
    <row r="61" spans="1:3" ht="15" customHeight="1" x14ac:dyDescent="0.15">
      <c r="A61" s="22"/>
      <c r="B61" s="17"/>
      <c r="C61" s="18"/>
    </row>
    <row r="62" spans="1:3" ht="15" customHeight="1" x14ac:dyDescent="0.15">
      <c r="A62" s="22"/>
      <c r="B62" s="17"/>
      <c r="C62" s="18"/>
    </row>
    <row r="63" spans="1:3" ht="15" customHeight="1" x14ac:dyDescent="0.15">
      <c r="A63" s="22"/>
      <c r="B63" s="17"/>
      <c r="C63" s="18"/>
    </row>
    <row r="64" spans="1:3" ht="15" customHeight="1" x14ac:dyDescent="0.15">
      <c r="A64" s="22"/>
      <c r="B64" s="17"/>
      <c r="C64" s="18"/>
    </row>
    <row r="65" spans="1:3" ht="15" customHeight="1" x14ac:dyDescent="0.15">
      <c r="A65" s="22"/>
      <c r="B65" s="17"/>
      <c r="C65" s="18"/>
    </row>
    <row r="66" spans="1:3" ht="15" customHeight="1" x14ac:dyDescent="0.15">
      <c r="A66" s="22"/>
      <c r="B66" s="17"/>
      <c r="C66" s="18"/>
    </row>
    <row r="67" spans="1:3" ht="15" customHeight="1" x14ac:dyDescent="0.15">
      <c r="A67" s="22"/>
      <c r="B67" s="17"/>
      <c r="C67" s="18"/>
    </row>
    <row r="68" spans="1:3" ht="15" customHeight="1" x14ac:dyDescent="0.15">
      <c r="A68" s="22"/>
      <c r="B68" s="17"/>
      <c r="C68" s="18"/>
    </row>
    <row r="69" spans="1:3" ht="15" customHeight="1" x14ac:dyDescent="0.15">
      <c r="A69" s="22"/>
      <c r="B69" s="17"/>
      <c r="C69" s="18"/>
    </row>
    <row r="70" spans="1:3" ht="15" customHeight="1" x14ac:dyDescent="0.15">
      <c r="A70" s="22"/>
      <c r="B70" s="17"/>
      <c r="C70" s="18"/>
    </row>
    <row r="71" spans="1:3" ht="15" customHeight="1" x14ac:dyDescent="0.15">
      <c r="A71" s="22"/>
      <c r="B71" s="17"/>
      <c r="C71" s="18"/>
    </row>
    <row r="72" spans="1:3" ht="15" customHeight="1" x14ac:dyDescent="0.15">
      <c r="A72" s="22"/>
      <c r="B72" s="17"/>
      <c r="C72" s="18"/>
    </row>
    <row r="73" spans="1:3" ht="15" customHeight="1" x14ac:dyDescent="0.15">
      <c r="A73" s="22"/>
      <c r="B73" s="17"/>
      <c r="C73" s="18"/>
    </row>
    <row r="74" spans="1:3" ht="15" customHeight="1" x14ac:dyDescent="0.15">
      <c r="A74" s="22"/>
      <c r="B74" s="17"/>
      <c r="C74" s="18"/>
    </row>
    <row r="75" spans="1:3" ht="15" customHeight="1" x14ac:dyDescent="0.15">
      <c r="A75" s="22"/>
      <c r="B75" s="17"/>
      <c r="C75" s="18"/>
    </row>
    <row r="76" spans="1:3" ht="15" customHeight="1" x14ac:dyDescent="0.15">
      <c r="A76" s="22"/>
      <c r="B76" s="17"/>
      <c r="C76" s="18"/>
    </row>
    <row r="77" spans="1:3" ht="15" customHeight="1" x14ac:dyDescent="0.15">
      <c r="A77" s="22"/>
      <c r="B77" s="17"/>
      <c r="C77" s="18"/>
    </row>
    <row r="78" spans="1:3" ht="15" customHeight="1" x14ac:dyDescent="0.15">
      <c r="A78" s="22"/>
      <c r="B78" s="17"/>
      <c r="C78" s="18"/>
    </row>
    <row r="79" spans="1:3" ht="15" customHeight="1" x14ac:dyDescent="0.15">
      <c r="A79" s="22"/>
      <c r="B79" s="17"/>
      <c r="C79" s="18"/>
    </row>
    <row r="80" spans="1:3" ht="15" customHeight="1" x14ac:dyDescent="0.15">
      <c r="A80" s="22"/>
      <c r="B80" s="17"/>
      <c r="C80" s="18"/>
    </row>
    <row r="81" spans="1:3" ht="15" customHeight="1" x14ac:dyDescent="0.15">
      <c r="A81" s="22"/>
      <c r="B81" s="17"/>
      <c r="C81" s="18"/>
    </row>
    <row r="82" spans="1:3" ht="15" customHeight="1" x14ac:dyDescent="0.15">
      <c r="A82" s="22"/>
      <c r="B82" s="17"/>
      <c r="C82" s="18"/>
    </row>
    <row r="83" spans="1:3" ht="15" customHeight="1" x14ac:dyDescent="0.15">
      <c r="A83" s="22"/>
      <c r="B83" s="17"/>
      <c r="C83" s="18"/>
    </row>
    <row r="84" spans="1:3" ht="15" customHeight="1" x14ac:dyDescent="0.15">
      <c r="A84" s="22"/>
      <c r="B84" s="17"/>
      <c r="C84" s="18"/>
    </row>
    <row r="85" spans="1:3" ht="15" customHeight="1" x14ac:dyDescent="0.15">
      <c r="A85" s="22"/>
      <c r="B85" s="17"/>
      <c r="C85" s="18"/>
    </row>
    <row r="86" spans="1:3" ht="15" customHeight="1" x14ac:dyDescent="0.15">
      <c r="A86" s="22"/>
      <c r="B86" s="17"/>
      <c r="C86" s="18"/>
    </row>
    <row r="87" spans="1:3" ht="15" customHeight="1" x14ac:dyDescent="0.15">
      <c r="A87" s="22"/>
      <c r="B87" s="17"/>
      <c r="C87" s="18"/>
    </row>
    <row r="88" spans="1:3" ht="15" customHeight="1" x14ac:dyDescent="0.15">
      <c r="A88" s="22"/>
      <c r="B88" s="17"/>
      <c r="C88" s="18"/>
    </row>
    <row r="89" spans="1:3" ht="15" customHeight="1" x14ac:dyDescent="0.15">
      <c r="A89" s="22"/>
      <c r="B89" s="17"/>
      <c r="C89" s="18"/>
    </row>
    <row r="90" spans="1:3" ht="15" customHeight="1" x14ac:dyDescent="0.15">
      <c r="A90" s="22"/>
      <c r="B90" s="17"/>
      <c r="C90" s="18"/>
    </row>
    <row r="91" spans="1:3" ht="15" customHeight="1" x14ac:dyDescent="0.15">
      <c r="A91" s="22"/>
      <c r="B91" s="17"/>
      <c r="C91" s="18"/>
    </row>
    <row r="92" spans="1:3" ht="15" customHeight="1" x14ac:dyDescent="0.15">
      <c r="A92" s="22"/>
      <c r="B92" s="17"/>
      <c r="C92" s="18"/>
    </row>
    <row r="93" spans="1:3" ht="15" customHeight="1" x14ac:dyDescent="0.15">
      <c r="A93" s="22"/>
      <c r="B93" s="17"/>
      <c r="C93" s="18"/>
    </row>
    <row r="94" spans="1:3" ht="15" customHeight="1" x14ac:dyDescent="0.15">
      <c r="A94" s="22"/>
      <c r="B94" s="17"/>
      <c r="C94" s="18"/>
    </row>
    <row r="95" spans="1:3" ht="15" customHeight="1" x14ac:dyDescent="0.15">
      <c r="A95" s="22"/>
      <c r="B95" s="17"/>
      <c r="C95" s="18"/>
    </row>
    <row r="96" spans="1:3" ht="15" customHeight="1" x14ac:dyDescent="0.15">
      <c r="A96" s="22"/>
      <c r="B96" s="17"/>
      <c r="C96" s="18"/>
    </row>
    <row r="97" spans="1:3" ht="15" customHeight="1" x14ac:dyDescent="0.15">
      <c r="A97" s="22"/>
      <c r="B97" s="17"/>
      <c r="C97" s="18"/>
    </row>
    <row r="98" spans="1:3" ht="15" customHeight="1" x14ac:dyDescent="0.15">
      <c r="A98" s="22"/>
      <c r="B98" s="17"/>
      <c r="C98" s="18"/>
    </row>
    <row r="99" spans="1:3" ht="15" customHeight="1" x14ac:dyDescent="0.15">
      <c r="A99" s="22"/>
      <c r="B99" s="17"/>
      <c r="C99" s="18"/>
    </row>
    <row r="100" spans="1:3" ht="15" customHeight="1" x14ac:dyDescent="0.15">
      <c r="A100" s="22"/>
      <c r="B100" s="17"/>
      <c r="C100" s="18"/>
    </row>
    <row r="101" spans="1:3" ht="15" customHeight="1" x14ac:dyDescent="0.15">
      <c r="A101" s="22"/>
      <c r="B101" s="17"/>
      <c r="C101" s="18"/>
    </row>
  </sheetData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2"/>
  <sheetViews>
    <sheetView workbookViewId="0"/>
  </sheetViews>
  <sheetFormatPr baseColWidth="10" defaultColWidth="12.6640625" defaultRowHeight="15" customHeight="1" x14ac:dyDescent="0.15"/>
  <cols>
    <col min="1" max="1" width="18.83203125" customWidth="1"/>
  </cols>
  <sheetData>
    <row r="1" spans="1:26" ht="15" customHeight="1" x14ac:dyDescent="0.15">
      <c r="A1" s="1" t="str">
        <f ca="1">IFERROR(__xludf.DUMMYFUNCTION("index(importhtml(""https://finviz.com/groups.ashx?g=sector&amp;v=152&amp;o=name&amp;c=1,2,3,4,5,6,7,8,9,10,11,12,13,14,15,16,17,18,19,20,21,22,23,24,25,26"",""table"",9),0,0)"),"#N/A")</f>
        <v>#N/A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L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31.1640625" customWidth="1"/>
    <col min="2" max="2" width="9.6640625" customWidth="1"/>
    <col min="3" max="3" width="6" customWidth="1"/>
    <col min="4" max="4" width="7" customWidth="1"/>
    <col min="5" max="6" width="5.1640625" customWidth="1"/>
    <col min="7" max="7" width="6" customWidth="1"/>
    <col min="8" max="8" width="6.83203125" customWidth="1"/>
    <col min="9" max="9" width="6" customWidth="1"/>
    <col min="10" max="10" width="7.6640625" customWidth="1"/>
    <col min="11" max="11" width="9.5" customWidth="1"/>
    <col min="12" max="12" width="9.6640625" customWidth="1"/>
    <col min="13" max="13" width="10.6640625" customWidth="1"/>
    <col min="14" max="14" width="9.1640625" customWidth="1"/>
    <col min="15" max="15" width="8.6640625" customWidth="1"/>
    <col min="16" max="16" width="9.5" customWidth="1"/>
    <col min="17" max="17" width="8.6640625" customWidth="1"/>
    <col min="18" max="18" width="7.5" customWidth="1"/>
    <col min="19" max="19" width="7.6640625" customWidth="1"/>
    <col min="20" max="20" width="7.33203125" customWidth="1"/>
    <col min="21" max="21" width="6" customWidth="1"/>
    <col min="22" max="22" width="9.6640625" customWidth="1"/>
    <col min="23" max="23" width="9.33203125" customWidth="1"/>
    <col min="24" max="24" width="6.5" customWidth="1"/>
    <col min="25" max="25" width="7.5" customWidth="1"/>
    <col min="26" max="27" width="5.6640625" customWidth="1"/>
  </cols>
  <sheetData>
    <row r="1" spans="1:38" x14ac:dyDescent="0.2">
      <c r="A1" s="1" t="str">
        <f ca="1">IFERROR(__xludf.DUMMYFUNCTION("index(importhtml(""https://finviz.com/groups.ashx?g=industry&amp;v=152&amp;o=name&amp;c=1,2,3,4,5,6,7,8,9,10,11,12,13,14,15,16,17,18,19,20,21,22,23,24,25,26"",""table"",9),0,0)"),"#N/A")</f>
        <v>#N/A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x14ac:dyDescent="0.2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x14ac:dyDescent="0.2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x14ac:dyDescent="0.2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x14ac:dyDescent="0.2">
      <c r="A8" s="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1:38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spans="1:38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1:38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spans="1:38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 spans="1:38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 spans="1:38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 spans="1:38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 spans="1:38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 spans="1:38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 spans="1:38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spans="1:38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spans="1:38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spans="1:38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 spans="1:38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spans="1:38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spans="1:38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spans="1:38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1:38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 spans="1:38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 spans="1:38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1:38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1:38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spans="1:38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 spans="1:38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1:38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 spans="1:38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1:38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1:38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1:38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1:38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 spans="1:38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 spans="1:38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 spans="1:38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 spans="1:38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 spans="1:38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 spans="1:38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 spans="1:38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 spans="1:38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 spans="1:38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 spans="1:38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 spans="1:38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 spans="1:38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 spans="1:38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 spans="1:38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 spans="1:38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 spans="1:38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 spans="1:38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 spans="1:38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 spans="1:38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 spans="1:38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 spans="1:38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 spans="1:38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 spans="1:38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 spans="1:38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 spans="1:38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 spans="1:38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 spans="1:38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 spans="1:38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1:38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 spans="1:38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 spans="1:38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 spans="1:38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 spans="1:38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 spans="1:38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 spans="1:38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 spans="1:38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 spans="1:38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 spans="1:38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 spans="1:38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 spans="1:38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 spans="1:38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 spans="1:38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 spans="1:38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 spans="1:38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 spans="1:38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 spans="1:38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 spans="1:38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 spans="1:38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 spans="1:38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1:38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 spans="1:38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 spans="1:38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1:38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 spans="1:38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 spans="1:38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 spans="1:38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 spans="1:38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 spans="1:38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 spans="1:38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 spans="1:38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 spans="1:38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 spans="1:38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 spans="1:38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 spans="1:38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 spans="1:38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 spans="1:38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 spans="1:38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 spans="1:38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 spans="1:38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 spans="1:38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 spans="1:38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 spans="1:38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 spans="1:38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1:38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 spans="1:38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 spans="1:38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1:38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 spans="1:38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 spans="1:38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 spans="1:38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 spans="1:38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 spans="1:38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 spans="1:38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 spans="1:38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 spans="1:38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 spans="1:38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 spans="1:38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 spans="1:38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 spans="1:38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 spans="1:38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 spans="1:38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 spans="1:38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 spans="1:38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 spans="1:38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 spans="1:38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 spans="1:38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 spans="1:38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 spans="1:38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 spans="1:38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 spans="1:38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 spans="1:38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 spans="1:38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 spans="1:38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 spans="1:38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 spans="1:38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 spans="1:38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 spans="1:38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 spans="1:38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 spans="1:38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 spans="1:38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 spans="1:38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 spans="1:38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 spans="1:38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 spans="1:38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 spans="1:38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 spans="1:38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 spans="1:38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 spans="1:38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 spans="1:38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 spans="1:38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 spans="1:38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 spans="1:38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 spans="1:38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 spans="1:38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 spans="1:38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 spans="1:38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 spans="1:38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 spans="1:38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 spans="1:38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 spans="1:38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 spans="1:38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 spans="1:38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 spans="1:38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 spans="1:38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 spans="1:38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 spans="1:38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 spans="1:38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 spans="1:38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 spans="1:38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 spans="1:38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 spans="1:38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 spans="1:38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 spans="1:38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 spans="1:38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 spans="1:38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 spans="1:38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 spans="1:38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 spans="1:38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 spans="1:38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 spans="1:38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 spans="1:38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 spans="1:38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 spans="1:38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 spans="1:38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 spans="1:38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 spans="1:38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 spans="1:38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 spans="1:38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 spans="1:38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 spans="1:38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 spans="1:38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 spans="1:38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 spans="1:38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 spans="1:38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 spans="1:38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 spans="1:38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 spans="1:38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 spans="1:38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 spans="1:38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 spans="1:38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 spans="1:38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 spans="1:38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 spans="1:38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 spans="1:38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 spans="1:38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 spans="1:38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 spans="1:38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 spans="1:38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 spans="1:38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 spans="1:38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 spans="1:38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 spans="1:38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 spans="1:38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 spans="1:38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 spans="1:38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 spans="1:38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 spans="1:38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 spans="1:38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 spans="1:38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 spans="1:38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 spans="1:38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 spans="1:38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 spans="1:38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 spans="1:38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 spans="1:38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 spans="1:38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 spans="1:38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 spans="1:38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 spans="1:38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 spans="1:38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 spans="1:38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 spans="1:38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 spans="1:38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 spans="1:38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 spans="1:38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 spans="1:38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 spans="1:38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 spans="1:38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 spans="1:38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 spans="1:38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 spans="1:38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 spans="1:38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 spans="1:38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 spans="1:38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 spans="1:38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 spans="1:38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 spans="1:38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 spans="1:38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 spans="1:38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 spans="1:38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 spans="1:38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 spans="1:38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 spans="1:38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 spans="1:38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 spans="1:38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 spans="1:38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 spans="1:38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 spans="1:38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 spans="1:38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 spans="1:38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 spans="1:38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 spans="1:38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 spans="1:38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 spans="1:38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 spans="1:38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 spans="1:38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 spans="1:38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 spans="1:38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 spans="1:38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 spans="1:38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 spans="1:38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 spans="1:38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 spans="1:38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 spans="1:38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 spans="1:38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 spans="1:38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 spans="1:38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 spans="1:38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 spans="1:38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 spans="1:38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 spans="1:38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 spans="1:38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 spans="1:38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 spans="1:38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 spans="1:38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 spans="1:38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 spans="1:38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 spans="1:38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 spans="1:38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 spans="1:38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 spans="1:38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 spans="1:38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 spans="1:38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 spans="1:38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 spans="1:38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 spans="1:38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 spans="1:38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 spans="1:38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 spans="1:38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 spans="1:38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 spans="1:38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 spans="1:38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 spans="1:38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 spans="1:38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 spans="1:38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 spans="1:38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 spans="1:38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 spans="1:38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 spans="1:38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 spans="1:38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 spans="1:38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 spans="1:38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 spans="1:38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 spans="1:38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 spans="1:38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 spans="1:38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 spans="1:38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 spans="1:38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 spans="1:38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 spans="1:38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 spans="1:38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 spans="1:38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 spans="1:38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 spans="1:38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 spans="1:38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 spans="1:38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 spans="1:38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 spans="1:38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 spans="1:38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 spans="1:38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 spans="1:38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 spans="1:38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 spans="1:38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 spans="1:38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 spans="1:38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 spans="1:38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 spans="1:38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 spans="1:38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 spans="1:38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 spans="1:38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 spans="1:38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 spans="1:38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 spans="1:38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 spans="1:38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 spans="1:38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 spans="1:38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 spans="1:38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 spans="1:38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 spans="1:38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 spans="1:38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 spans="1:38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 spans="1:38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 spans="1:38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 spans="1:38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 spans="1:38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 spans="1:38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 spans="1:38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 spans="1:38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 spans="1:38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 spans="1:38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 spans="1:38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 spans="1:38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 spans="1:38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 spans="1:38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 spans="1:38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 spans="1:38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 spans="1:38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 spans="1:38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 spans="1:38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 spans="1:38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 spans="1:38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 spans="1:38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 spans="1:38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 spans="1:38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 spans="1:38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 spans="1:38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 spans="1:38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 spans="1:38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 spans="1:38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 spans="1:38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 spans="1:38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 spans="1:38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 spans="1:38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 spans="1:38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 spans="1:38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 spans="1:38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 spans="1:38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 spans="1:38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 spans="1:38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 spans="1:38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 spans="1:38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 spans="1:38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 spans="1:38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 spans="1:38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 spans="1:38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 spans="1:38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 spans="1:38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 spans="1:38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 spans="1:38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  <row r="637" spans="1:38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</row>
    <row r="638" spans="1:38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</row>
    <row r="639" spans="1:38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</row>
    <row r="640" spans="1:38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</row>
    <row r="641" spans="1:38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</row>
    <row r="642" spans="1:38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</row>
    <row r="643" spans="1:38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</row>
    <row r="644" spans="1:38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</row>
    <row r="645" spans="1:38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</row>
    <row r="646" spans="1:38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</row>
    <row r="647" spans="1:38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</row>
    <row r="648" spans="1:38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</row>
    <row r="649" spans="1:38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</row>
    <row r="650" spans="1:38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</row>
    <row r="651" spans="1:38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</row>
    <row r="652" spans="1:38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</row>
    <row r="653" spans="1:38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</row>
    <row r="654" spans="1:38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</row>
    <row r="655" spans="1:38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</row>
    <row r="656" spans="1:38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</row>
    <row r="657" spans="1:38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</row>
    <row r="658" spans="1:38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</row>
    <row r="659" spans="1:38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</row>
    <row r="660" spans="1:38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</row>
    <row r="661" spans="1:38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</row>
    <row r="662" spans="1:38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</row>
    <row r="663" spans="1:38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</row>
    <row r="664" spans="1:38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</row>
    <row r="665" spans="1:38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</row>
    <row r="666" spans="1:38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</row>
    <row r="667" spans="1:38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</row>
    <row r="668" spans="1:38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</row>
    <row r="669" spans="1:38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</row>
    <row r="670" spans="1:38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</row>
    <row r="671" spans="1:38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</row>
    <row r="672" spans="1:38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</row>
    <row r="673" spans="1:38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</row>
    <row r="674" spans="1:38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</row>
    <row r="675" spans="1:38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</row>
    <row r="676" spans="1:38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</row>
    <row r="677" spans="1:38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</row>
    <row r="678" spans="1:38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</row>
    <row r="679" spans="1:38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</row>
    <row r="680" spans="1:38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</row>
    <row r="681" spans="1:38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</row>
    <row r="682" spans="1:38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</row>
    <row r="683" spans="1:38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</row>
    <row r="684" spans="1:38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</row>
    <row r="685" spans="1:38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</row>
    <row r="686" spans="1:38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</row>
    <row r="687" spans="1:38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</row>
    <row r="688" spans="1:38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</row>
    <row r="689" spans="1:38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</row>
    <row r="690" spans="1:38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</row>
    <row r="691" spans="1:38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</row>
    <row r="692" spans="1:38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</row>
    <row r="693" spans="1:38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</row>
    <row r="694" spans="1:38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</row>
    <row r="695" spans="1:38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</row>
    <row r="696" spans="1:38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</row>
    <row r="697" spans="1:38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</row>
    <row r="698" spans="1:38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</row>
    <row r="699" spans="1:38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</row>
    <row r="700" spans="1:38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</row>
    <row r="701" spans="1:38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</row>
    <row r="702" spans="1:38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</row>
    <row r="703" spans="1:38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</row>
    <row r="704" spans="1:38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</row>
    <row r="705" spans="1:38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</row>
    <row r="706" spans="1:38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</row>
    <row r="707" spans="1:38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</row>
    <row r="708" spans="1:38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</row>
    <row r="709" spans="1:38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</row>
    <row r="710" spans="1:38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</row>
    <row r="711" spans="1:38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</row>
    <row r="712" spans="1:38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</row>
    <row r="713" spans="1:38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</row>
    <row r="714" spans="1:38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</row>
    <row r="715" spans="1:38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</row>
    <row r="716" spans="1:38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</row>
    <row r="717" spans="1:38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</row>
    <row r="718" spans="1:38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</row>
    <row r="719" spans="1:38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</row>
    <row r="720" spans="1:38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</row>
    <row r="721" spans="1:38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</row>
    <row r="722" spans="1:38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</row>
    <row r="723" spans="1:38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</row>
    <row r="724" spans="1:38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</row>
    <row r="725" spans="1:38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</row>
    <row r="726" spans="1:38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</row>
    <row r="727" spans="1:38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</row>
    <row r="728" spans="1:38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</row>
    <row r="729" spans="1:38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</row>
    <row r="730" spans="1:38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</row>
    <row r="731" spans="1:38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</row>
    <row r="732" spans="1:38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</row>
    <row r="733" spans="1:38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</row>
    <row r="734" spans="1:38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</row>
    <row r="735" spans="1:38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</row>
    <row r="736" spans="1:38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</row>
    <row r="737" spans="1:38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</row>
    <row r="738" spans="1:38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</row>
    <row r="739" spans="1:38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</row>
    <row r="740" spans="1:38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</row>
    <row r="741" spans="1:38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</row>
    <row r="742" spans="1:38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r="743" spans="1:38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r="744" spans="1:38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r="745" spans="1:38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</row>
    <row r="746" spans="1:38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</row>
    <row r="747" spans="1:38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</row>
    <row r="748" spans="1:38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</row>
    <row r="749" spans="1:38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</row>
    <row r="750" spans="1:38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</row>
    <row r="751" spans="1:38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</row>
    <row r="752" spans="1:38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</row>
    <row r="753" spans="1:38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</row>
    <row r="754" spans="1:38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</row>
    <row r="755" spans="1:38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</row>
    <row r="756" spans="1:38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</row>
    <row r="757" spans="1:38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</row>
    <row r="758" spans="1:38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</row>
    <row r="759" spans="1:38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</row>
    <row r="760" spans="1:38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</row>
    <row r="761" spans="1:38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</row>
    <row r="762" spans="1:38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</row>
    <row r="763" spans="1:38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</row>
    <row r="764" spans="1:38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</row>
    <row r="765" spans="1:38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</row>
    <row r="766" spans="1:38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</row>
    <row r="767" spans="1:38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</row>
    <row r="768" spans="1:38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</row>
    <row r="769" spans="1:38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</row>
    <row r="770" spans="1:38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</row>
    <row r="771" spans="1:38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</row>
    <row r="772" spans="1:38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</row>
    <row r="773" spans="1:38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</row>
    <row r="774" spans="1:38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</row>
    <row r="775" spans="1:38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</row>
    <row r="776" spans="1:38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</row>
    <row r="777" spans="1:38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</row>
    <row r="778" spans="1:38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</row>
    <row r="779" spans="1:38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</row>
    <row r="780" spans="1:38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</row>
    <row r="781" spans="1:38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</row>
    <row r="782" spans="1:38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</row>
    <row r="783" spans="1:38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</row>
    <row r="784" spans="1:38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</row>
    <row r="785" spans="1:38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</row>
    <row r="786" spans="1:38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</row>
    <row r="787" spans="1:38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</row>
    <row r="788" spans="1:38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</row>
    <row r="789" spans="1:38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</row>
    <row r="790" spans="1:38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</row>
    <row r="791" spans="1:38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</row>
    <row r="792" spans="1:38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</row>
    <row r="793" spans="1:38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</row>
    <row r="794" spans="1:38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</row>
    <row r="795" spans="1:38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</row>
    <row r="796" spans="1:38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</row>
    <row r="797" spans="1:38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</row>
    <row r="798" spans="1:38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</row>
    <row r="799" spans="1:38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</row>
    <row r="800" spans="1:38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</row>
    <row r="801" spans="1:38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</row>
    <row r="802" spans="1:38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</row>
    <row r="803" spans="1:38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</row>
    <row r="804" spans="1:38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</row>
    <row r="805" spans="1:38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</row>
    <row r="806" spans="1:38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</row>
    <row r="807" spans="1:38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</row>
    <row r="808" spans="1:38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</row>
    <row r="809" spans="1:38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</row>
    <row r="810" spans="1:38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</row>
    <row r="811" spans="1:38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</row>
    <row r="812" spans="1:38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</row>
    <row r="813" spans="1:38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</row>
    <row r="814" spans="1:38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</row>
    <row r="815" spans="1:38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</row>
    <row r="816" spans="1:38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</row>
    <row r="817" spans="1:38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</row>
    <row r="818" spans="1:38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</row>
    <row r="819" spans="1:38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</row>
    <row r="820" spans="1:38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</row>
    <row r="821" spans="1:38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</row>
    <row r="822" spans="1:38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</row>
    <row r="823" spans="1:38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</row>
    <row r="824" spans="1:38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</row>
    <row r="825" spans="1:38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</row>
    <row r="826" spans="1:38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</row>
    <row r="827" spans="1:38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</row>
    <row r="828" spans="1:38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</row>
    <row r="829" spans="1:38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</row>
    <row r="830" spans="1:38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</row>
    <row r="831" spans="1:38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</row>
    <row r="832" spans="1:38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</row>
    <row r="833" spans="1:38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</row>
    <row r="834" spans="1:38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</row>
    <row r="835" spans="1:38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</row>
    <row r="836" spans="1:38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</row>
    <row r="837" spans="1:38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</row>
    <row r="838" spans="1:38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</row>
    <row r="839" spans="1:38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</row>
    <row r="840" spans="1:38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</row>
    <row r="841" spans="1:38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</row>
    <row r="842" spans="1:38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</row>
    <row r="843" spans="1:38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</row>
    <row r="844" spans="1:38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</row>
    <row r="845" spans="1:38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</row>
    <row r="846" spans="1:38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</row>
    <row r="847" spans="1:38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</row>
    <row r="848" spans="1:38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</row>
    <row r="849" spans="1:38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</row>
    <row r="850" spans="1:38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</row>
    <row r="851" spans="1:38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</row>
    <row r="852" spans="1:38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</row>
    <row r="853" spans="1:38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</row>
    <row r="854" spans="1:38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</row>
    <row r="855" spans="1:38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</row>
    <row r="856" spans="1:38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</row>
    <row r="857" spans="1:38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</row>
    <row r="858" spans="1:38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</row>
    <row r="859" spans="1:38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</row>
    <row r="860" spans="1:38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</row>
    <row r="861" spans="1:38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</row>
    <row r="862" spans="1:38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</row>
    <row r="863" spans="1:38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</row>
    <row r="864" spans="1:38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</row>
    <row r="865" spans="1:38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</row>
    <row r="866" spans="1:38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</row>
    <row r="867" spans="1:38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</row>
    <row r="868" spans="1:38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</row>
    <row r="869" spans="1:38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</row>
    <row r="870" spans="1:38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</row>
    <row r="871" spans="1:38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</row>
    <row r="872" spans="1:38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</row>
    <row r="873" spans="1:38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</row>
    <row r="874" spans="1:38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</row>
    <row r="875" spans="1:38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</row>
    <row r="876" spans="1:38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</row>
    <row r="877" spans="1:38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</row>
    <row r="878" spans="1:38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</row>
    <row r="879" spans="1:38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</row>
    <row r="880" spans="1:38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</row>
    <row r="881" spans="1:38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</row>
    <row r="882" spans="1:38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</row>
    <row r="883" spans="1:38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</row>
    <row r="884" spans="1:38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</row>
    <row r="885" spans="1:38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</row>
    <row r="886" spans="1:38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</row>
    <row r="887" spans="1:38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</row>
    <row r="888" spans="1:38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</row>
    <row r="889" spans="1:38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</row>
    <row r="890" spans="1:38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</row>
    <row r="891" spans="1:38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</row>
    <row r="892" spans="1:38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</row>
    <row r="893" spans="1:38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</row>
    <row r="894" spans="1:38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</row>
    <row r="895" spans="1:38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</row>
    <row r="896" spans="1:38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</row>
    <row r="897" spans="1:38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</row>
    <row r="898" spans="1:38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</row>
    <row r="899" spans="1:38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</row>
    <row r="900" spans="1:38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</row>
    <row r="901" spans="1:38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</row>
    <row r="902" spans="1:38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</row>
    <row r="903" spans="1:38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</row>
    <row r="904" spans="1:38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</row>
    <row r="905" spans="1:38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</row>
    <row r="906" spans="1:38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</row>
    <row r="907" spans="1:38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</row>
    <row r="908" spans="1:38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</row>
    <row r="909" spans="1:38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</row>
    <row r="910" spans="1:38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</row>
    <row r="911" spans="1:38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</row>
    <row r="912" spans="1:38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</row>
    <row r="913" spans="1:38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</row>
    <row r="914" spans="1:38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</row>
    <row r="915" spans="1:38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</row>
    <row r="916" spans="1:38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</row>
    <row r="917" spans="1:38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</row>
    <row r="918" spans="1:38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</row>
    <row r="919" spans="1:38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</row>
    <row r="920" spans="1:38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</row>
    <row r="921" spans="1:38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</row>
    <row r="922" spans="1:38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</row>
    <row r="923" spans="1:38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</row>
    <row r="924" spans="1:38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</row>
    <row r="925" spans="1:38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</row>
    <row r="926" spans="1:38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</row>
    <row r="927" spans="1:38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</row>
    <row r="928" spans="1:38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</row>
    <row r="929" spans="1:38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</row>
    <row r="930" spans="1:38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</row>
    <row r="931" spans="1:38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</row>
    <row r="932" spans="1:38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</row>
    <row r="933" spans="1:38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</row>
    <row r="934" spans="1:38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</row>
    <row r="935" spans="1:38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</row>
    <row r="936" spans="1:38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</row>
    <row r="937" spans="1:38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</row>
    <row r="938" spans="1:38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</row>
    <row r="939" spans="1:38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</row>
    <row r="940" spans="1:38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</row>
    <row r="941" spans="1:38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</row>
    <row r="942" spans="1:38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</row>
    <row r="943" spans="1:38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</row>
    <row r="944" spans="1:38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</row>
    <row r="945" spans="1:38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</row>
    <row r="946" spans="1:38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</row>
    <row r="947" spans="1:38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</row>
    <row r="948" spans="1:38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</row>
    <row r="949" spans="1:38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</row>
    <row r="950" spans="1:38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</row>
    <row r="951" spans="1:38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</row>
    <row r="952" spans="1:38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</row>
    <row r="953" spans="1:38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</row>
    <row r="954" spans="1:38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</row>
    <row r="955" spans="1:38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</row>
    <row r="956" spans="1:38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</row>
    <row r="957" spans="1:38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</row>
    <row r="958" spans="1:38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</row>
    <row r="959" spans="1:38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</row>
    <row r="960" spans="1:38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</row>
    <row r="961" spans="1:38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</row>
    <row r="962" spans="1:38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</row>
    <row r="963" spans="1:38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</row>
    <row r="964" spans="1:38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</row>
    <row r="965" spans="1:38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</row>
    <row r="966" spans="1:38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</row>
    <row r="967" spans="1:38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</row>
    <row r="968" spans="1:38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</row>
    <row r="969" spans="1:38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</row>
    <row r="970" spans="1:38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</row>
    <row r="971" spans="1:38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</row>
    <row r="972" spans="1:38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</row>
    <row r="973" spans="1:38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</row>
    <row r="974" spans="1:38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</row>
    <row r="975" spans="1:38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</row>
    <row r="976" spans="1:38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</row>
    <row r="977" spans="1:38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</row>
    <row r="978" spans="1:38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</row>
    <row r="979" spans="1:38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</row>
    <row r="980" spans="1:38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</row>
    <row r="981" spans="1:38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</row>
    <row r="982" spans="1:38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 spans="1:38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 spans="1:38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 spans="1:38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 spans="1:38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 spans="1:38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 spans="1:38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 spans="1:38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 spans="1:38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 spans="1:38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 spans="1:38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 spans="1:38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 spans="1:38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 spans="1:38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 spans="1:38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 spans="1:38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 spans="1:38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 spans="1:38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 spans="1:38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  <row r="1001" spans="1:38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57" customWidth="1"/>
    <col min="2" max="2" width="62.1640625" customWidth="1"/>
    <col min="3" max="10" width="15.1640625" customWidth="1"/>
  </cols>
  <sheetData>
    <row r="1" spans="1:28" x14ac:dyDescent="0.2">
      <c r="A1" s="7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x14ac:dyDescent="0.2">
      <c r="A2" s="9" t="str">
        <f ca="1">IFERROR(__xludf.DUMMYFUNCTION("index(importhtml(""https://www.readyratios.com/sec/ratio/roe/"",""table"",1),0,1)"),"Industry title")</f>
        <v>Industry title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x14ac:dyDescent="0.2">
      <c r="A3" s="9"/>
      <c r="B3" s="10"/>
      <c r="C3" s="10" t="str">
        <f ca="1">IFERROR(__xludf.DUMMYFUNCTION("index(importhtml(""https://www.readyratios.com/sec/ratio/roa/"",""table"",1),0,2)"),"Year")</f>
        <v>Year</v>
      </c>
      <c r="D3" s="10" t="str">
        <f ca="1">IFERROR(__xludf.DUMMYFUNCTION("index(importhtml(""https://www.readyratios.com/sec/ratio/roe/"",""table"",1),0,2)"),"Year")</f>
        <v>Year</v>
      </c>
      <c r="E3" s="10" t="str">
        <f ca="1">IFERROR(__xludf.DUMMYFUNCTION("index(importhtml(""https://www.readyratios.com/sec/ratio/quick-ratio/"",""table"",1),0,2)"),"Year")</f>
        <v>Year</v>
      </c>
      <c r="F3" s="10" t="str">
        <f ca="1">IFERROR(__xludf.DUMMYFUNCTION("index(importhtml(""https://www.readyratios.com/sec/ratio/current-ratio/"",""table"",1),0,2)"),"Year")</f>
        <v>Year</v>
      </c>
      <c r="G3" s="10" t="str">
        <f ca="1">IFERROR(__xludf.DUMMYFUNCTION("index(importhtml(""https://www.readyratios.com/sec/ratio/gross-margin/"",""table"",1),0,2)"),"Year")</f>
        <v>Year</v>
      </c>
      <c r="H3" s="10" t="str">
        <f ca="1">IFERROR(__xludf.DUMMYFUNCTION("index(importhtml(""https://www.readyratios.com/sec/ratio/ros/"",""table"",1),0,2)"),"Year")</f>
        <v>Year</v>
      </c>
      <c r="I3" s="10" t="str">
        <f ca="1">IFERROR(__xludf.DUMMYFUNCTION("index(importhtml(""https://www.readyratios.com/sec/ratio/profit-margin/"",""table"",1),0,2)"),"Year")</f>
        <v>Year</v>
      </c>
      <c r="J3" s="10" t="str">
        <f ca="1">IFERROR(__xludf.DUMMYFUNCTION("index(importhtml(""https://www.readyratios.com/sec/ratio/financial-leverage/"",""table"",1),0,2)"),"Year")</f>
        <v>Year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13.5" customHeight="1" x14ac:dyDescent="0.2">
      <c r="A4" s="11" t="str">
        <f ca="1">IFERROR(__xludf.DUMMYFUNCTION("""COMPUTED_VALUE"""),"01 - Agricultural Production Crops (27)")</f>
        <v>01 - Agricultural Production Crops (27)</v>
      </c>
      <c r="B4" s="12"/>
      <c r="C4" s="12">
        <f ca="1">IFERROR(__xludf.DUMMYFUNCTION("""COMPUTED_VALUE"""),2020)</f>
        <v>2020</v>
      </c>
      <c r="D4" s="12">
        <f ca="1">IFERROR(__xludf.DUMMYFUNCTION("""COMPUTED_VALUE"""),2020)</f>
        <v>2020</v>
      </c>
      <c r="E4" s="12">
        <f ca="1">IFERROR(__xludf.DUMMYFUNCTION("""COMPUTED_VALUE"""),2020)</f>
        <v>2020</v>
      </c>
      <c r="F4" s="12">
        <f ca="1">IFERROR(__xludf.DUMMYFUNCTION("""COMPUTED_VALUE"""),2020)</f>
        <v>2020</v>
      </c>
      <c r="G4" s="12">
        <f ca="1">IFERROR(__xludf.DUMMYFUNCTION("""COMPUTED_VALUE"""),2020)</f>
        <v>2020</v>
      </c>
      <c r="H4" s="12">
        <f ca="1">IFERROR(__xludf.DUMMYFUNCTION("""COMPUTED_VALUE"""),2020)</f>
        <v>2020</v>
      </c>
      <c r="I4" s="12">
        <f ca="1">IFERROR(__xludf.DUMMYFUNCTION("""COMPUTED_VALUE"""),2020)</f>
        <v>2020</v>
      </c>
      <c r="J4" s="12">
        <f ca="1">IFERROR(__xludf.DUMMYFUNCTION("""COMPUTED_VALUE"""),2020)</f>
        <v>2020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x14ac:dyDescent="0.2">
      <c r="A5" s="9" t="str">
        <f ca="1">IFERROR(__xludf.DUMMYFUNCTION("""COMPUTED_VALUE"""),"02 - Agriculture production livestock and animal specialties (6)")</f>
        <v>02 - Agriculture production livestock and animal specialties (6)</v>
      </c>
      <c r="B5" s="13" t="s">
        <v>18</v>
      </c>
      <c r="C5" s="14">
        <f ca="1">IFERROR(__xludf.DUMMYFUNCTION("""COMPUTED_VALUE"""),-0.035)</f>
        <v>-3.5000000000000003E-2</v>
      </c>
      <c r="D5" s="14">
        <f ca="1">IFERROR(__xludf.DUMMYFUNCTION("""COMPUTED_VALUE"""),-0.07)</f>
        <v>-7.0000000000000007E-2</v>
      </c>
      <c r="E5" s="14">
        <f ca="1">IFERROR(__xludf.DUMMYFUNCTION("""COMPUTED_VALUE"""),0.74)</f>
        <v>0.74</v>
      </c>
      <c r="F5" s="14">
        <f ca="1">IFERROR(__xludf.DUMMYFUNCTION("""COMPUTED_VALUE"""),1.43)</f>
        <v>1.43</v>
      </c>
      <c r="G5" s="14">
        <f ca="1">IFERROR(__xludf.DUMMYFUNCTION("""COMPUTED_VALUE"""),0.103)</f>
        <v>0.10299999999999999</v>
      </c>
      <c r="H5" s="14">
        <f ca="1">IFERROR(__xludf.DUMMYFUNCTION("""COMPUTED_VALUE"""),0.017)</f>
        <v>1.7000000000000001E-2</v>
      </c>
      <c r="I5" s="14">
        <f ca="1">IFERROR(__xludf.DUMMYFUNCTION("""COMPUTED_VALUE"""),-0.038)</f>
        <v>-3.7999999999999999E-2</v>
      </c>
      <c r="J5" s="14">
        <f ca="1">IFERROR(__xludf.DUMMYFUNCTION("""COMPUTED_VALUE"""),0.7)</f>
        <v>0.7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x14ac:dyDescent="0.2">
      <c r="A6" s="9" t="str">
        <f ca="1">IFERROR(__xludf.DUMMYFUNCTION("""COMPUTED_VALUE"""),"07 - Agricultural Services (18)")</f>
        <v>07 - Agricultural Services (18)</v>
      </c>
      <c r="B6" s="15" t="str">
        <f t="shared" ref="B6:B77" ca="1" si="0">TRIM(LEFT(A5,(FIND("(",A5,1)-1)))</f>
        <v>02 - Agriculture production livestock and animal specialties</v>
      </c>
      <c r="C6" s="9">
        <f ca="1">IFERROR(__xludf.DUMMYFUNCTION("""COMPUTED_VALUE"""),0.058)</f>
        <v>5.8000000000000003E-2</v>
      </c>
      <c r="D6" s="9">
        <f ca="1">IFERROR(__xludf.DUMMYFUNCTION("""COMPUTED_VALUE"""),0.069)</f>
        <v>6.9000000000000006E-2</v>
      </c>
      <c r="E6" s="9">
        <f ca="1">IFERROR(__xludf.DUMMYFUNCTION("""COMPUTED_VALUE"""),1.75)</f>
        <v>1.75</v>
      </c>
      <c r="F6" s="9">
        <f ca="1">IFERROR(__xludf.DUMMYFUNCTION("""COMPUTED_VALUE"""),5.25)</f>
        <v>5.25</v>
      </c>
      <c r="G6" s="9">
        <f ca="1">IFERROR(__xludf.DUMMYFUNCTION("""COMPUTED_VALUE"""),0.204)</f>
        <v>0.20399999999999999</v>
      </c>
      <c r="H6" s="9">
        <f ca="1">IFERROR(__xludf.DUMMYFUNCTION("""COMPUTED_VALUE"""),0.06)</f>
        <v>0.06</v>
      </c>
      <c r="I6" s="9">
        <f ca="1">IFERROR(__xludf.DUMMYFUNCTION("""COMPUTED_VALUE"""),0.337)</f>
        <v>0.33700000000000002</v>
      </c>
      <c r="J6" s="9">
        <f ca="1">IFERROR(__xludf.DUMMYFUNCTION("""COMPUTED_VALUE"""),0.04)</f>
        <v>0.04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x14ac:dyDescent="0.2">
      <c r="A7" s="9" t="str">
        <f ca="1">IFERROR(__xludf.DUMMYFUNCTION("""COMPUTED_VALUE"""),"09 - Fishing, hunting, and trapping (7)")</f>
        <v>09 - Fishing, hunting, and trapping (7)</v>
      </c>
      <c r="B7" s="15" t="str">
        <f t="shared" ca="1" si="0"/>
        <v>07 - Agricultural Services</v>
      </c>
      <c r="C7" s="9">
        <f ca="1">IFERROR(__xludf.DUMMYFUNCTION("""COMPUTED_VALUE"""),-0.014)</f>
        <v>-1.4E-2</v>
      </c>
      <c r="D7" s="9">
        <f ca="1">IFERROR(__xludf.DUMMYFUNCTION("""COMPUTED_VALUE"""),-0.17)</f>
        <v>-0.17</v>
      </c>
      <c r="E7" s="9">
        <f ca="1">IFERROR(__xludf.DUMMYFUNCTION("""COMPUTED_VALUE"""),1.07)</f>
        <v>1.07</v>
      </c>
      <c r="F7" s="9">
        <f ca="1">IFERROR(__xludf.DUMMYFUNCTION("""COMPUTED_VALUE"""),1.39)</f>
        <v>1.39</v>
      </c>
      <c r="G7" s="9">
        <f ca="1">IFERROR(__xludf.DUMMYFUNCTION("""COMPUTED_VALUE"""),0.217)</f>
        <v>0.217</v>
      </c>
      <c r="H7" s="9">
        <f ca="1">IFERROR(__xludf.DUMMYFUNCTION("""COMPUTED_VALUE"""),0.005)</f>
        <v>5.0000000000000001E-3</v>
      </c>
      <c r="I7" s="9">
        <f ca="1">IFERROR(__xludf.DUMMYFUNCTION("""COMPUTED_VALUE"""),0.02)</f>
        <v>0.02</v>
      </c>
      <c r="J7" s="9">
        <f ca="1">IFERROR(__xludf.DUMMYFUNCTION("""COMPUTED_VALUE"""),0.36)</f>
        <v>0.36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x14ac:dyDescent="0.2">
      <c r="A8" s="9" t="str">
        <f ca="1">IFERROR(__xludf.DUMMYFUNCTION("""COMPUTED_VALUE"""),"10 - Metal Mining (272)")</f>
        <v>10 - Metal Mining (272)</v>
      </c>
      <c r="B8" s="15" t="str">
        <f t="shared" ca="1" si="0"/>
        <v>09 - Fishing, hunting, and trapping</v>
      </c>
      <c r="C8" s="9">
        <f ca="1">IFERROR(__xludf.DUMMYFUNCTION("""COMPUTED_VALUE"""),-0.318)</f>
        <v>-0.318</v>
      </c>
      <c r="D8" s="9">
        <f ca="1">IFERROR(__xludf.DUMMYFUNCTION("""COMPUTED_VALUE"""),-1.075)</f>
        <v>-1.075</v>
      </c>
      <c r="E8" s="9">
        <f ca="1">IFERROR(__xludf.DUMMYFUNCTION("""COMPUTED_VALUE"""),46)</f>
        <v>46</v>
      </c>
      <c r="F8" s="9">
        <f ca="1">IFERROR(__xludf.DUMMYFUNCTION("""COMPUTED_VALUE"""),23.59)</f>
        <v>23.59</v>
      </c>
      <c r="G8" s="9">
        <f ca="1">IFERROR(__xludf.DUMMYFUNCTION("""COMPUTED_VALUE"""),0.087)</f>
        <v>8.6999999999999994E-2</v>
      </c>
      <c r="H8" s="9">
        <f ca="1">IFERROR(__xludf.DUMMYFUNCTION("""COMPUTED_VALUE"""),-127.27)</f>
        <v>-127.27</v>
      </c>
      <c r="I8" s="9">
        <f ca="1">IFERROR(__xludf.DUMMYFUNCTION("""COMPUTED_VALUE"""),-128.463)</f>
        <v>-128.46299999999999</v>
      </c>
      <c r="J8" s="9">
        <f ca="1">IFERROR(__xludf.DUMMYFUNCTION("""COMPUTED_VALUE"""),0.91)</f>
        <v>0.91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x14ac:dyDescent="0.2">
      <c r="A9" s="9" t="str">
        <f ca="1">IFERROR(__xludf.DUMMYFUNCTION("""COMPUTED_VALUE"""),"12 - Coal Mining (28)")</f>
        <v>12 - Coal Mining (28)</v>
      </c>
      <c r="B9" s="15" t="str">
        <f t="shared" ca="1" si="0"/>
        <v>10 - Metal Mining</v>
      </c>
      <c r="C9" s="9">
        <f ca="1">IFERROR(__xludf.DUMMYFUNCTION("""COMPUTED_VALUE"""),-0.35)</f>
        <v>-0.35</v>
      </c>
      <c r="D9" s="9">
        <f ca="1">IFERROR(__xludf.DUMMYFUNCTION("""COMPUTED_VALUE"""),-1.031)</f>
        <v>-1.0309999999999999</v>
      </c>
      <c r="E9" s="9">
        <f ca="1">IFERROR(__xludf.DUMMYFUNCTION("""COMPUTED_VALUE"""),1.7)</f>
        <v>1.7</v>
      </c>
      <c r="F9" s="9">
        <f ca="1">IFERROR(__xludf.DUMMYFUNCTION("""COMPUTED_VALUE"""),1.55)</f>
        <v>1.55</v>
      </c>
      <c r="G9" s="9">
        <f ca="1">IFERROR(__xludf.DUMMYFUNCTION("""COMPUTED_VALUE"""),0.091)</f>
        <v>9.0999999999999998E-2</v>
      </c>
      <c r="H9" s="9">
        <f ca="1">IFERROR(__xludf.DUMMYFUNCTION("""COMPUTED_VALUE"""),-0.825)</f>
        <v>-0.82499999999999996</v>
      </c>
      <c r="I9" s="9">
        <f ca="1">IFERROR(__xludf.DUMMYFUNCTION("""COMPUTED_VALUE"""),-1.454)</f>
        <v>-1.454</v>
      </c>
      <c r="J9" s="9">
        <f ca="1">IFERROR(__xludf.DUMMYFUNCTION("""COMPUTED_VALUE"""),0.08)</f>
        <v>0.08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x14ac:dyDescent="0.2">
      <c r="A10" s="9" t="str">
        <f ca="1">IFERROR(__xludf.DUMMYFUNCTION("""COMPUTED_VALUE"""),"13 - Oil And Gas Extraction (492)")</f>
        <v>13 - Oil And Gas Extraction (492)</v>
      </c>
      <c r="B10" s="15" t="str">
        <f t="shared" ca="1" si="0"/>
        <v>12 - Coal Mining</v>
      </c>
      <c r="C10" s="9">
        <f ca="1">IFERROR(__xludf.DUMMYFUNCTION("""COMPUTED_VALUE"""),-0.069)</f>
        <v>-6.9000000000000006E-2</v>
      </c>
      <c r="D10" s="9">
        <f ca="1">IFERROR(__xludf.DUMMYFUNCTION("""COMPUTED_VALUE"""),-0.19)</f>
        <v>-0.19</v>
      </c>
      <c r="E10" s="9">
        <f ca="1">IFERROR(__xludf.DUMMYFUNCTION("""COMPUTED_VALUE"""),1)</f>
        <v>1</v>
      </c>
      <c r="F10" s="9">
        <f ca="1">IFERROR(__xludf.DUMMYFUNCTION("""COMPUTED_VALUE"""),1.63)</f>
        <v>1.63</v>
      </c>
      <c r="G10" s="9">
        <f ca="1">IFERROR(__xludf.DUMMYFUNCTION("""COMPUTED_VALUE"""),0.13)</f>
        <v>0.13</v>
      </c>
      <c r="H10" s="9">
        <f ca="1">IFERROR(__xludf.DUMMYFUNCTION("""COMPUTED_VALUE"""),-0.094)</f>
        <v>-9.4E-2</v>
      </c>
      <c r="I10" s="9">
        <f ca="1">IFERROR(__xludf.DUMMYFUNCTION("""COMPUTED_VALUE"""),-0.126)</f>
        <v>-0.126</v>
      </c>
      <c r="J10" s="9">
        <f ca="1">IFERROR(__xludf.DUMMYFUNCTION("""COMPUTED_VALUE"""),2.17)</f>
        <v>2.17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x14ac:dyDescent="0.2">
      <c r="A11" s="9" t="str">
        <f ca="1">IFERROR(__xludf.DUMMYFUNCTION("""COMPUTED_VALUE"""),"14 - Mining And Quarrying Of Nonmetallic Minerals, Except Fuels (41)")</f>
        <v>14 - Mining And Quarrying Of Nonmetallic Minerals, Except Fuels (41)</v>
      </c>
      <c r="B11" s="15" t="str">
        <f t="shared" ca="1" si="0"/>
        <v>13 - Oil And Gas Extraction</v>
      </c>
      <c r="C11" s="9">
        <f ca="1">IFERROR(__xludf.DUMMYFUNCTION("""COMPUTED_VALUE"""),-0.153)</f>
        <v>-0.153</v>
      </c>
      <c r="D11" s="9">
        <f ca="1">IFERROR(__xludf.DUMMYFUNCTION("""COMPUTED_VALUE"""),-0.393)</f>
        <v>-0.39300000000000002</v>
      </c>
      <c r="E11" s="9">
        <f ca="1">IFERROR(__xludf.DUMMYFUNCTION("""COMPUTED_VALUE"""),0.88)</f>
        <v>0.88</v>
      </c>
      <c r="F11" s="9">
        <f ca="1">IFERROR(__xludf.DUMMYFUNCTION("""COMPUTED_VALUE"""),1.08)</f>
        <v>1.08</v>
      </c>
      <c r="G11" s="9">
        <f ca="1">IFERROR(__xludf.DUMMYFUNCTION("""COMPUTED_VALUE"""),0.246)</f>
        <v>0.246</v>
      </c>
      <c r="H11" s="9">
        <f ca="1">IFERROR(__xludf.DUMMYFUNCTION("""COMPUTED_VALUE"""),-0.477)</f>
        <v>-0.47699999999999998</v>
      </c>
      <c r="I11" s="9">
        <f ca="1">IFERROR(__xludf.DUMMYFUNCTION("""COMPUTED_VALUE"""),-0.502)</f>
        <v>-0.502</v>
      </c>
      <c r="J11" s="9">
        <f ca="1">IFERROR(__xludf.DUMMYFUNCTION("""COMPUTED_VALUE"""),0.44)</f>
        <v>0.44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2">
      <c r="A12" s="9" t="str">
        <f ca="1">IFERROR(__xludf.DUMMYFUNCTION("""COMPUTED_VALUE"""),"15 - Building Construction General Contractors And Operative Builders (48)")</f>
        <v>15 - Building Construction General Contractors And Operative Builders (48)</v>
      </c>
      <c r="B12" s="15" t="str">
        <f t="shared" ca="1" si="0"/>
        <v>14 - Mining And Quarrying Of Nonmetallic Minerals, Except Fuels</v>
      </c>
      <c r="C12" s="9">
        <f ca="1">IFERROR(__xludf.DUMMYFUNCTION("""COMPUTED_VALUE"""),0.025)</f>
        <v>2.5000000000000001E-2</v>
      </c>
      <c r="D12" s="9">
        <f ca="1">IFERROR(__xludf.DUMMYFUNCTION("""COMPUTED_VALUE"""),0.039)</f>
        <v>3.9E-2</v>
      </c>
      <c r="E12" s="9">
        <f ca="1">IFERROR(__xludf.DUMMYFUNCTION("""COMPUTED_VALUE"""),1.59)</f>
        <v>1.59</v>
      </c>
      <c r="F12" s="9">
        <f ca="1">IFERROR(__xludf.DUMMYFUNCTION("""COMPUTED_VALUE"""),2.33)</f>
        <v>2.33</v>
      </c>
      <c r="G12" s="9">
        <f ca="1">IFERROR(__xludf.DUMMYFUNCTION("""COMPUTED_VALUE"""),0.244)</f>
        <v>0.24399999999999999</v>
      </c>
      <c r="H12" s="9">
        <f ca="1">IFERROR(__xludf.DUMMYFUNCTION("""COMPUTED_VALUE"""),0.103)</f>
        <v>0.10299999999999999</v>
      </c>
      <c r="I12" s="9">
        <f ca="1">IFERROR(__xludf.DUMMYFUNCTION("""COMPUTED_VALUE"""),0.052)</f>
        <v>5.1999999999999998E-2</v>
      </c>
      <c r="J12" s="9">
        <f ca="1">IFERROR(__xludf.DUMMYFUNCTION("""COMPUTED_VALUE"""),0.6)</f>
        <v>0.6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x14ac:dyDescent="0.2">
      <c r="A13" s="9" t="str">
        <f ca="1">IFERROR(__xludf.DUMMYFUNCTION("""COMPUTED_VALUE"""),"16 - Heavy Construction Other Than Building Construction Contractors (20)")</f>
        <v>16 - Heavy Construction Other Than Building Construction Contractors (20)</v>
      </c>
      <c r="B13" s="15" t="str">
        <f t="shared" ca="1" si="0"/>
        <v>15 - Building Construction General Contractors And Operative Builders</v>
      </c>
      <c r="C13" s="9">
        <f ca="1">IFERROR(__xludf.DUMMYFUNCTION("""COMPUTED_VALUE"""),0.074)</f>
        <v>7.3999999999999996E-2</v>
      </c>
      <c r="D13" s="9">
        <f ca="1">IFERROR(__xludf.DUMMYFUNCTION("""COMPUTED_VALUE"""),0.136)</f>
        <v>0.13600000000000001</v>
      </c>
      <c r="E13" s="9">
        <f ca="1">IFERROR(__xludf.DUMMYFUNCTION("""COMPUTED_VALUE"""),0.8)</f>
        <v>0.8</v>
      </c>
      <c r="F13" s="9">
        <f ca="1">IFERROR(__xludf.DUMMYFUNCTION("""COMPUTED_VALUE"""),2.64)</f>
        <v>2.64</v>
      </c>
      <c r="G13" s="9">
        <f ca="1">IFERROR(__xludf.DUMMYFUNCTION("""COMPUTED_VALUE"""),0.121)</f>
        <v>0.121</v>
      </c>
      <c r="H13" s="9">
        <f ca="1">IFERROR(__xludf.DUMMYFUNCTION("""COMPUTED_VALUE"""),0.094)</f>
        <v>9.4E-2</v>
      </c>
      <c r="I13" s="9">
        <f ca="1">IFERROR(__xludf.DUMMYFUNCTION("""COMPUTED_VALUE"""),0.067)</f>
        <v>6.7000000000000004E-2</v>
      </c>
      <c r="J13" s="9">
        <f ca="1">IFERROR(__xludf.DUMMYFUNCTION("""COMPUTED_VALUE"""),0.86)</f>
        <v>0.86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x14ac:dyDescent="0.2">
      <c r="A14" s="9" t="str">
        <f ca="1">IFERROR(__xludf.DUMMYFUNCTION("""COMPUTED_VALUE"""),"17 - Construction Special Trade Contractors (33)")</f>
        <v>17 - Construction Special Trade Contractors (33)</v>
      </c>
      <c r="B14" s="15" t="str">
        <f t="shared" ca="1" si="0"/>
        <v>16 - Heavy Construction Other Than Building Construction Contractors</v>
      </c>
      <c r="C14" s="9">
        <f ca="1">IFERROR(__xludf.DUMMYFUNCTION("""COMPUTED_VALUE"""),0.042)</f>
        <v>4.2000000000000003E-2</v>
      </c>
      <c r="D14" s="9">
        <f ca="1">IFERROR(__xludf.DUMMYFUNCTION("""COMPUTED_VALUE"""),0.093)</f>
        <v>9.2999999999999999E-2</v>
      </c>
      <c r="E14" s="9">
        <f ca="1">IFERROR(__xludf.DUMMYFUNCTION("""COMPUTED_VALUE"""),1.02)</f>
        <v>1.02</v>
      </c>
      <c r="F14" s="9">
        <f ca="1">IFERROR(__xludf.DUMMYFUNCTION("""COMPUTED_VALUE"""),1.54)</f>
        <v>1.54</v>
      </c>
      <c r="G14" s="9">
        <f ca="1">IFERROR(__xludf.DUMMYFUNCTION("""COMPUTED_VALUE"""),0.187)</f>
        <v>0.187</v>
      </c>
      <c r="H14" s="9">
        <f ca="1">IFERROR(__xludf.DUMMYFUNCTION("""COMPUTED_VALUE"""),0.041)</f>
        <v>4.1000000000000002E-2</v>
      </c>
      <c r="I14" s="9">
        <f ca="1">IFERROR(__xludf.DUMMYFUNCTION("""COMPUTED_VALUE"""),0.027)</f>
        <v>2.7E-2</v>
      </c>
      <c r="J14" s="9">
        <f ca="1">IFERROR(__xludf.DUMMYFUNCTION("""COMPUTED_VALUE"""),1.46)</f>
        <v>1.46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x14ac:dyDescent="0.2">
      <c r="A15" s="9" t="str">
        <f ca="1">IFERROR(__xludf.DUMMYFUNCTION("""COMPUTED_VALUE"""),"20 - Food And Kindred Products (190)")</f>
        <v>20 - Food And Kindred Products (190)</v>
      </c>
      <c r="B15" s="15" t="str">
        <f t="shared" ca="1" si="0"/>
        <v>17 - Construction Special Trade Contractors</v>
      </c>
      <c r="C15" s="9">
        <f ca="1">IFERROR(__xludf.DUMMYFUNCTION("""COMPUTED_VALUE"""),0.027)</f>
        <v>2.7E-2</v>
      </c>
      <c r="D15" s="9">
        <f ca="1">IFERROR(__xludf.DUMMYFUNCTION("""COMPUTED_VALUE"""),0.106)</f>
        <v>0.106</v>
      </c>
      <c r="E15" s="9">
        <f ca="1">IFERROR(__xludf.DUMMYFUNCTION("""COMPUTED_VALUE"""),1.04)</f>
        <v>1.04</v>
      </c>
      <c r="F15" s="9">
        <f ca="1">IFERROR(__xludf.DUMMYFUNCTION("""COMPUTED_VALUE"""),1.38)</f>
        <v>1.38</v>
      </c>
      <c r="G15" s="9">
        <f ca="1">IFERROR(__xludf.DUMMYFUNCTION("""COMPUTED_VALUE"""),0.31)</f>
        <v>0.31</v>
      </c>
      <c r="H15" s="9">
        <f ca="1">IFERROR(__xludf.DUMMYFUNCTION("""COMPUTED_VALUE"""),0.037)</f>
        <v>3.6999999999999998E-2</v>
      </c>
      <c r="I15" s="9">
        <f ca="1">IFERROR(__xludf.DUMMYFUNCTION("""COMPUTED_VALUE"""),0.026)</f>
        <v>2.5999999999999999E-2</v>
      </c>
      <c r="J15" s="9">
        <f ca="1">IFERROR(__xludf.DUMMYFUNCTION("""COMPUTED_VALUE"""),1.09)</f>
        <v>1.0900000000000001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x14ac:dyDescent="0.2">
      <c r="A16" s="9" t="str">
        <f ca="1">IFERROR(__xludf.DUMMYFUNCTION("""COMPUTED_VALUE"""),"21 - Tobacco Products (21)")</f>
        <v>21 - Tobacco Products (21)</v>
      </c>
      <c r="B16" s="15" t="str">
        <f t="shared" ca="1" si="0"/>
        <v>20 - Food And Kindred Products</v>
      </c>
      <c r="C16" s="9">
        <f ca="1">IFERROR(__xludf.DUMMYFUNCTION("""COMPUTED_VALUE"""),0.038)</f>
        <v>3.7999999999999999E-2</v>
      </c>
      <c r="D16" s="9">
        <f ca="1">IFERROR(__xludf.DUMMYFUNCTION("""COMPUTED_VALUE"""),0.059)</f>
        <v>5.8999999999999997E-2</v>
      </c>
      <c r="E16" s="9">
        <f ca="1">IFERROR(__xludf.DUMMYFUNCTION("""COMPUTED_VALUE"""),0.87)</f>
        <v>0.87</v>
      </c>
      <c r="F16" s="9">
        <f ca="1">IFERROR(__xludf.DUMMYFUNCTION("""COMPUTED_VALUE"""),1.71)</f>
        <v>1.71</v>
      </c>
      <c r="G16" s="9">
        <f ca="1">IFERROR(__xludf.DUMMYFUNCTION("""COMPUTED_VALUE"""),0.442)</f>
        <v>0.442</v>
      </c>
      <c r="H16" s="9">
        <f ca="1">IFERROR(__xludf.DUMMYFUNCTION("""COMPUTED_VALUE"""),0.052)</f>
        <v>5.1999999999999998E-2</v>
      </c>
      <c r="I16" s="9">
        <f ca="1">IFERROR(__xludf.DUMMYFUNCTION("""COMPUTED_VALUE"""),0.034)</f>
        <v>3.4000000000000002E-2</v>
      </c>
      <c r="J16" s="9">
        <f ca="1">IFERROR(__xludf.DUMMYFUNCTION("""COMPUTED_VALUE"""),0.76)</f>
        <v>0.76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2">
      <c r="A17" s="9" t="str">
        <f ca="1">IFERROR(__xludf.DUMMYFUNCTION("""COMPUTED_VALUE"""),"22 - Textile Mill Products (16)")</f>
        <v>22 - Textile Mill Products (16)</v>
      </c>
      <c r="B17" s="15" t="str">
        <f t="shared" ca="1" si="0"/>
        <v>21 - Tobacco Products</v>
      </c>
      <c r="C17" s="9">
        <f ca="1">IFERROR(__xludf.DUMMYFUNCTION("""COMPUTED_VALUE"""),0.065)</f>
        <v>6.5000000000000002E-2</v>
      </c>
      <c r="D17" s="9">
        <f ca="1">IFERROR(__xludf.DUMMYFUNCTION("""COMPUTED_VALUE"""),-0.91)</f>
        <v>-0.91</v>
      </c>
      <c r="E17" s="9">
        <f ca="1">IFERROR(__xludf.DUMMYFUNCTION("""COMPUTED_VALUE"""),0.73)</f>
        <v>0.73</v>
      </c>
      <c r="F17" s="9">
        <f ca="1">IFERROR(__xludf.DUMMYFUNCTION("""COMPUTED_VALUE"""),1.72)</f>
        <v>1.72</v>
      </c>
      <c r="G17" s="9">
        <f ca="1">IFERROR(__xludf.DUMMYFUNCTION("""COMPUTED_VALUE"""),0.254)</f>
        <v>0.254</v>
      </c>
      <c r="H17" s="9">
        <f ca="1">IFERROR(__xludf.DUMMYFUNCTION("""COMPUTED_VALUE"""),0.166)</f>
        <v>0.16600000000000001</v>
      </c>
      <c r="I17" s="9">
        <f ca="1">IFERROR(__xludf.DUMMYFUNCTION("""COMPUTED_VALUE"""),0.071)</f>
        <v>7.0999999999999994E-2</v>
      </c>
      <c r="J17" s="9">
        <f ca="1">IFERROR(__xludf.DUMMYFUNCTION("""COMPUTED_VALUE"""),1.46)</f>
        <v>1.46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2">
      <c r="A18" s="9" t="str">
        <f ca="1">IFERROR(__xludf.DUMMYFUNCTION("""COMPUTED_VALUE"""),"23 - Apparel And Other Finished Products Made From Fabrics And Similar 
Materials (56)")</f>
        <v>23 - Apparel And Other Finished Products Made From Fabrics And Similar _x000D_Materials (56)</v>
      </c>
      <c r="B18" s="15" t="str">
        <f t="shared" ca="1" si="0"/>
        <v>22 - Textile Mill Products</v>
      </c>
      <c r="C18" s="9">
        <f ca="1">IFERROR(__xludf.DUMMYFUNCTION("""COMPUTED_VALUE"""),-0.038)</f>
        <v>-3.7999999999999999E-2</v>
      </c>
      <c r="D18" s="9">
        <f ca="1">IFERROR(__xludf.DUMMYFUNCTION("""COMPUTED_VALUE"""),-0.134)</f>
        <v>-0.13400000000000001</v>
      </c>
      <c r="E18" s="9">
        <f ca="1">IFERROR(__xludf.DUMMYFUNCTION("""COMPUTED_VALUE"""),1.26)</f>
        <v>1.26</v>
      </c>
      <c r="F18" s="9">
        <f ca="1">IFERROR(__xludf.DUMMYFUNCTION("""COMPUTED_VALUE"""),2.56)</f>
        <v>2.56</v>
      </c>
      <c r="G18" s="9">
        <f ca="1">IFERROR(__xludf.DUMMYFUNCTION("""COMPUTED_VALUE"""),0.483)</f>
        <v>0.48299999999999998</v>
      </c>
      <c r="H18" s="9">
        <f ca="1">IFERROR(__xludf.DUMMYFUNCTION("""COMPUTED_VALUE"""),-0.007)</f>
        <v>-7.0000000000000001E-3</v>
      </c>
      <c r="I18" s="9">
        <f ca="1">IFERROR(__xludf.DUMMYFUNCTION("""COMPUTED_VALUE"""),-0.029)</f>
        <v>-2.9000000000000001E-2</v>
      </c>
      <c r="J18" s="9">
        <f ca="1">IFERROR(__xludf.DUMMYFUNCTION("""COMPUTED_VALUE"""),0.68)</f>
        <v>0.68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x14ac:dyDescent="0.2">
      <c r="A19" s="9" t="str">
        <f ca="1">IFERROR(__xludf.DUMMYFUNCTION("""COMPUTED_VALUE"""),"24 - Lumber And Wood Products, Except Furniture (29)")</f>
        <v>24 - Lumber And Wood Products, Except Furniture (29)</v>
      </c>
      <c r="B19" s="15" t="str">
        <f t="shared" ca="1" si="0"/>
        <v>23 - Apparel And Other Finished Products Made From Fabrics And Similar _x000D_Materials</v>
      </c>
      <c r="C19" s="9">
        <f ca="1">IFERROR(__xludf.DUMMYFUNCTION("""COMPUTED_VALUE"""),-0.008)</f>
        <v>-8.0000000000000002E-3</v>
      </c>
      <c r="D19" s="9">
        <f ca="1">IFERROR(__xludf.DUMMYFUNCTION("""COMPUTED_VALUE"""),-0.021)</f>
        <v>-2.1000000000000001E-2</v>
      </c>
      <c r="E19" s="9">
        <f ca="1">IFERROR(__xludf.DUMMYFUNCTION("""COMPUTED_VALUE"""),1.41)</f>
        <v>1.41</v>
      </c>
      <c r="F19" s="9">
        <f ca="1">IFERROR(__xludf.DUMMYFUNCTION("""COMPUTED_VALUE"""),2.37)</f>
        <v>2.37</v>
      </c>
      <c r="G19" s="9">
        <f ca="1">IFERROR(__xludf.DUMMYFUNCTION("""COMPUTED_VALUE"""),0.22)</f>
        <v>0.22</v>
      </c>
      <c r="H19" s="9">
        <f ca="1">IFERROR(__xludf.DUMMYFUNCTION("""COMPUTED_VALUE"""),-0.014)</f>
        <v>-1.4E-2</v>
      </c>
      <c r="I19" s="9">
        <f ca="1">IFERROR(__xludf.DUMMYFUNCTION("""COMPUTED_VALUE"""),-0.001)</f>
        <v>-1E-3</v>
      </c>
      <c r="J19" s="9">
        <f ca="1">IFERROR(__xludf.DUMMYFUNCTION("""COMPUTED_VALUE"""),1.13)</f>
        <v>1.1299999999999999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x14ac:dyDescent="0.2">
      <c r="A20" s="9" t="str">
        <f ca="1">IFERROR(__xludf.DUMMYFUNCTION("""COMPUTED_VALUE"""),"25 - Furniture And Fixtures (29)")</f>
        <v>25 - Furniture And Fixtures (29)</v>
      </c>
      <c r="B20" s="15" t="str">
        <f t="shared" ca="1" si="0"/>
        <v>24 - Lumber And Wood Products, Except Furniture</v>
      </c>
      <c r="C20" s="9">
        <f ca="1">IFERROR(__xludf.DUMMYFUNCTION("""COMPUTED_VALUE"""),0.086)</f>
        <v>8.5999999999999993E-2</v>
      </c>
      <c r="D20" s="9">
        <f ca="1">IFERROR(__xludf.DUMMYFUNCTION("""COMPUTED_VALUE"""),0.168)</f>
        <v>0.16800000000000001</v>
      </c>
      <c r="E20" s="9">
        <f ca="1">IFERROR(__xludf.DUMMYFUNCTION("""COMPUTED_VALUE"""),1.49)</f>
        <v>1.49</v>
      </c>
      <c r="F20" s="9">
        <f ca="1">IFERROR(__xludf.DUMMYFUNCTION("""COMPUTED_VALUE"""),2.11)</f>
        <v>2.11</v>
      </c>
      <c r="G20" s="9">
        <f ca="1">IFERROR(__xludf.DUMMYFUNCTION("""COMPUTED_VALUE"""),0.369)</f>
        <v>0.36899999999999999</v>
      </c>
      <c r="H20" s="9">
        <f ca="1">IFERROR(__xludf.DUMMYFUNCTION("""COMPUTED_VALUE"""),0.088)</f>
        <v>8.7999999999999995E-2</v>
      </c>
      <c r="I20" s="9">
        <f ca="1">IFERROR(__xludf.DUMMYFUNCTION("""COMPUTED_VALUE"""),0.073)</f>
        <v>7.2999999999999995E-2</v>
      </c>
      <c r="J20" s="9">
        <f ca="1">IFERROR(__xludf.DUMMYFUNCTION("""COMPUTED_VALUE"""),0.59)</f>
        <v>0.59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x14ac:dyDescent="0.2">
      <c r="A21" s="9" t="str">
        <f ca="1">IFERROR(__xludf.DUMMYFUNCTION("""COMPUTED_VALUE"""),"26 - Paper And Allied Products (41)")</f>
        <v>26 - Paper And Allied Products (41)</v>
      </c>
      <c r="B21" s="15" t="str">
        <f t="shared" ca="1" si="0"/>
        <v>25 - Furniture And Fixtures</v>
      </c>
      <c r="C21" s="9">
        <f ca="1">IFERROR(__xludf.DUMMYFUNCTION("""COMPUTED_VALUE"""),0.029)</f>
        <v>2.9000000000000001E-2</v>
      </c>
      <c r="D21" s="9">
        <f ca="1">IFERROR(__xludf.DUMMYFUNCTION("""COMPUTED_VALUE"""),0.018)</f>
        <v>1.7999999999999999E-2</v>
      </c>
      <c r="E21" s="9">
        <f ca="1">IFERROR(__xludf.DUMMYFUNCTION("""COMPUTED_VALUE"""),0.81)</f>
        <v>0.81</v>
      </c>
      <c r="F21" s="9">
        <f ca="1">IFERROR(__xludf.DUMMYFUNCTION("""COMPUTED_VALUE"""),1.39)</f>
        <v>1.39</v>
      </c>
      <c r="G21" s="9">
        <f ca="1">IFERROR(__xludf.DUMMYFUNCTION("""COMPUTED_VALUE"""),0.173)</f>
        <v>0.17299999999999999</v>
      </c>
      <c r="H21" s="9">
        <f ca="1">IFERROR(__xludf.DUMMYFUNCTION("""COMPUTED_VALUE"""),0.026)</f>
        <v>2.5999999999999999E-2</v>
      </c>
      <c r="I21" s="9">
        <f ca="1">IFERROR(__xludf.DUMMYFUNCTION("""COMPUTED_VALUE"""),0.021)</f>
        <v>2.1000000000000001E-2</v>
      </c>
      <c r="J21" s="9">
        <f ca="1">IFERROR(__xludf.DUMMYFUNCTION("""COMPUTED_VALUE"""),1.3)</f>
        <v>1.3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x14ac:dyDescent="0.2">
      <c r="A22" s="9" t="str">
        <f ca="1">IFERROR(__xludf.DUMMYFUNCTION("""COMPUTED_VALUE"""),"27 - Printing, Publishing, And Allied Industries (67)")</f>
        <v>27 - Printing, Publishing, And Allied Industries (67)</v>
      </c>
      <c r="B22" s="15" t="str">
        <f t="shared" ca="1" si="0"/>
        <v>26 - Paper And Allied Products</v>
      </c>
      <c r="C22" s="9">
        <f ca="1">IFERROR(__xludf.DUMMYFUNCTION("""COMPUTED_VALUE"""),0.009)</f>
        <v>8.9999999999999993E-3</v>
      </c>
      <c r="D22" s="9">
        <f ca="1">IFERROR(__xludf.DUMMYFUNCTION("""COMPUTED_VALUE"""),0.02)</f>
        <v>0.02</v>
      </c>
      <c r="E22" s="9">
        <f ca="1">IFERROR(__xludf.DUMMYFUNCTION("""COMPUTED_VALUE"""),0.93)</f>
        <v>0.93</v>
      </c>
      <c r="F22" s="9">
        <f ca="1">IFERROR(__xludf.DUMMYFUNCTION("""COMPUTED_VALUE"""),1.86)</f>
        <v>1.86</v>
      </c>
      <c r="G22" s="9">
        <f ca="1">IFERROR(__xludf.DUMMYFUNCTION("""COMPUTED_VALUE"""),0.421)</f>
        <v>0.42099999999999999</v>
      </c>
      <c r="H22" s="9">
        <f ca="1">IFERROR(__xludf.DUMMYFUNCTION("""COMPUTED_VALUE"""),0.044)</f>
        <v>4.3999999999999997E-2</v>
      </c>
      <c r="I22" s="9">
        <f ca="1">IFERROR(__xludf.DUMMYFUNCTION("""COMPUTED_VALUE"""),0.023)</f>
        <v>2.3E-2</v>
      </c>
      <c r="J22" s="9">
        <f ca="1">IFERROR(__xludf.DUMMYFUNCTION("""COMPUTED_VALUE"""),1.44)</f>
        <v>1.44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x14ac:dyDescent="0.2">
      <c r="A23" s="9" t="str">
        <f ca="1">IFERROR(__xludf.DUMMYFUNCTION("""COMPUTED_VALUE"""),"28 - Chemicals And Allied Products (1076)")</f>
        <v>28 - Chemicals And Allied Products (1076)</v>
      </c>
      <c r="B23" s="15" t="str">
        <f t="shared" ca="1" si="0"/>
        <v>27 - Printing, Publishing, And Allied Industries</v>
      </c>
      <c r="C23" s="9">
        <f ca="1">IFERROR(__xludf.DUMMYFUNCTION("""COMPUTED_VALUE"""),-0.022)</f>
        <v>-2.1999999999999999E-2</v>
      </c>
      <c r="D23" s="9">
        <f ca="1">IFERROR(__xludf.DUMMYFUNCTION("""COMPUTED_VALUE"""),-0.132)</f>
        <v>-0.13200000000000001</v>
      </c>
      <c r="E23" s="9">
        <f ca="1">IFERROR(__xludf.DUMMYFUNCTION("""COMPUTED_VALUE"""),1.03)</f>
        <v>1.03</v>
      </c>
      <c r="F23" s="9">
        <f ca="1">IFERROR(__xludf.DUMMYFUNCTION("""COMPUTED_VALUE"""),1.28)</f>
        <v>1.28</v>
      </c>
      <c r="G23" s="9">
        <f ca="1">IFERROR(__xludf.DUMMYFUNCTION("""COMPUTED_VALUE"""),0.548)</f>
        <v>0.54800000000000004</v>
      </c>
      <c r="H23" s="9">
        <f ca="1">IFERROR(__xludf.DUMMYFUNCTION("""COMPUTED_VALUE"""),-0.012)</f>
        <v>-1.2E-2</v>
      </c>
      <c r="I23" s="9">
        <f ca="1">IFERROR(__xludf.DUMMYFUNCTION("""COMPUTED_VALUE"""),-0.023)</f>
        <v>-2.3E-2</v>
      </c>
      <c r="J23" s="9">
        <f ca="1">IFERROR(__xludf.DUMMYFUNCTION("""COMPUTED_VALUE"""),0.74)</f>
        <v>0.74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x14ac:dyDescent="0.2">
      <c r="A24" s="9" t="str">
        <f ca="1">IFERROR(__xludf.DUMMYFUNCTION("""COMPUTED_VALUE"""),"29 - Petroleum Refining And Related Industries (38)")</f>
        <v>29 - Petroleum Refining And Related Industries (38)</v>
      </c>
      <c r="B24" s="15" t="str">
        <f t="shared" ca="1" si="0"/>
        <v>28 - Chemicals And Allied Products</v>
      </c>
      <c r="C24" s="9">
        <f ca="1">IFERROR(__xludf.DUMMYFUNCTION("""COMPUTED_VALUE"""),-0.373)</f>
        <v>-0.373</v>
      </c>
      <c r="D24" s="9">
        <f ca="1">IFERROR(__xludf.DUMMYFUNCTION("""COMPUTED_VALUE"""),-0.6)</f>
        <v>-0.6</v>
      </c>
      <c r="E24" s="9">
        <f ca="1">IFERROR(__xludf.DUMMYFUNCTION("""COMPUTED_VALUE"""),2.59)</f>
        <v>2.59</v>
      </c>
      <c r="F24" s="9">
        <f ca="1">IFERROR(__xludf.DUMMYFUNCTION("""COMPUTED_VALUE"""),4.34)</f>
        <v>4.34</v>
      </c>
      <c r="G24" s="9">
        <f ca="1">IFERROR(__xludf.DUMMYFUNCTION("""COMPUTED_VALUE"""),0.051)</f>
        <v>5.0999999999999997E-2</v>
      </c>
      <c r="H24" s="9">
        <f ca="1">IFERROR(__xludf.DUMMYFUNCTION("""COMPUTED_VALUE"""),-0.492)</f>
        <v>-0.49199999999999999</v>
      </c>
      <c r="I24" s="9">
        <f ca="1">IFERROR(__xludf.DUMMYFUNCTION("""COMPUTED_VALUE"""),-1.278)</f>
        <v>-1.278</v>
      </c>
      <c r="J24" s="9">
        <f ca="1">IFERROR(__xludf.DUMMYFUNCTION("""COMPUTED_VALUE"""),0.35)</f>
        <v>0.35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x14ac:dyDescent="0.2">
      <c r="A25" s="9" t="str">
        <f ca="1">IFERROR(__xludf.DUMMYFUNCTION("""COMPUTED_VALUE"""),"30 - Rubber And Miscellaneous Plastics Products (54)")</f>
        <v>30 - Rubber And Miscellaneous Plastics Products (54)</v>
      </c>
      <c r="B25" s="15" t="str">
        <f t="shared" ca="1" si="0"/>
        <v>29 - Petroleum Refining And Related Industries</v>
      </c>
      <c r="C25" s="9">
        <f ca="1">IFERROR(__xludf.DUMMYFUNCTION("""COMPUTED_VALUE"""),-0.064)</f>
        <v>-6.4000000000000001E-2</v>
      </c>
      <c r="D25" s="9">
        <f ca="1">IFERROR(__xludf.DUMMYFUNCTION("""COMPUTED_VALUE"""),-0.163)</f>
        <v>-0.16300000000000001</v>
      </c>
      <c r="E25" s="9">
        <f ca="1">IFERROR(__xludf.DUMMYFUNCTION("""COMPUTED_VALUE"""),0.89)</f>
        <v>0.89</v>
      </c>
      <c r="F25" s="9">
        <f ca="1">IFERROR(__xludf.DUMMYFUNCTION("""COMPUTED_VALUE"""),1.58)</f>
        <v>1.58</v>
      </c>
      <c r="G25" s="9">
        <f ca="1">IFERROR(__xludf.DUMMYFUNCTION("""COMPUTED_VALUE"""),0.309)</f>
        <v>0.309</v>
      </c>
      <c r="H25" s="9">
        <f ca="1">IFERROR(__xludf.DUMMYFUNCTION("""COMPUTED_VALUE"""),-0.076)</f>
        <v>-7.5999999999999998E-2</v>
      </c>
      <c r="I25" s="9">
        <f ca="1">IFERROR(__xludf.DUMMYFUNCTION("""COMPUTED_VALUE"""),-0.066)</f>
        <v>-6.6000000000000003E-2</v>
      </c>
      <c r="J25" s="9">
        <f ca="1">IFERROR(__xludf.DUMMYFUNCTION("""COMPUTED_VALUE"""),1.54)</f>
        <v>1.54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x14ac:dyDescent="0.2">
      <c r="A26" s="9" t="str">
        <f ca="1">IFERROR(__xludf.DUMMYFUNCTION("""COMPUTED_VALUE"""),"31 - Leather And Leather Products (16)")</f>
        <v>31 - Leather And Leather Products (16)</v>
      </c>
      <c r="B26" s="15" t="str">
        <f t="shared" ca="1" si="0"/>
        <v>30 - Rubber And Miscellaneous Plastics Products</v>
      </c>
      <c r="C26" s="9">
        <f ca="1">IFERROR(__xludf.DUMMYFUNCTION("""COMPUTED_VALUE"""),0.047)</f>
        <v>4.7E-2</v>
      </c>
      <c r="D26" s="9">
        <f ca="1">IFERROR(__xludf.DUMMYFUNCTION("""COMPUTED_VALUE"""),0.091)</f>
        <v>9.0999999999999998E-2</v>
      </c>
      <c r="E26" s="9">
        <f ca="1">IFERROR(__xludf.DUMMYFUNCTION("""COMPUTED_VALUE"""),1.35)</f>
        <v>1.35</v>
      </c>
      <c r="F26" s="9">
        <f ca="1">IFERROR(__xludf.DUMMYFUNCTION("""COMPUTED_VALUE"""),1.81)</f>
        <v>1.81</v>
      </c>
      <c r="G26" s="9">
        <f ca="1">IFERROR(__xludf.DUMMYFUNCTION("""COMPUTED_VALUE"""),0.444)</f>
        <v>0.44400000000000001</v>
      </c>
      <c r="H26" s="9">
        <f ca="1">IFERROR(__xludf.DUMMYFUNCTION("""COMPUTED_VALUE"""),0.069)</f>
        <v>6.9000000000000006E-2</v>
      </c>
      <c r="I26" s="9">
        <f ca="1">IFERROR(__xludf.DUMMYFUNCTION("""COMPUTED_VALUE"""),0.054)</f>
        <v>5.3999999999999999E-2</v>
      </c>
      <c r="J26" s="9">
        <f ca="1">IFERROR(__xludf.DUMMYFUNCTION("""COMPUTED_VALUE"""),1.12)</f>
        <v>1.1200000000000001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x14ac:dyDescent="0.2">
      <c r="A27" s="9" t="str">
        <f ca="1">IFERROR(__xludf.DUMMYFUNCTION("""COMPUTED_VALUE"""),"32 - Stone, Clay, Glass, And Concrete Products (31)")</f>
        <v>32 - Stone, Clay, Glass, And Concrete Products (31)</v>
      </c>
      <c r="B27" s="15" t="str">
        <f t="shared" ca="1" si="0"/>
        <v>31 - Leather And Leather Products</v>
      </c>
      <c r="C27" s="9">
        <f ca="1">IFERROR(__xludf.DUMMYFUNCTION("""COMPUTED_VALUE"""),-0.016)</f>
        <v>-1.6E-2</v>
      </c>
      <c r="D27" s="9">
        <f ca="1">IFERROR(__xludf.DUMMYFUNCTION("""COMPUTED_VALUE"""),-0.137)</f>
        <v>-0.13700000000000001</v>
      </c>
      <c r="E27" s="9">
        <f ca="1">IFERROR(__xludf.DUMMYFUNCTION("""COMPUTED_VALUE"""),1.3)</f>
        <v>1.3</v>
      </c>
      <c r="F27" s="9">
        <f ca="1">IFERROR(__xludf.DUMMYFUNCTION("""COMPUTED_VALUE"""),2.23)</f>
        <v>2.23</v>
      </c>
      <c r="G27" s="9">
        <f ca="1">IFERROR(__xludf.DUMMYFUNCTION("""COMPUTED_VALUE"""),0.228)</f>
        <v>0.22800000000000001</v>
      </c>
      <c r="H27" s="9">
        <f ca="1">IFERROR(__xludf.DUMMYFUNCTION("""COMPUTED_VALUE"""),-0.096)</f>
        <v>-9.6000000000000002E-2</v>
      </c>
      <c r="I27" s="9">
        <f ca="1">IFERROR(__xludf.DUMMYFUNCTION("""COMPUTED_VALUE"""),-0.068)</f>
        <v>-6.8000000000000005E-2</v>
      </c>
      <c r="J27" s="9">
        <f ca="1">IFERROR(__xludf.DUMMYFUNCTION("""COMPUTED_VALUE"""),1.13)</f>
        <v>1.1299999999999999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x14ac:dyDescent="0.2">
      <c r="A28" s="9" t="str">
        <f ca="1">IFERROR(__xludf.DUMMYFUNCTION("""COMPUTED_VALUE"""),"33 - Primary Metal Industries (60)")</f>
        <v>33 - Primary Metal Industries (60)</v>
      </c>
      <c r="B28" s="15" t="str">
        <f t="shared" ca="1" si="0"/>
        <v>32 - Stone, Clay, Glass, And Concrete Products</v>
      </c>
      <c r="C28" s="9">
        <f ca="1">IFERROR(__xludf.DUMMYFUNCTION("""COMPUTED_VALUE"""),0.044)</f>
        <v>4.3999999999999997E-2</v>
      </c>
      <c r="D28" s="9">
        <f ca="1">IFERROR(__xludf.DUMMYFUNCTION("""COMPUTED_VALUE"""),0.121)</f>
        <v>0.121</v>
      </c>
      <c r="E28" s="9">
        <f ca="1">IFERROR(__xludf.DUMMYFUNCTION("""COMPUTED_VALUE"""),1.11)</f>
        <v>1.1100000000000001</v>
      </c>
      <c r="F28" s="9">
        <f ca="1">IFERROR(__xludf.DUMMYFUNCTION("""COMPUTED_VALUE"""),1.81)</f>
        <v>1.81</v>
      </c>
      <c r="G28" s="9">
        <f ca="1">IFERROR(__xludf.DUMMYFUNCTION("""COMPUTED_VALUE"""),0.141)</f>
        <v>0.14099999999999999</v>
      </c>
      <c r="H28" s="9">
        <f ca="1">IFERROR(__xludf.DUMMYFUNCTION("""COMPUTED_VALUE"""),0.096)</f>
        <v>9.6000000000000002E-2</v>
      </c>
      <c r="I28" s="9">
        <f ca="1">IFERROR(__xludf.DUMMYFUNCTION("""COMPUTED_VALUE"""),0.044)</f>
        <v>4.3999999999999997E-2</v>
      </c>
      <c r="J28" s="9">
        <f ca="1">IFERROR(__xludf.DUMMYFUNCTION("""COMPUTED_VALUE"""),1.41)</f>
        <v>1.41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x14ac:dyDescent="0.2">
      <c r="A29" s="9" t="str">
        <f ca="1">IFERROR(__xludf.DUMMYFUNCTION("""COMPUTED_VALUE"""),"34 - Fabricated Metal Products, Except Machinery And Transportation 
Equipment (78)")</f>
        <v>34 - Fabricated Metal Products, Except Machinery And Transportation _x000D_Equipment (78)</v>
      </c>
      <c r="B29" s="15" t="str">
        <f t="shared" ca="1" si="0"/>
        <v>33 - Primary Metal Industries</v>
      </c>
      <c r="C29" s="9">
        <f ca="1">IFERROR(__xludf.DUMMYFUNCTION("""COMPUTED_VALUE"""),-0.011)</f>
        <v>-1.0999999999999999E-2</v>
      </c>
      <c r="D29" s="9">
        <f ca="1">IFERROR(__xludf.DUMMYFUNCTION("""COMPUTED_VALUE"""),-0.031)</f>
        <v>-3.1E-2</v>
      </c>
      <c r="E29" s="9">
        <f ca="1">IFERROR(__xludf.DUMMYFUNCTION("""COMPUTED_VALUE"""),1.15)</f>
        <v>1.1499999999999999</v>
      </c>
      <c r="F29" s="9">
        <f ca="1">IFERROR(__xludf.DUMMYFUNCTION("""COMPUTED_VALUE"""),2.42)</f>
        <v>2.42</v>
      </c>
      <c r="G29" s="9">
        <f ca="1">IFERROR(__xludf.DUMMYFUNCTION("""COMPUTED_VALUE"""),0.295)</f>
        <v>0.29499999999999998</v>
      </c>
      <c r="H29" s="9">
        <f ca="1">IFERROR(__xludf.DUMMYFUNCTION("""COMPUTED_VALUE"""),0.034)</f>
        <v>3.4000000000000002E-2</v>
      </c>
      <c r="I29" s="9">
        <f ca="1">IFERROR(__xludf.DUMMYFUNCTION("""COMPUTED_VALUE"""),-0.007)</f>
        <v>-7.0000000000000001E-3</v>
      </c>
      <c r="J29" s="9">
        <f ca="1">IFERROR(__xludf.DUMMYFUNCTION("""COMPUTED_VALUE"""),1.28)</f>
        <v>1.28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x14ac:dyDescent="0.2">
      <c r="A30" s="9" t="str">
        <f ca="1">IFERROR(__xludf.DUMMYFUNCTION("""COMPUTED_VALUE"""),"35 - Industrial And Commercial Machinery And Computer Equipment (299)")</f>
        <v>35 - Industrial And Commercial Machinery And Computer Equipment (299)</v>
      </c>
      <c r="B30" s="15" t="str">
        <f t="shared" ca="1" si="0"/>
        <v>34 - Fabricated Metal Products, Except Machinery And Transportation _x000D_Equipment</v>
      </c>
      <c r="C30" s="9">
        <f ca="1">IFERROR(__xludf.DUMMYFUNCTION("""COMPUTED_VALUE"""),0.027)</f>
        <v>2.7E-2</v>
      </c>
      <c r="D30" s="9">
        <f ca="1">IFERROR(__xludf.DUMMYFUNCTION("""COMPUTED_VALUE"""),0.055)</f>
        <v>5.5E-2</v>
      </c>
      <c r="E30" s="9">
        <f ca="1">IFERROR(__xludf.DUMMYFUNCTION("""COMPUTED_VALUE"""),1.15)</f>
        <v>1.1499999999999999</v>
      </c>
      <c r="F30" s="9">
        <f ca="1">IFERROR(__xludf.DUMMYFUNCTION("""COMPUTED_VALUE"""),2.34)</f>
        <v>2.34</v>
      </c>
      <c r="G30" s="9">
        <f ca="1">IFERROR(__xludf.DUMMYFUNCTION("""COMPUTED_VALUE"""),0.328)</f>
        <v>0.32800000000000001</v>
      </c>
      <c r="H30" s="9">
        <f ca="1">IFERROR(__xludf.DUMMYFUNCTION("""COMPUTED_VALUE"""),0.079)</f>
        <v>7.9000000000000001E-2</v>
      </c>
      <c r="I30" s="9">
        <f ca="1">IFERROR(__xludf.DUMMYFUNCTION("""COMPUTED_VALUE"""),0.039)</f>
        <v>3.9E-2</v>
      </c>
      <c r="J30" s="9">
        <f ca="1">IFERROR(__xludf.DUMMYFUNCTION("""COMPUTED_VALUE"""),1.05)</f>
        <v>1.05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x14ac:dyDescent="0.2">
      <c r="A31" s="9" t="str">
        <f ca="1">IFERROR(__xludf.DUMMYFUNCTION("""COMPUTED_VALUE"""),"36 - Electronic And Other Electrical Equipment And Components, Except 
Computer Equipment (487)")</f>
        <v>36 - Electronic And Other Electrical Equipment And Components, Except _x000D_Computer Equipment (487)</v>
      </c>
      <c r="B31" s="15" t="str">
        <f t="shared" ca="1" si="0"/>
        <v>35 - Industrial And Commercial Machinery And Computer Equipment</v>
      </c>
      <c r="C31" s="9">
        <f ca="1">IFERROR(__xludf.DUMMYFUNCTION("""COMPUTED_VALUE"""),0.006)</f>
        <v>6.0000000000000001E-3</v>
      </c>
      <c r="D31" s="9">
        <f ca="1">IFERROR(__xludf.DUMMYFUNCTION("""COMPUTED_VALUE"""),0.006)</f>
        <v>6.0000000000000001E-3</v>
      </c>
      <c r="E31" s="9">
        <f ca="1">IFERROR(__xludf.DUMMYFUNCTION("""COMPUTED_VALUE"""),1.41)</f>
        <v>1.41</v>
      </c>
      <c r="F31" s="9">
        <f ca="1">IFERROR(__xludf.DUMMYFUNCTION("""COMPUTED_VALUE"""),2.14)</f>
        <v>2.14</v>
      </c>
      <c r="G31" s="9">
        <f ca="1">IFERROR(__xludf.DUMMYFUNCTION("""COMPUTED_VALUE"""),0.379)</f>
        <v>0.379</v>
      </c>
      <c r="H31" s="9">
        <f ca="1">IFERROR(__xludf.DUMMYFUNCTION("""COMPUTED_VALUE"""),0.036)</f>
        <v>3.5999999999999997E-2</v>
      </c>
      <c r="I31" s="9">
        <f ca="1">IFERROR(__xludf.DUMMYFUNCTION("""COMPUTED_VALUE"""),0.016)</f>
        <v>1.6E-2</v>
      </c>
      <c r="J31" s="9">
        <f ca="1">IFERROR(__xludf.DUMMYFUNCTION("""COMPUTED_VALUE"""),0.99)</f>
        <v>0.99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x14ac:dyDescent="0.2">
      <c r="A32" s="9" t="str">
        <f ca="1">IFERROR(__xludf.DUMMYFUNCTION("""COMPUTED_VALUE"""),"37 - Transportation Equipment (156)")</f>
        <v>37 - Transportation Equipment (156)</v>
      </c>
      <c r="B32" s="15" t="str">
        <f t="shared" ca="1" si="0"/>
        <v>36 - Electronic And Other Electrical Equipment And Components, Except _x000D_Computer Equipment</v>
      </c>
      <c r="C32" s="9">
        <f ca="1">IFERROR(__xludf.DUMMYFUNCTION("""COMPUTED_VALUE"""),0.02)</f>
        <v>0.02</v>
      </c>
      <c r="D32" s="9">
        <f ca="1">IFERROR(__xludf.DUMMYFUNCTION("""COMPUTED_VALUE"""),0.015)</f>
        <v>1.4999999999999999E-2</v>
      </c>
      <c r="E32" s="9">
        <f ca="1">IFERROR(__xludf.DUMMYFUNCTION("""COMPUTED_VALUE"""),1.74)</f>
        <v>1.74</v>
      </c>
      <c r="F32" s="9">
        <f ca="1">IFERROR(__xludf.DUMMYFUNCTION("""COMPUTED_VALUE"""),2.56)</f>
        <v>2.56</v>
      </c>
      <c r="G32" s="9">
        <f ca="1">IFERROR(__xludf.DUMMYFUNCTION("""COMPUTED_VALUE"""),0.184)</f>
        <v>0.184</v>
      </c>
      <c r="H32" s="9">
        <f ca="1">IFERROR(__xludf.DUMMYFUNCTION("""COMPUTED_VALUE"""),0.045)</f>
        <v>4.4999999999999998E-2</v>
      </c>
      <c r="I32" s="9">
        <f ca="1">IFERROR(__xludf.DUMMYFUNCTION("""COMPUTED_VALUE"""),0.027)</f>
        <v>2.7E-2</v>
      </c>
      <c r="J32" s="9">
        <f ca="1">IFERROR(__xludf.DUMMYFUNCTION("""COMPUTED_VALUE"""),0.67)</f>
        <v>0.67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x14ac:dyDescent="0.2">
      <c r="A33" s="9" t="str">
        <f ca="1">IFERROR(__xludf.DUMMYFUNCTION("""COMPUTED_VALUE"""),"38 - Measuring, Analyzing, And Controlling Instruments; Photographic, 
Medical And Optical Goods; Watches And Clocks (460)")</f>
        <v>38 - Measuring, Analyzing, And Controlling Instruments; Photographic, _x000D_Medical And Optical Goods; Watches And Clocks (460)</v>
      </c>
      <c r="B33" s="15" t="str">
        <f t="shared" ca="1" si="0"/>
        <v>37 - Transportation Equipment</v>
      </c>
      <c r="C33" s="9">
        <f ca="1">IFERROR(__xludf.DUMMYFUNCTION("""COMPUTED_VALUE"""),-0.007)</f>
        <v>-7.0000000000000001E-3</v>
      </c>
      <c r="D33" s="9">
        <f ca="1">IFERROR(__xludf.DUMMYFUNCTION("""COMPUTED_VALUE"""),-0.036)</f>
        <v>-3.5999999999999997E-2</v>
      </c>
      <c r="E33" s="9">
        <f ca="1">IFERROR(__xludf.DUMMYFUNCTION("""COMPUTED_VALUE"""),1.05)</f>
        <v>1.05</v>
      </c>
      <c r="F33" s="9">
        <f ca="1">IFERROR(__xludf.DUMMYFUNCTION("""COMPUTED_VALUE"""),1.88)</f>
        <v>1.88</v>
      </c>
      <c r="G33" s="9">
        <f ca="1">IFERROR(__xludf.DUMMYFUNCTION("""COMPUTED_VALUE"""),0.534)</f>
        <v>0.53400000000000003</v>
      </c>
      <c r="H33" s="9">
        <f ca="1">IFERROR(__xludf.DUMMYFUNCTION("""COMPUTED_VALUE"""),0.009)</f>
        <v>8.9999999999999993E-3</v>
      </c>
      <c r="I33" s="9">
        <f ca="1">IFERROR(__xludf.DUMMYFUNCTION("""COMPUTED_VALUE"""),0.011)</f>
        <v>1.0999999999999999E-2</v>
      </c>
      <c r="J33" s="9">
        <f ca="1">IFERROR(__xludf.DUMMYFUNCTION("""COMPUTED_VALUE"""),0.95)</f>
        <v>0.95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2">
      <c r="A34" s="9" t="str">
        <f ca="1">IFERROR(__xludf.DUMMYFUNCTION("""COMPUTED_VALUE"""),"39 - Miscellaneous Manufacturing Industries (70)")</f>
        <v>39 - Miscellaneous Manufacturing Industries (70)</v>
      </c>
      <c r="B34" s="15" t="str">
        <f t="shared" ca="1" si="0"/>
        <v>38 - Measuring, Analyzing, And Controlling Instruments; Photographic, _x000D_Medical And Optical Goods; Watches And Clocks</v>
      </c>
      <c r="C34" s="9">
        <f ca="1">IFERROR(__xludf.DUMMYFUNCTION("""COMPUTED_VALUE"""),-0.07)</f>
        <v>-7.0000000000000007E-2</v>
      </c>
      <c r="D34" s="9">
        <f ca="1">IFERROR(__xludf.DUMMYFUNCTION("""COMPUTED_VALUE"""),-0.156)</f>
        <v>-0.156</v>
      </c>
      <c r="E34" s="9">
        <f ca="1">IFERROR(__xludf.DUMMYFUNCTION("""COMPUTED_VALUE"""),2.03)</f>
        <v>2.0299999999999998</v>
      </c>
      <c r="F34" s="9">
        <f ca="1">IFERROR(__xludf.DUMMYFUNCTION("""COMPUTED_VALUE"""),3.05)</f>
        <v>3.05</v>
      </c>
      <c r="G34" s="9">
        <f ca="1">IFERROR(__xludf.DUMMYFUNCTION("""COMPUTED_VALUE"""),0.398)</f>
        <v>0.39800000000000002</v>
      </c>
      <c r="H34" s="9">
        <f ca="1">IFERROR(__xludf.DUMMYFUNCTION("""COMPUTED_VALUE"""),-0.064)</f>
        <v>-6.4000000000000001E-2</v>
      </c>
      <c r="I34" s="9">
        <f ca="1">IFERROR(__xludf.DUMMYFUNCTION("""COMPUTED_VALUE"""),-0.064)</f>
        <v>-6.4000000000000001E-2</v>
      </c>
      <c r="J34" s="9">
        <f ca="1">IFERROR(__xludf.DUMMYFUNCTION("""COMPUTED_VALUE"""),0.63)</f>
        <v>0.63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x14ac:dyDescent="0.2">
      <c r="A35" s="9" t="str">
        <f ca="1">IFERROR(__xludf.DUMMYFUNCTION("""COMPUTED_VALUE"""),"40 - Railroad Transportation (13)")</f>
        <v>40 - Railroad Transportation (13)</v>
      </c>
      <c r="B35" s="15" t="str">
        <f t="shared" ca="1" si="0"/>
        <v>39 - Miscellaneous Manufacturing Industries</v>
      </c>
      <c r="C35" s="9">
        <f ca="1">IFERROR(__xludf.DUMMYFUNCTION("""COMPUTED_VALUE"""),0.013)</f>
        <v>1.2999999999999999E-2</v>
      </c>
      <c r="D35" s="9">
        <f ca="1">IFERROR(__xludf.DUMMYFUNCTION("""COMPUTED_VALUE"""),0.023)</f>
        <v>2.3E-2</v>
      </c>
      <c r="E35" s="9">
        <f ca="1">IFERROR(__xludf.DUMMYFUNCTION("""COMPUTED_VALUE"""),1.36)</f>
        <v>1.36</v>
      </c>
      <c r="F35" s="9">
        <f ca="1">IFERROR(__xludf.DUMMYFUNCTION("""COMPUTED_VALUE"""),2.06)</f>
        <v>2.06</v>
      </c>
      <c r="G35" s="9">
        <f ca="1">IFERROR(__xludf.DUMMYFUNCTION("""COMPUTED_VALUE"""),0.898)</f>
        <v>0.89800000000000002</v>
      </c>
      <c r="H35" s="9">
        <f ca="1">IFERROR(__xludf.DUMMYFUNCTION("""COMPUTED_VALUE"""),0.071)</f>
        <v>7.0999999999999994E-2</v>
      </c>
      <c r="I35" s="9">
        <f ca="1">IFERROR(__xludf.DUMMYFUNCTION("""COMPUTED_VALUE"""),0.028)</f>
        <v>2.8000000000000001E-2</v>
      </c>
      <c r="J35" s="9">
        <f ca="1">IFERROR(__xludf.DUMMYFUNCTION("""COMPUTED_VALUE"""),0.93)</f>
        <v>0.93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x14ac:dyDescent="0.2">
      <c r="A36" s="9" t="str">
        <f ca="1">IFERROR(__xludf.DUMMYFUNCTION("""COMPUTED_VALUE"""),"42 - Motor Freight Transportation And Warehousing (31)")</f>
        <v>42 - Motor Freight Transportation And Warehousing (31)</v>
      </c>
      <c r="B36" s="15" t="str">
        <f t="shared" ca="1" si="0"/>
        <v>40 - Railroad Transportation</v>
      </c>
      <c r="C36" s="9">
        <f ca="1">IFERROR(__xludf.DUMMYFUNCTION("""COMPUTED_VALUE"""),0.06)</f>
        <v>0.06</v>
      </c>
      <c r="D36" s="9">
        <f ca="1">IFERROR(__xludf.DUMMYFUNCTION("""COMPUTED_VALUE"""),0.178)</f>
        <v>0.17799999999999999</v>
      </c>
      <c r="E36" s="9">
        <f ca="1">IFERROR(__xludf.DUMMYFUNCTION("""COMPUTED_VALUE"""),0.81)</f>
        <v>0.81</v>
      </c>
      <c r="F36" s="9">
        <f ca="1">IFERROR(__xludf.DUMMYFUNCTION("""COMPUTED_VALUE"""),1.07)</f>
        <v>1.07</v>
      </c>
      <c r="G36" s="9">
        <f ca="1">IFERROR(__xludf.DUMMYFUNCTION("""COMPUTED_VALUE"""),0.129)</f>
        <v>0.129</v>
      </c>
      <c r="H36" s="9">
        <f ca="1">IFERROR(__xludf.DUMMYFUNCTION("""COMPUTED_VALUE"""),0.37)</f>
        <v>0.37</v>
      </c>
      <c r="I36" s="9">
        <f ca="1">IFERROR(__xludf.DUMMYFUNCTION("""COMPUTED_VALUE"""),0.247)</f>
        <v>0.247</v>
      </c>
      <c r="J36" s="9">
        <f ca="1">IFERROR(__xludf.DUMMYFUNCTION("""COMPUTED_VALUE"""),2.23)</f>
        <v>2.23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x14ac:dyDescent="0.2">
      <c r="A37" s="9" t="str">
        <f ca="1">IFERROR(__xludf.DUMMYFUNCTION("""COMPUTED_VALUE"""),"44 - Water Transportation (30)")</f>
        <v>44 - Water Transportation (30)</v>
      </c>
      <c r="B37" s="15" t="str">
        <f t="shared" ca="1" si="0"/>
        <v>42 - Motor Freight Transportation And Warehousing</v>
      </c>
      <c r="C37" s="9">
        <f ca="1">IFERROR(__xludf.DUMMYFUNCTION("""COMPUTED_VALUE"""),0.048)</f>
        <v>4.8000000000000001E-2</v>
      </c>
      <c r="D37" s="9">
        <f ca="1">IFERROR(__xludf.DUMMYFUNCTION("""COMPUTED_VALUE"""),0.107)</f>
        <v>0.107</v>
      </c>
      <c r="E37" s="9">
        <f ca="1">IFERROR(__xludf.DUMMYFUNCTION("""COMPUTED_VALUE"""),1.33)</f>
        <v>1.33</v>
      </c>
      <c r="F37" s="9">
        <f ca="1">IFERROR(__xludf.DUMMYFUNCTION("""COMPUTED_VALUE"""),1.48)</f>
        <v>1.48</v>
      </c>
      <c r="G37" s="9">
        <f ca="1">IFERROR(__xludf.DUMMYFUNCTION("""COMPUTED_VALUE"""),-0.075)</f>
        <v>-7.4999999999999997E-2</v>
      </c>
      <c r="H37" s="9">
        <f ca="1">IFERROR(__xludf.DUMMYFUNCTION("""COMPUTED_VALUE"""),0.061)</f>
        <v>6.0999999999999999E-2</v>
      </c>
      <c r="I37" s="9">
        <f ca="1">IFERROR(__xludf.DUMMYFUNCTION("""COMPUTED_VALUE"""),0.042)</f>
        <v>4.2000000000000003E-2</v>
      </c>
      <c r="J37" s="9">
        <f ca="1">IFERROR(__xludf.DUMMYFUNCTION("""COMPUTED_VALUE"""),0.87)</f>
        <v>0.87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x14ac:dyDescent="0.2">
      <c r="A38" s="9" t="str">
        <f ca="1">IFERROR(__xludf.DUMMYFUNCTION("""COMPUTED_VALUE"""),"45 - Transportation By Air (32)")</f>
        <v>45 - Transportation By Air (32)</v>
      </c>
      <c r="B38" s="15" t="str">
        <f t="shared" ca="1" si="0"/>
        <v>44 - Water Transportation</v>
      </c>
      <c r="C38" s="9">
        <f ca="1">IFERROR(__xludf.DUMMYFUNCTION("""COMPUTED_VALUE"""),-0.078)</f>
        <v>-7.8E-2</v>
      </c>
      <c r="D38" s="9">
        <f ca="1">IFERROR(__xludf.DUMMYFUNCTION("""COMPUTED_VALUE"""),-0.179)</f>
        <v>-0.17899999999999999</v>
      </c>
      <c r="E38" s="9">
        <f ca="1">IFERROR(__xludf.DUMMYFUNCTION("""COMPUTED_VALUE"""),1.13)</f>
        <v>1.1299999999999999</v>
      </c>
      <c r="F38" s="9">
        <f ca="1">IFERROR(__xludf.DUMMYFUNCTION("""COMPUTED_VALUE"""),1.82)</f>
        <v>1.82</v>
      </c>
      <c r="G38" s="9">
        <f ca="1">IFERROR(__xludf.DUMMYFUNCTION("""COMPUTED_VALUE"""),0.276)</f>
        <v>0.27600000000000002</v>
      </c>
      <c r="H38" s="9">
        <f ca="1">IFERROR(__xludf.DUMMYFUNCTION("""COMPUTED_VALUE"""),-0.437)</f>
        <v>-0.437</v>
      </c>
      <c r="I38" s="9">
        <f ca="1">IFERROR(__xludf.DUMMYFUNCTION("""COMPUTED_VALUE"""),-0.494)</f>
        <v>-0.49399999999999999</v>
      </c>
      <c r="J38" s="9">
        <f ca="1">IFERROR(__xludf.DUMMYFUNCTION("""COMPUTED_VALUE"""),0.92)</f>
        <v>0.92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x14ac:dyDescent="0.2">
      <c r="A39" s="9" t="str">
        <f ca="1">IFERROR(__xludf.DUMMYFUNCTION("""COMPUTED_VALUE"""),"46 - Pipelines, Except Natural Gas (26)")</f>
        <v>46 - Pipelines, Except Natural Gas (26)</v>
      </c>
      <c r="B39" s="15" t="str">
        <f t="shared" ca="1" si="0"/>
        <v>45 - Transportation By Air</v>
      </c>
      <c r="C39" s="9">
        <f ca="1">IFERROR(__xludf.DUMMYFUNCTION("""COMPUTED_VALUE"""),-0.098)</f>
        <v>-9.8000000000000004E-2</v>
      </c>
      <c r="D39" s="9">
        <f ca="1">IFERROR(__xludf.DUMMYFUNCTION("""COMPUTED_VALUE"""),-0.309)</f>
        <v>-0.309</v>
      </c>
      <c r="E39" s="9">
        <f ca="1">IFERROR(__xludf.DUMMYFUNCTION("""COMPUTED_VALUE"""),1)</f>
        <v>1</v>
      </c>
      <c r="F39" s="9">
        <f ca="1">IFERROR(__xludf.DUMMYFUNCTION("""COMPUTED_VALUE"""),1.14)</f>
        <v>1.1399999999999999</v>
      </c>
      <c r="G39" s="9">
        <f ca="1">IFERROR(__xludf.DUMMYFUNCTION("""COMPUTED_VALUE"""),0.407)</f>
        <v>0.40699999999999997</v>
      </c>
      <c r="H39" s="9">
        <f ca="1">IFERROR(__xludf.DUMMYFUNCTION("""COMPUTED_VALUE"""),-0.417)</f>
        <v>-0.41699999999999998</v>
      </c>
      <c r="I39" s="9">
        <f ca="1">IFERROR(__xludf.DUMMYFUNCTION("""COMPUTED_VALUE"""),-0.288)</f>
        <v>-0.28799999999999998</v>
      </c>
      <c r="J39" s="9">
        <f ca="1">IFERROR(__xludf.DUMMYFUNCTION("""COMPUTED_VALUE"""),2.45)</f>
        <v>2.4500000000000002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x14ac:dyDescent="0.2">
      <c r="A40" s="9" t="str">
        <f ca="1">IFERROR(__xludf.DUMMYFUNCTION("""COMPUTED_VALUE"""),"47 - Transportation Services (41)")</f>
        <v>47 - Transportation Services (41)</v>
      </c>
      <c r="B40" s="15" t="str">
        <f t="shared" ca="1" si="0"/>
        <v>46 - Pipelines, Except Natural Gas</v>
      </c>
      <c r="C40" s="9">
        <f ca="1">IFERROR(__xludf.DUMMYFUNCTION("""COMPUTED_VALUE"""),0.051)</f>
        <v>5.0999999999999997E-2</v>
      </c>
      <c r="D40" s="9">
        <f ca="1">IFERROR(__xludf.DUMMYFUNCTION("""COMPUTED_VALUE"""),0.055)</f>
        <v>5.5E-2</v>
      </c>
      <c r="E40" s="9">
        <f ca="1">IFERROR(__xludf.DUMMYFUNCTION("""COMPUTED_VALUE"""),0.61)</f>
        <v>0.61</v>
      </c>
      <c r="F40" s="9">
        <f ca="1">IFERROR(__xludf.DUMMYFUNCTION("""COMPUTED_VALUE"""),1.04)</f>
        <v>1.04</v>
      </c>
      <c r="G40" s="9">
        <f ca="1">IFERROR(__xludf.DUMMYFUNCTION("""COMPUTED_VALUE"""),0.153)</f>
        <v>0.153</v>
      </c>
      <c r="H40" s="9">
        <f ca="1">IFERROR(__xludf.DUMMYFUNCTION("""COMPUTED_VALUE"""),0.179)</f>
        <v>0.17899999999999999</v>
      </c>
      <c r="I40" s="9">
        <f ca="1">IFERROR(__xludf.DUMMYFUNCTION("""COMPUTED_VALUE"""),0.175)</f>
        <v>0.17499999999999999</v>
      </c>
      <c r="J40" s="9">
        <f ca="1">IFERROR(__xludf.DUMMYFUNCTION("""COMPUTED_VALUE"""),1.91)</f>
        <v>1.91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x14ac:dyDescent="0.2">
      <c r="A41" s="9" t="str">
        <f ca="1">IFERROR(__xludf.DUMMYFUNCTION("""COMPUTED_VALUE"""),"48 - Communications (225)")</f>
        <v>48 - Communications (225)</v>
      </c>
      <c r="B41" s="15" t="str">
        <f t="shared" ca="1" si="0"/>
        <v>47 - Transportation Services</v>
      </c>
      <c r="C41" s="9">
        <f ca="1">IFERROR(__xludf.DUMMYFUNCTION("""COMPUTED_VALUE"""),0.006)</f>
        <v>6.0000000000000001E-3</v>
      </c>
      <c r="D41" s="9">
        <f ca="1">IFERROR(__xludf.DUMMYFUNCTION("""COMPUTED_VALUE"""),0)</f>
        <v>0</v>
      </c>
      <c r="E41" s="9">
        <f ca="1">IFERROR(__xludf.DUMMYFUNCTION("""COMPUTED_VALUE"""),1.15)</f>
        <v>1.1499999999999999</v>
      </c>
      <c r="F41" s="9">
        <f ca="1">IFERROR(__xludf.DUMMYFUNCTION("""COMPUTED_VALUE"""),1.33)</f>
        <v>1.33</v>
      </c>
      <c r="G41" s="9">
        <f ca="1">IFERROR(__xludf.DUMMYFUNCTION("""COMPUTED_VALUE"""),0.541)</f>
        <v>0.54100000000000004</v>
      </c>
      <c r="H41" s="9">
        <f ca="1">IFERROR(__xludf.DUMMYFUNCTION("""COMPUTED_VALUE"""),0.033)</f>
        <v>3.3000000000000002E-2</v>
      </c>
      <c r="I41" s="9">
        <f ca="1">IFERROR(__xludf.DUMMYFUNCTION("""COMPUTED_VALUE"""),0.006)</f>
        <v>6.0000000000000001E-3</v>
      </c>
      <c r="J41" s="9">
        <f ca="1">IFERROR(__xludf.DUMMYFUNCTION("""COMPUTED_VALUE"""),1.17)</f>
        <v>1.17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x14ac:dyDescent="0.2">
      <c r="A42" s="9" t="str">
        <f ca="1">IFERROR(__xludf.DUMMYFUNCTION("""COMPUTED_VALUE"""),"49 - Electric, Gas, And Sanitary Services (310)")</f>
        <v>49 - Electric, Gas, And Sanitary Services (310)</v>
      </c>
      <c r="B42" s="15" t="str">
        <f t="shared" ca="1" si="0"/>
        <v>48 - Communications</v>
      </c>
      <c r="C42" s="9">
        <f ca="1">IFERROR(__xludf.DUMMYFUNCTION("""COMPUTED_VALUE"""),0.006)</f>
        <v>6.0000000000000001E-3</v>
      </c>
      <c r="D42" s="9">
        <f ca="1">IFERROR(__xludf.DUMMYFUNCTION("""COMPUTED_VALUE"""),-0.012)</f>
        <v>-1.2E-2</v>
      </c>
      <c r="E42" s="9">
        <f ca="1">IFERROR(__xludf.DUMMYFUNCTION("""COMPUTED_VALUE"""),1.01)</f>
        <v>1.01</v>
      </c>
      <c r="F42" s="9">
        <f ca="1">IFERROR(__xludf.DUMMYFUNCTION("""COMPUTED_VALUE"""),1.25)</f>
        <v>1.25</v>
      </c>
      <c r="G42" s="9">
        <f ca="1">IFERROR(__xludf.DUMMYFUNCTION("""COMPUTED_VALUE"""),0.393)</f>
        <v>0.39300000000000002</v>
      </c>
      <c r="H42" s="9">
        <f ca="1">IFERROR(__xludf.DUMMYFUNCTION("""COMPUTED_VALUE"""),0.084)</f>
        <v>8.4000000000000005E-2</v>
      </c>
      <c r="I42" s="9">
        <f ca="1">IFERROR(__xludf.DUMMYFUNCTION("""COMPUTED_VALUE"""),0.012)</f>
        <v>1.2E-2</v>
      </c>
      <c r="J42" s="9">
        <f ca="1">IFERROR(__xludf.DUMMYFUNCTION("""COMPUTED_VALUE"""),1.28)</f>
        <v>1.28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x14ac:dyDescent="0.2">
      <c r="A43" s="9" t="str">
        <f ca="1">IFERROR(__xludf.DUMMYFUNCTION("""COMPUTED_VALUE"""),"50 - Wholesale Trade-durable Goods (149)")</f>
        <v>50 - Wholesale Trade-durable Goods (149)</v>
      </c>
      <c r="B43" s="15" t="str">
        <f t="shared" ca="1" si="0"/>
        <v>49 - Electric, Gas, And Sanitary Services</v>
      </c>
      <c r="C43" s="9">
        <f ca="1">IFERROR(__xludf.DUMMYFUNCTION("""COMPUTED_VALUE"""),0.024)</f>
        <v>2.4E-2</v>
      </c>
      <c r="D43" s="9">
        <f ca="1">IFERROR(__xludf.DUMMYFUNCTION("""COMPUTED_VALUE"""),0.075)</f>
        <v>7.4999999999999997E-2</v>
      </c>
      <c r="E43" s="9">
        <f ca="1">IFERROR(__xludf.DUMMYFUNCTION("""COMPUTED_VALUE"""),0.49)</f>
        <v>0.49</v>
      </c>
      <c r="F43" s="9">
        <f ca="1">IFERROR(__xludf.DUMMYFUNCTION("""COMPUTED_VALUE"""),0.87)</f>
        <v>0.87</v>
      </c>
      <c r="G43" s="9">
        <f ca="1">IFERROR(__xludf.DUMMYFUNCTION("""COMPUTED_VALUE"""),0.244)</f>
        <v>0.24399999999999999</v>
      </c>
      <c r="H43" s="9">
        <f ca="1">IFERROR(__xludf.DUMMYFUNCTION("""COMPUTED_VALUE"""),0.177)</f>
        <v>0.17699999999999999</v>
      </c>
      <c r="I43" s="9">
        <f ca="1">IFERROR(__xludf.DUMMYFUNCTION("""COMPUTED_VALUE"""),0.092)</f>
        <v>9.1999999999999998E-2</v>
      </c>
      <c r="J43" s="9">
        <f ca="1">IFERROR(__xludf.DUMMYFUNCTION("""COMPUTED_VALUE"""),2.02)</f>
        <v>2.02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2">
      <c r="A44" s="9" t="str">
        <f ca="1">IFERROR(__xludf.DUMMYFUNCTION("""COMPUTED_VALUE"""),"51 - Wholesale Trade-non-durable Goods (123)")</f>
        <v>51 - Wholesale Trade-non-durable Goods (123)</v>
      </c>
      <c r="B44" s="15" t="str">
        <f t="shared" ca="1" si="0"/>
        <v>50 - Wholesale Trade-durable Goods</v>
      </c>
      <c r="C44" s="9">
        <f ca="1">IFERROR(__xludf.DUMMYFUNCTION("""COMPUTED_VALUE"""),0.001)</f>
        <v>1E-3</v>
      </c>
      <c r="D44" s="9">
        <f ca="1">IFERROR(__xludf.DUMMYFUNCTION("""COMPUTED_VALUE"""),-0.012)</f>
        <v>-1.2E-2</v>
      </c>
      <c r="E44" s="9">
        <f ca="1">IFERROR(__xludf.DUMMYFUNCTION("""COMPUTED_VALUE"""),0.99)</f>
        <v>0.99</v>
      </c>
      <c r="F44" s="9">
        <f ca="1">IFERROR(__xludf.DUMMYFUNCTION("""COMPUTED_VALUE"""),1.95)</f>
        <v>1.95</v>
      </c>
      <c r="G44" s="9">
        <f ca="1">IFERROR(__xludf.DUMMYFUNCTION("""COMPUTED_VALUE"""),0.181)</f>
        <v>0.18099999999999999</v>
      </c>
      <c r="H44" s="9">
        <f ca="1">IFERROR(__xludf.DUMMYFUNCTION("""COMPUTED_VALUE"""),0.015)</f>
        <v>1.4999999999999999E-2</v>
      </c>
      <c r="I44" s="9">
        <f ca="1">IFERROR(__xludf.DUMMYFUNCTION("""COMPUTED_VALUE"""),0.005)</f>
        <v>5.0000000000000001E-3</v>
      </c>
      <c r="J44" s="9">
        <f ca="1">IFERROR(__xludf.DUMMYFUNCTION("""COMPUTED_VALUE"""),1.12)</f>
        <v>1.1200000000000001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x14ac:dyDescent="0.2">
      <c r="A45" s="9" t="str">
        <f ca="1">IFERROR(__xludf.DUMMYFUNCTION("""COMPUTED_VALUE"""),"52 - Building Materials, Hardware, Garden Supply, And Mobile Home Dealers 
(20)")</f>
        <v>52 - Building Materials, Hardware, Garden Supply, And Mobile Home Dealers _x000D_(20)</v>
      </c>
      <c r="B45" s="15" t="str">
        <f t="shared" ca="1" si="0"/>
        <v>51 - Wholesale Trade-non-durable Goods</v>
      </c>
      <c r="C45" s="9">
        <f ca="1">IFERROR(__xludf.DUMMYFUNCTION("""COMPUTED_VALUE"""),0.003)</f>
        <v>3.0000000000000001E-3</v>
      </c>
      <c r="D45" s="9">
        <f ca="1">IFERROR(__xludf.DUMMYFUNCTION("""COMPUTED_VALUE"""),-0.043)</f>
        <v>-4.2999999999999997E-2</v>
      </c>
      <c r="E45" s="9">
        <f ca="1">IFERROR(__xludf.DUMMYFUNCTION("""COMPUTED_VALUE"""),0.84)</f>
        <v>0.84</v>
      </c>
      <c r="F45" s="9">
        <f ca="1">IFERROR(__xludf.DUMMYFUNCTION("""COMPUTED_VALUE"""),1.65)</f>
        <v>1.65</v>
      </c>
      <c r="G45" s="9">
        <f ca="1">IFERROR(__xludf.DUMMYFUNCTION("""COMPUTED_VALUE"""),0.354)</f>
        <v>0.35399999999999998</v>
      </c>
      <c r="H45" s="9">
        <f ca="1">IFERROR(__xludf.DUMMYFUNCTION("""COMPUTED_VALUE"""),0.002)</f>
        <v>2E-3</v>
      </c>
      <c r="I45" s="9">
        <f ca="1">IFERROR(__xludf.DUMMYFUNCTION("""COMPUTED_VALUE"""),0.005)</f>
        <v>5.0000000000000001E-3</v>
      </c>
      <c r="J45" s="9">
        <f ca="1">IFERROR(__xludf.DUMMYFUNCTION("""COMPUTED_VALUE"""),1.3)</f>
        <v>1.3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x14ac:dyDescent="0.2">
      <c r="A46" s="9" t="str">
        <f ca="1">IFERROR(__xludf.DUMMYFUNCTION("""COMPUTED_VALUE"""),"53 - General Merchandise Stores (30)")</f>
        <v>53 - General Merchandise Stores (30)</v>
      </c>
      <c r="B46" s="15" t="str">
        <f t="shared" ca="1" si="0"/>
        <v>52 - Building Materials, Hardware, Garden Supply, And Mobile Home Dealers _x000D_</v>
      </c>
      <c r="C46" s="9">
        <f ca="1">IFERROR(__xludf.DUMMYFUNCTION("""COMPUTED_VALUE"""),0.121)</f>
        <v>0.121</v>
      </c>
      <c r="D46" s="9">
        <f ca="1">IFERROR(__xludf.DUMMYFUNCTION("""COMPUTED_VALUE"""),0.317)</f>
        <v>0.317</v>
      </c>
      <c r="E46" s="9">
        <f ca="1">IFERROR(__xludf.DUMMYFUNCTION("""COMPUTED_VALUE"""),1.28)</f>
        <v>1.28</v>
      </c>
      <c r="F46" s="9">
        <f ca="1">IFERROR(__xludf.DUMMYFUNCTION("""COMPUTED_VALUE"""),1.81)</f>
        <v>1.81</v>
      </c>
      <c r="G46" s="9">
        <f ca="1">IFERROR(__xludf.DUMMYFUNCTION("""COMPUTED_VALUE"""),0.305)</f>
        <v>0.30499999999999999</v>
      </c>
      <c r="H46" s="9">
        <f ca="1">IFERROR(__xludf.DUMMYFUNCTION("""COMPUTED_VALUE"""),0.108)</f>
        <v>0.108</v>
      </c>
      <c r="I46" s="9">
        <f ca="1">IFERROR(__xludf.DUMMYFUNCTION("""COMPUTED_VALUE"""),0.071)</f>
        <v>7.0999999999999994E-2</v>
      </c>
      <c r="J46" s="9">
        <f ca="1">IFERROR(__xludf.DUMMYFUNCTION("""COMPUTED_VALUE"""),1.93)</f>
        <v>1.93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x14ac:dyDescent="0.2">
      <c r="A47" s="9" t="str">
        <f ca="1">IFERROR(__xludf.DUMMYFUNCTION("""COMPUTED_VALUE"""),"54 - Food Stores (32)")</f>
        <v>54 - Food Stores (32)</v>
      </c>
      <c r="B47" s="15" t="str">
        <f t="shared" ca="1" si="0"/>
        <v>53 - General Merchandise Stores</v>
      </c>
      <c r="C47" s="9">
        <f ca="1">IFERROR(__xludf.DUMMYFUNCTION("""COMPUTED_VALUE"""),0.058)</f>
        <v>5.8000000000000003E-2</v>
      </c>
      <c r="D47" s="9">
        <f ca="1">IFERROR(__xludf.DUMMYFUNCTION("""COMPUTED_VALUE"""),0.159)</f>
        <v>0.159</v>
      </c>
      <c r="E47" s="9">
        <f ca="1">IFERROR(__xludf.DUMMYFUNCTION("""COMPUTED_VALUE"""),0.48)</f>
        <v>0.48</v>
      </c>
      <c r="F47" s="9">
        <f ca="1">IFERROR(__xludf.DUMMYFUNCTION("""COMPUTED_VALUE"""),1.35)</f>
        <v>1.35</v>
      </c>
      <c r="G47" s="9">
        <f ca="1">IFERROR(__xludf.DUMMYFUNCTION("""COMPUTED_VALUE"""),0.281)</f>
        <v>0.28100000000000003</v>
      </c>
      <c r="H47" s="9">
        <f ca="1">IFERROR(__xludf.DUMMYFUNCTION("""COMPUTED_VALUE"""),0.04)</f>
        <v>0.04</v>
      </c>
      <c r="I47" s="9">
        <f ca="1">IFERROR(__xludf.DUMMYFUNCTION("""COMPUTED_VALUE"""),0.025)</f>
        <v>2.5000000000000001E-2</v>
      </c>
      <c r="J47" s="9">
        <f ca="1">IFERROR(__xludf.DUMMYFUNCTION("""COMPUTED_VALUE"""),2.16)</f>
        <v>2.16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x14ac:dyDescent="0.2">
      <c r="A48" s="9" t="str">
        <f ca="1">IFERROR(__xludf.DUMMYFUNCTION("""COMPUTED_VALUE"""),"55 - Automotive Dealers And Gasoline Service Stations (38)")</f>
        <v>55 - Automotive Dealers And Gasoline Service Stations (38)</v>
      </c>
      <c r="B48" s="15" t="str">
        <f t="shared" ca="1" si="0"/>
        <v>54 - Food Stores</v>
      </c>
      <c r="C48" s="9">
        <f ca="1">IFERROR(__xludf.DUMMYFUNCTION("""COMPUTED_VALUE"""),0.041)</f>
        <v>4.1000000000000002E-2</v>
      </c>
      <c r="D48" s="9">
        <f ca="1">IFERROR(__xludf.DUMMYFUNCTION("""COMPUTED_VALUE"""),0.128)</f>
        <v>0.128</v>
      </c>
      <c r="E48" s="9">
        <f ca="1">IFERROR(__xludf.DUMMYFUNCTION("""COMPUTED_VALUE"""),0.37)</f>
        <v>0.37</v>
      </c>
      <c r="F48" s="9">
        <f ca="1">IFERROR(__xludf.DUMMYFUNCTION("""COMPUTED_VALUE"""),1.1)</f>
        <v>1.1000000000000001</v>
      </c>
      <c r="G48" s="9">
        <f ca="1">IFERROR(__xludf.DUMMYFUNCTION("""COMPUTED_VALUE"""),0.185)</f>
        <v>0.185</v>
      </c>
      <c r="H48" s="9">
        <f ca="1">IFERROR(__xludf.DUMMYFUNCTION("""COMPUTED_VALUE"""),0.03)</f>
        <v>0.03</v>
      </c>
      <c r="I48" s="9">
        <f ca="1">IFERROR(__xludf.DUMMYFUNCTION("""COMPUTED_VALUE"""),0.026)</f>
        <v>2.5999999999999999E-2</v>
      </c>
      <c r="J48" s="9">
        <f ca="1">IFERROR(__xludf.DUMMYFUNCTION("""COMPUTED_VALUE"""),1.67)</f>
        <v>1.67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x14ac:dyDescent="0.2">
      <c r="A49" s="9" t="str">
        <f ca="1">IFERROR(__xludf.DUMMYFUNCTION("""COMPUTED_VALUE"""),"56 - Apparel And Accessory Stores (55)")</f>
        <v>56 - Apparel And Accessory Stores (55)</v>
      </c>
      <c r="B49" s="15" t="str">
        <f t="shared" ca="1" si="0"/>
        <v>55 - Automotive Dealers And Gasoline Service Stations</v>
      </c>
      <c r="C49" s="9">
        <f ca="1">IFERROR(__xludf.DUMMYFUNCTION("""COMPUTED_VALUE"""),0.041)</f>
        <v>4.1000000000000002E-2</v>
      </c>
      <c r="D49" s="9">
        <f ca="1">IFERROR(__xludf.DUMMYFUNCTION("""COMPUTED_VALUE"""),0.129)</f>
        <v>0.129</v>
      </c>
      <c r="E49" s="9">
        <f ca="1">IFERROR(__xludf.DUMMYFUNCTION("""COMPUTED_VALUE"""),0.48)</f>
        <v>0.48</v>
      </c>
      <c r="F49" s="9">
        <f ca="1">IFERROR(__xludf.DUMMYFUNCTION("""COMPUTED_VALUE"""),1.33)</f>
        <v>1.33</v>
      </c>
      <c r="G49" s="9">
        <f ca="1">IFERROR(__xludf.DUMMYFUNCTION("""COMPUTED_VALUE"""),0.315)</f>
        <v>0.315</v>
      </c>
      <c r="H49" s="9">
        <f ca="1">IFERROR(__xludf.DUMMYFUNCTION("""COMPUTED_VALUE"""),0.052)</f>
        <v>5.1999999999999998E-2</v>
      </c>
      <c r="I49" s="9">
        <f ca="1">IFERROR(__xludf.DUMMYFUNCTION("""COMPUTED_VALUE"""),0.034)</f>
        <v>3.4000000000000002E-2</v>
      </c>
      <c r="J49" s="9">
        <f ca="1">IFERROR(__xludf.DUMMYFUNCTION("""COMPUTED_VALUE"""),2.16)</f>
        <v>2.16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x14ac:dyDescent="0.2">
      <c r="A50" s="9" t="str">
        <f ca="1">IFERROR(__xludf.DUMMYFUNCTION("""COMPUTED_VALUE"""),"57 - Home Furniture, Furnishings, And Equipment Stores (32)")</f>
        <v>57 - Home Furniture, Furnishings, And Equipment Stores (32)</v>
      </c>
      <c r="B50" s="15" t="str">
        <f t="shared" ca="1" si="0"/>
        <v>56 - Apparel And Accessory Stores</v>
      </c>
      <c r="C50" s="9">
        <f ca="1">IFERROR(__xludf.DUMMYFUNCTION("""COMPUTED_VALUE"""),-0.021)</f>
        <v>-2.1000000000000001E-2</v>
      </c>
      <c r="D50" s="9">
        <f ca="1">IFERROR(__xludf.DUMMYFUNCTION("""COMPUTED_VALUE"""),-0.101)</f>
        <v>-0.10100000000000001</v>
      </c>
      <c r="E50" s="9">
        <f ca="1">IFERROR(__xludf.DUMMYFUNCTION("""COMPUTED_VALUE"""),0.61)</f>
        <v>0.61</v>
      </c>
      <c r="F50" s="9">
        <f ca="1">IFERROR(__xludf.DUMMYFUNCTION("""COMPUTED_VALUE"""),1.61)</f>
        <v>1.61</v>
      </c>
      <c r="G50" s="9">
        <f ca="1">IFERROR(__xludf.DUMMYFUNCTION("""COMPUTED_VALUE"""),0.373)</f>
        <v>0.373</v>
      </c>
      <c r="H50" s="9">
        <f ca="1">IFERROR(__xludf.DUMMYFUNCTION("""COMPUTED_VALUE"""),0.012)</f>
        <v>1.2E-2</v>
      </c>
      <c r="I50" s="9">
        <f ca="1">IFERROR(__xludf.DUMMYFUNCTION("""COMPUTED_VALUE"""),-0.032)</f>
        <v>-3.2000000000000001E-2</v>
      </c>
      <c r="J50" s="9">
        <f ca="1">IFERROR(__xludf.DUMMYFUNCTION("""COMPUTED_VALUE"""),1.83)</f>
        <v>1.83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2">
      <c r="A51" s="9" t="str">
        <f ca="1">IFERROR(__xludf.DUMMYFUNCTION("""COMPUTED_VALUE"""),"58 - Eating And Drinking Places (109)")</f>
        <v>58 - Eating And Drinking Places (109)</v>
      </c>
      <c r="B51" s="15" t="str">
        <f t="shared" ca="1" si="0"/>
        <v>57 - Home Furniture, Furnishings, And Equipment Stores</v>
      </c>
      <c r="C51" s="9">
        <f ca="1">IFERROR(__xludf.DUMMYFUNCTION("""COMPUTED_VALUE"""),0.016)</f>
        <v>1.6E-2</v>
      </c>
      <c r="D51" s="9">
        <f ca="1">IFERROR(__xludf.DUMMYFUNCTION("""COMPUTED_VALUE"""),0.02)</f>
        <v>0.02</v>
      </c>
      <c r="E51" s="9">
        <f ca="1">IFERROR(__xludf.DUMMYFUNCTION("""COMPUTED_VALUE"""),0.37)</f>
        <v>0.37</v>
      </c>
      <c r="F51" s="9">
        <f ca="1">IFERROR(__xludf.DUMMYFUNCTION("""COMPUTED_VALUE"""),1.26)</f>
        <v>1.26</v>
      </c>
      <c r="G51" s="9">
        <f ca="1">IFERROR(__xludf.DUMMYFUNCTION("""COMPUTED_VALUE"""),0.405)</f>
        <v>0.40500000000000003</v>
      </c>
      <c r="H51" s="9">
        <f ca="1">IFERROR(__xludf.DUMMYFUNCTION("""COMPUTED_VALUE"""),0.021)</f>
        <v>2.1000000000000001E-2</v>
      </c>
      <c r="I51" s="9">
        <f ca="1">IFERROR(__xludf.DUMMYFUNCTION("""COMPUTED_VALUE"""),0.008)</f>
        <v>8.0000000000000002E-3</v>
      </c>
      <c r="J51" s="9">
        <f ca="1">IFERROR(__xludf.DUMMYFUNCTION("""COMPUTED_VALUE"""),2.44)</f>
        <v>2.44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x14ac:dyDescent="0.2">
      <c r="A52" s="9" t="str">
        <f ca="1">IFERROR(__xludf.DUMMYFUNCTION("""COMPUTED_VALUE"""),"59 - Miscellaneous Retail (186)")</f>
        <v>59 - Miscellaneous Retail (186)</v>
      </c>
      <c r="B52" s="15" t="str">
        <f t="shared" ca="1" si="0"/>
        <v>58 - Eating And Drinking Places</v>
      </c>
      <c r="C52" s="9">
        <f ca="1">IFERROR(__xludf.DUMMYFUNCTION("""COMPUTED_VALUE"""),-0.016)</f>
        <v>-1.6E-2</v>
      </c>
      <c r="D52" s="9">
        <f ca="1">IFERROR(__xludf.DUMMYFUNCTION("""COMPUTED_VALUE"""),-0.348)</f>
        <v>-0.34799999999999998</v>
      </c>
      <c r="E52" s="9">
        <f ca="1">IFERROR(__xludf.DUMMYFUNCTION("""COMPUTED_VALUE"""),0.75)</f>
        <v>0.75</v>
      </c>
      <c r="F52" s="9">
        <f ca="1">IFERROR(__xludf.DUMMYFUNCTION("""COMPUTED_VALUE"""),1.01)</f>
        <v>1.01</v>
      </c>
      <c r="G52" s="9">
        <f ca="1">IFERROR(__xludf.DUMMYFUNCTION("""COMPUTED_VALUE"""),0.318)</f>
        <v>0.318</v>
      </c>
      <c r="H52" s="9">
        <f ca="1">IFERROR(__xludf.DUMMYFUNCTION("""COMPUTED_VALUE"""),-0.024)</f>
        <v>-2.4E-2</v>
      </c>
      <c r="I52" s="9">
        <f ca="1">IFERROR(__xludf.DUMMYFUNCTION("""COMPUTED_VALUE"""),-0.019)</f>
        <v>-1.9E-2</v>
      </c>
      <c r="J52" s="9">
        <f ca="1">IFERROR(__xludf.DUMMYFUNCTION("""COMPUTED_VALUE"""),1.55)</f>
        <v>1.55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x14ac:dyDescent="0.2">
      <c r="A53" s="9" t="str">
        <f ca="1">IFERROR(__xludf.DUMMYFUNCTION("""COMPUTED_VALUE"""),"60 - Depository Institutions (724)")</f>
        <v>60 - Depository Institutions (724)</v>
      </c>
      <c r="B53" s="15" t="str">
        <f t="shared" ca="1" si="0"/>
        <v>59 - Miscellaneous Retail</v>
      </c>
      <c r="C53" s="9">
        <f ca="1">IFERROR(__xludf.DUMMYFUNCTION("""COMPUTED_VALUE"""),0.01)</f>
        <v>0.01</v>
      </c>
      <c r="D53" s="9">
        <f ca="1">IFERROR(__xludf.DUMMYFUNCTION("""COMPUTED_VALUE"""),-0.1)</f>
        <v>-0.1</v>
      </c>
      <c r="E53" s="9">
        <f ca="1">IFERROR(__xludf.DUMMYFUNCTION("""COMPUTED_VALUE"""),0.69)</f>
        <v>0.69</v>
      </c>
      <c r="F53" s="9">
        <f ca="1">IFERROR(__xludf.DUMMYFUNCTION("""COMPUTED_VALUE"""),1.34)</f>
        <v>1.34</v>
      </c>
      <c r="G53" s="9">
        <f ca="1">IFERROR(__xludf.DUMMYFUNCTION("""COMPUTED_VALUE"""),0.901)</f>
        <v>0.90100000000000002</v>
      </c>
      <c r="H53" s="9">
        <f ca="1">IFERROR(__xludf.DUMMYFUNCTION("""COMPUTED_VALUE"""),0.015)</f>
        <v>1.4999999999999999E-2</v>
      </c>
      <c r="I53" s="9">
        <f ca="1">IFERROR(__xludf.DUMMYFUNCTION("""COMPUTED_VALUE"""),0.013)</f>
        <v>1.2999999999999999E-2</v>
      </c>
      <c r="J53" s="9">
        <f ca="1">IFERROR(__xludf.DUMMYFUNCTION("""COMPUTED_VALUE"""),1.1)</f>
        <v>1.1000000000000001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x14ac:dyDescent="0.2">
      <c r="A54" s="9" t="str">
        <f ca="1">IFERROR(__xludf.DUMMYFUNCTION("""COMPUTED_VALUE"""),"61 - Non-depository Credit Institutions (125)")</f>
        <v>61 - Non-depository Credit Institutions (125)</v>
      </c>
      <c r="B54" s="15" t="str">
        <f t="shared" ca="1" si="0"/>
        <v>60 - Depository Institutions</v>
      </c>
      <c r="C54" s="9">
        <f ca="1">IFERROR(__xludf.DUMMYFUNCTION("""COMPUTED_VALUE"""),0.009)</f>
        <v>8.9999999999999993E-3</v>
      </c>
      <c r="D54" s="9">
        <f ca="1">IFERROR(__xludf.DUMMYFUNCTION("""COMPUTED_VALUE"""),0.083)</f>
        <v>8.3000000000000004E-2</v>
      </c>
      <c r="E54" s="9">
        <f ca="1">IFERROR(__xludf.DUMMYFUNCTION("""COMPUTED_VALUE"""),11.99)</f>
        <v>11.99</v>
      </c>
      <c r="F54" s="9">
        <f ca="1">IFERROR(__xludf.DUMMYFUNCTION("""COMPUTED_VALUE"""),5.05)</f>
        <v>5.05</v>
      </c>
      <c r="G54" s="9">
        <f ca="1">IFERROR(__xludf.DUMMYFUNCTION("""COMPUTED_VALUE"""),0.76)</f>
        <v>0.76</v>
      </c>
      <c r="H54" s="9">
        <f ca="1">IFERROR(__xludf.DUMMYFUNCTION("""COMPUTED_VALUE"""),0.459)</f>
        <v>0.45900000000000002</v>
      </c>
      <c r="I54" s="9">
        <f ca="1">IFERROR(__xludf.DUMMYFUNCTION("""COMPUTED_VALUE"""),0.244)</f>
        <v>0.24399999999999999</v>
      </c>
      <c r="J54" s="9">
        <f ca="1">IFERROR(__xludf.DUMMYFUNCTION("""COMPUTED_VALUE"""),8.46)</f>
        <v>8.4600000000000009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x14ac:dyDescent="0.2">
      <c r="A55" s="9" t="str">
        <f ca="1">IFERROR(__xludf.DUMMYFUNCTION("""COMPUTED_VALUE"""),"62 - Security And Commodity Brokers, Dealers, Exchanges, And Services 
(255)")</f>
        <v>62 - Security And Commodity Brokers, Dealers, Exchanges, And Services _x000D_(255)</v>
      </c>
      <c r="B55" s="15" t="str">
        <f t="shared" ca="1" si="0"/>
        <v>61 - Non-depository Credit Institutions</v>
      </c>
      <c r="C55" s="9">
        <f ca="1">IFERROR(__xludf.DUMMYFUNCTION("""COMPUTED_VALUE"""),0.01)</f>
        <v>0.01</v>
      </c>
      <c r="D55" s="9">
        <f ca="1">IFERROR(__xludf.DUMMYFUNCTION("""COMPUTED_VALUE"""),0.077)</f>
        <v>7.6999999999999999E-2</v>
      </c>
      <c r="E55" s="9">
        <f ca="1">IFERROR(__xludf.DUMMYFUNCTION("""COMPUTED_VALUE"""),1.56)</f>
        <v>1.56</v>
      </c>
      <c r="F55" s="9">
        <f ca="1">IFERROR(__xludf.DUMMYFUNCTION("""COMPUTED_VALUE"""),0.7)</f>
        <v>0.7</v>
      </c>
      <c r="G55" s="9">
        <f ca="1">IFERROR(__xludf.DUMMYFUNCTION("""COMPUTED_VALUE"""),0.518)</f>
        <v>0.51800000000000002</v>
      </c>
      <c r="H55" s="9">
        <f ca="1">IFERROR(__xludf.DUMMYFUNCTION("""COMPUTED_VALUE"""),0.414)</f>
        <v>0.41399999999999998</v>
      </c>
      <c r="I55" s="9">
        <f ca="1">IFERROR(__xludf.DUMMYFUNCTION("""COMPUTED_VALUE"""),0.144)</f>
        <v>0.14399999999999999</v>
      </c>
      <c r="J55" s="9">
        <f ca="1">IFERROR(__xludf.DUMMYFUNCTION("""COMPUTED_VALUE"""),7.4)</f>
        <v>7.4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x14ac:dyDescent="0.2">
      <c r="A56" s="9" t="str">
        <f ca="1">IFERROR(__xludf.DUMMYFUNCTION("""COMPUTED_VALUE"""),"63 - Insurance Carriers (186)")</f>
        <v>63 - Insurance Carriers (186)</v>
      </c>
      <c r="B56" s="15" t="str">
        <f t="shared" ca="1" si="0"/>
        <v>62 - Security And Commodity Brokers, Dealers, Exchanges, And Services _x000D_</v>
      </c>
      <c r="C56" s="9">
        <f ca="1">IFERROR(__xludf.DUMMYFUNCTION("""COMPUTED_VALUE"""),0.028)</f>
        <v>2.8000000000000001E-2</v>
      </c>
      <c r="D56" s="9">
        <f ca="1">IFERROR(__xludf.DUMMYFUNCTION("""COMPUTED_VALUE"""),0.092)</f>
        <v>9.1999999999999998E-2</v>
      </c>
      <c r="E56" s="9">
        <f ca="1">IFERROR(__xludf.DUMMYFUNCTION("""COMPUTED_VALUE"""),1.58)</f>
        <v>1.58</v>
      </c>
      <c r="F56" s="9">
        <f ca="1">IFERROR(__xludf.DUMMYFUNCTION("""COMPUTED_VALUE"""),2.53)</f>
        <v>2.5299999999999998</v>
      </c>
      <c r="G56" s="9">
        <f ca="1">IFERROR(__xludf.DUMMYFUNCTION("""COMPUTED_VALUE"""),0.359)</f>
        <v>0.35899999999999999</v>
      </c>
      <c r="H56" s="9">
        <f ca="1">IFERROR(__xludf.DUMMYFUNCTION("""COMPUTED_VALUE"""),0.211)</f>
        <v>0.21099999999999999</v>
      </c>
      <c r="I56" s="9">
        <f ca="1">IFERROR(__xludf.DUMMYFUNCTION("""COMPUTED_VALUE"""),0.176)</f>
        <v>0.17599999999999999</v>
      </c>
      <c r="J56" s="9">
        <f ca="1">IFERROR(__xludf.DUMMYFUNCTION("""COMPUTED_VALUE"""),0.59)</f>
        <v>0.59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x14ac:dyDescent="0.2">
      <c r="A57" s="9" t="str">
        <f ca="1">IFERROR(__xludf.DUMMYFUNCTION("""COMPUTED_VALUE"""),"64 - Insurance Agents, Brokers, And Service (23)")</f>
        <v>64 - Insurance Agents, Brokers, And Service (23)</v>
      </c>
      <c r="B57" s="15" t="str">
        <f t="shared" ca="1" si="0"/>
        <v>63 - Insurance Carriers</v>
      </c>
      <c r="C57" s="9">
        <f ca="1">IFERROR(__xludf.DUMMYFUNCTION("""COMPUTED_VALUE"""),0.01)</f>
        <v>0.01</v>
      </c>
      <c r="D57" s="9">
        <f ca="1">IFERROR(__xludf.DUMMYFUNCTION("""COMPUTED_VALUE"""),0.063)</f>
        <v>6.3E-2</v>
      </c>
      <c r="E57" s="9">
        <f ca="1">IFERROR(__xludf.DUMMYFUNCTION("""COMPUTED_VALUE"""),26.41)</f>
        <v>26.41</v>
      </c>
      <c r="F57" s="9">
        <f ca="1">IFERROR(__xludf.DUMMYFUNCTION("""COMPUTED_VALUE"""),16.92)</f>
        <v>16.920000000000002</v>
      </c>
      <c r="G57" s="9">
        <f ca="1">IFERROR(__xludf.DUMMYFUNCTION("""COMPUTED_VALUE"""),0.294)</f>
        <v>0.29399999999999998</v>
      </c>
      <c r="H57" s="9">
        <f ca="1">IFERROR(__xludf.DUMMYFUNCTION("""COMPUTED_VALUE"""),0.097)</f>
        <v>9.7000000000000003E-2</v>
      </c>
      <c r="I57" s="9">
        <f ca="1">IFERROR(__xludf.DUMMYFUNCTION("""COMPUTED_VALUE"""),0.063)</f>
        <v>6.3E-2</v>
      </c>
      <c r="J57" s="9">
        <f ca="1">IFERROR(__xludf.DUMMYFUNCTION("""COMPUTED_VALUE"""),2.99)</f>
        <v>2.99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x14ac:dyDescent="0.2">
      <c r="A58" s="9" t="str">
        <f ca="1">IFERROR(__xludf.DUMMYFUNCTION("""COMPUTED_VALUE"""),"65 - Real Estate (247)")</f>
        <v>65 - Real Estate (247)</v>
      </c>
      <c r="B58" s="15" t="str">
        <f t="shared" ca="1" si="0"/>
        <v>64 - Insurance Agents, Brokers, And Service</v>
      </c>
      <c r="C58" s="9">
        <f ca="1">IFERROR(__xludf.DUMMYFUNCTION("""COMPUTED_VALUE"""),0.039)</f>
        <v>3.9E-2</v>
      </c>
      <c r="D58" s="9">
        <f ca="1">IFERROR(__xludf.DUMMYFUNCTION("""COMPUTED_VALUE"""),0.093)</f>
        <v>9.2999999999999999E-2</v>
      </c>
      <c r="E58" s="9">
        <f ca="1">IFERROR(__xludf.DUMMYFUNCTION("""COMPUTED_VALUE"""),0.76)</f>
        <v>0.76</v>
      </c>
      <c r="F58" s="9">
        <f ca="1">IFERROR(__xludf.DUMMYFUNCTION("""COMPUTED_VALUE"""),1.24)</f>
        <v>1.24</v>
      </c>
      <c r="G58" s="9">
        <f ca="1">IFERROR(__xludf.DUMMYFUNCTION("""COMPUTED_VALUE"""),0.375)</f>
        <v>0.375</v>
      </c>
      <c r="H58" s="9">
        <f ca="1">IFERROR(__xludf.DUMMYFUNCTION("""COMPUTED_VALUE"""),0.149)</f>
        <v>0.14899999999999999</v>
      </c>
      <c r="I58" s="9">
        <f ca="1">IFERROR(__xludf.DUMMYFUNCTION("""COMPUTED_VALUE"""),0.079)</f>
        <v>7.9000000000000001E-2</v>
      </c>
      <c r="J58" s="9">
        <f ca="1">IFERROR(__xludf.DUMMYFUNCTION("""COMPUTED_VALUE"""),1.39)</f>
        <v>1.39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x14ac:dyDescent="0.2">
      <c r="A59" s="9" t="str">
        <f ca="1">IFERROR(__xludf.DUMMYFUNCTION("""COMPUTED_VALUE"""),"67 - Holding And Other Investment Offices (849)")</f>
        <v>67 - Holding And Other Investment Offices (849)</v>
      </c>
      <c r="B59" s="15" t="str">
        <f t="shared" ca="1" si="0"/>
        <v>65 - Real Estate</v>
      </c>
      <c r="C59" s="9">
        <f ca="1">IFERROR(__xludf.DUMMYFUNCTION("""COMPUTED_VALUE"""),0.007)</f>
        <v>7.0000000000000001E-3</v>
      </c>
      <c r="D59" s="9">
        <f ca="1">IFERROR(__xludf.DUMMYFUNCTION("""COMPUTED_VALUE"""),0.003)</f>
        <v>3.0000000000000001E-3</v>
      </c>
      <c r="E59" s="9">
        <f ca="1">IFERROR(__xludf.DUMMYFUNCTION("""COMPUTED_VALUE"""),1.62)</f>
        <v>1.62</v>
      </c>
      <c r="F59" s="9">
        <f ca="1">IFERROR(__xludf.DUMMYFUNCTION("""COMPUTED_VALUE"""),1.87)</f>
        <v>1.87</v>
      </c>
      <c r="G59" s="9">
        <f ca="1">IFERROR(__xludf.DUMMYFUNCTION("""COMPUTED_VALUE"""),0.535)</f>
        <v>0.53500000000000003</v>
      </c>
      <c r="H59" s="9">
        <f ca="1">IFERROR(__xludf.DUMMYFUNCTION("""COMPUTED_VALUE"""),0.124)</f>
        <v>0.124</v>
      </c>
      <c r="I59" s="9">
        <f ca="1">IFERROR(__xludf.DUMMYFUNCTION("""COMPUTED_VALUE"""),0.042)</f>
        <v>4.2000000000000003E-2</v>
      </c>
      <c r="J59" s="9">
        <f ca="1">IFERROR(__xludf.DUMMYFUNCTION("""COMPUTED_VALUE"""),0.86)</f>
        <v>0.86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x14ac:dyDescent="0.2">
      <c r="A60" s="9" t="str">
        <f ca="1">IFERROR(__xludf.DUMMYFUNCTION("""COMPUTED_VALUE"""),"70 - Hotels, Rooming Houses, Camps, And Other Lodging Places (69)")</f>
        <v>70 - Hotels, Rooming Houses, Camps, And Other Lodging Places (69)</v>
      </c>
      <c r="B60" s="15" t="str">
        <f t="shared" ca="1" si="0"/>
        <v>67 - Holding And Other Investment Offices</v>
      </c>
      <c r="C60" s="9">
        <f ca="1">IFERROR(__xludf.DUMMYFUNCTION("""COMPUTED_VALUE"""),0.001)</f>
        <v>1E-3</v>
      </c>
      <c r="D60" s="9">
        <f ca="1">IFERROR(__xludf.DUMMYFUNCTION("""COMPUTED_VALUE"""),-0.001)</f>
        <v>-1E-3</v>
      </c>
      <c r="E60" s="9">
        <f ca="1">IFERROR(__xludf.DUMMYFUNCTION("""COMPUTED_VALUE"""),1.22)</f>
        <v>1.22</v>
      </c>
      <c r="F60" s="9">
        <f ca="1">IFERROR(__xludf.DUMMYFUNCTION("""COMPUTED_VALUE"""),0.69)</f>
        <v>0.69</v>
      </c>
      <c r="G60" s="9">
        <f ca="1">IFERROR(__xludf.DUMMYFUNCTION("""COMPUTED_VALUE"""),0.383)</f>
        <v>0.38300000000000001</v>
      </c>
      <c r="H60" s="9">
        <f ca="1">IFERROR(__xludf.DUMMYFUNCTION("""COMPUTED_VALUE"""),0.118)</f>
        <v>0.11799999999999999</v>
      </c>
      <c r="I60" s="9">
        <f ca="1">IFERROR(__xludf.DUMMYFUNCTION("""COMPUTED_VALUE"""),0.042)</f>
        <v>4.2000000000000003E-2</v>
      </c>
      <c r="J60" s="9">
        <f ca="1">IFERROR(__xludf.DUMMYFUNCTION("""COMPUTED_VALUE"""),1.28)</f>
        <v>1.28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x14ac:dyDescent="0.2">
      <c r="A61" s="9" t="str">
        <f ca="1">IFERROR(__xludf.DUMMYFUNCTION("""COMPUTED_VALUE"""),"72 - Personal Services (54)")</f>
        <v>72 - Personal Services (54)</v>
      </c>
      <c r="B61" s="15" t="str">
        <f t="shared" ca="1" si="0"/>
        <v>70 - Hotels, Rooming Houses, Camps, And Other Lodging Places</v>
      </c>
      <c r="C61" s="9">
        <f ca="1">IFERROR(__xludf.DUMMYFUNCTION("""COMPUTED_VALUE"""),-0.045)</f>
        <v>-4.4999999999999998E-2</v>
      </c>
      <c r="D61" s="9">
        <f ca="1">IFERROR(__xludf.DUMMYFUNCTION("""COMPUTED_VALUE"""),-0.246)</f>
        <v>-0.246</v>
      </c>
      <c r="E61" s="9">
        <f ca="1">IFERROR(__xludf.DUMMYFUNCTION("""COMPUTED_VALUE"""),1.19)</f>
        <v>1.19</v>
      </c>
      <c r="F61" s="9">
        <f ca="1">IFERROR(__xludf.DUMMYFUNCTION("""COMPUTED_VALUE"""),1.82)</f>
        <v>1.82</v>
      </c>
      <c r="G61" s="9">
        <f ca="1">IFERROR(__xludf.DUMMYFUNCTION("""COMPUTED_VALUE"""),0.383)</f>
        <v>0.38300000000000001</v>
      </c>
      <c r="H61" s="9">
        <f ca="1">IFERROR(__xludf.DUMMYFUNCTION("""COMPUTED_VALUE"""),-0.115)</f>
        <v>-0.115</v>
      </c>
      <c r="I61" s="9">
        <f ca="1">IFERROR(__xludf.DUMMYFUNCTION("""COMPUTED_VALUE"""),-0.166)</f>
        <v>-0.16600000000000001</v>
      </c>
      <c r="J61" s="9">
        <f ca="1">IFERROR(__xludf.DUMMYFUNCTION("""COMPUTED_VALUE"""),2.6)</f>
        <v>2.6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x14ac:dyDescent="0.2">
      <c r="A62" s="9" t="str">
        <f ca="1">IFERROR(__xludf.DUMMYFUNCTION("""COMPUTED_VALUE"""),"73 - Business Services (1247)")</f>
        <v>73 - Business Services (1247)</v>
      </c>
      <c r="B62" s="15" t="str">
        <f t="shared" ca="1" si="0"/>
        <v>72 - Personal Services</v>
      </c>
      <c r="C62" s="9">
        <f ca="1">IFERROR(__xludf.DUMMYFUNCTION("""COMPUTED_VALUE"""),-0.005)</f>
        <v>-5.0000000000000001E-3</v>
      </c>
      <c r="D62" s="9">
        <f ca="1">IFERROR(__xludf.DUMMYFUNCTION("""COMPUTED_VALUE"""),-1.159)</f>
        <v>-1.159</v>
      </c>
      <c r="E62" s="9">
        <f ca="1">IFERROR(__xludf.DUMMYFUNCTION("""COMPUTED_VALUE"""),0.54)</f>
        <v>0.54</v>
      </c>
      <c r="F62" s="9">
        <f ca="1">IFERROR(__xludf.DUMMYFUNCTION("""COMPUTED_VALUE"""),0.88)</f>
        <v>0.88</v>
      </c>
      <c r="G62" s="9">
        <f ca="1">IFERROR(__xludf.DUMMYFUNCTION("""COMPUTED_VALUE"""),0.568)</f>
        <v>0.56799999999999995</v>
      </c>
      <c r="H62" s="9">
        <f ca="1">IFERROR(__xludf.DUMMYFUNCTION("""COMPUTED_VALUE"""),0.068)</f>
        <v>6.8000000000000005E-2</v>
      </c>
      <c r="I62" s="9">
        <f ca="1">IFERROR(__xludf.DUMMYFUNCTION("""COMPUTED_VALUE"""),-0.026)</f>
        <v>-2.5999999999999999E-2</v>
      </c>
      <c r="J62" s="9">
        <f ca="1">IFERROR(__xludf.DUMMYFUNCTION("""COMPUTED_VALUE"""),0.13)</f>
        <v>0.13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x14ac:dyDescent="0.2">
      <c r="A63" s="9" t="str">
        <f ca="1">IFERROR(__xludf.DUMMYFUNCTION("""COMPUTED_VALUE"""),"75 - Automotive Repair, Services, And Parking (14)")</f>
        <v>75 - Automotive Repair, Services, And Parking (14)</v>
      </c>
      <c r="B63" s="15" t="str">
        <f t="shared" ca="1" si="0"/>
        <v>73 - Business Services</v>
      </c>
      <c r="C63" s="9">
        <f ca="1">IFERROR(__xludf.DUMMYFUNCTION("""COMPUTED_VALUE"""),-0.031)</f>
        <v>-3.1E-2</v>
      </c>
      <c r="D63" s="9">
        <f ca="1">IFERROR(__xludf.DUMMYFUNCTION("""COMPUTED_VALUE"""),-0.13)</f>
        <v>-0.13</v>
      </c>
      <c r="E63" s="9">
        <f ca="1">IFERROR(__xludf.DUMMYFUNCTION("""COMPUTED_VALUE"""),1.28)</f>
        <v>1.28</v>
      </c>
      <c r="F63" s="9">
        <f ca="1">IFERROR(__xludf.DUMMYFUNCTION("""COMPUTED_VALUE"""),1.49)</f>
        <v>1.49</v>
      </c>
      <c r="G63" s="9">
        <f ca="1">IFERROR(__xludf.DUMMYFUNCTION("""COMPUTED_VALUE"""),0.34)</f>
        <v>0.34</v>
      </c>
      <c r="H63" s="9">
        <f ca="1">IFERROR(__xludf.DUMMYFUNCTION("""COMPUTED_VALUE"""),-0.019)</f>
        <v>-1.9E-2</v>
      </c>
      <c r="I63" s="9">
        <f ca="1">IFERROR(__xludf.DUMMYFUNCTION("""COMPUTED_VALUE"""),-0.033)</f>
        <v>-3.3000000000000002E-2</v>
      </c>
      <c r="J63" s="9">
        <f ca="1">IFERROR(__xludf.DUMMYFUNCTION("""COMPUTED_VALUE"""),0.86)</f>
        <v>0.86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x14ac:dyDescent="0.2">
      <c r="A64" s="9" t="str">
        <f ca="1">IFERROR(__xludf.DUMMYFUNCTION("""COMPUTED_VALUE"""),"76 - Miscellaneous Repair Services (8)")</f>
        <v>76 - Miscellaneous Repair Services (8)</v>
      </c>
      <c r="B64" s="15" t="str">
        <f t="shared" ca="1" si="0"/>
        <v>75 - Automotive Repair, Services, And Parking</v>
      </c>
      <c r="C64" s="9">
        <f ca="1">IFERROR(__xludf.DUMMYFUNCTION("""COMPUTED_VALUE"""),-0.034)</f>
        <v>-3.4000000000000002E-2</v>
      </c>
      <c r="D64" s="9">
        <f ca="1">IFERROR(__xludf.DUMMYFUNCTION("""COMPUTED_VALUE"""),-0.621)</f>
        <v>-0.621</v>
      </c>
      <c r="E64" s="9">
        <f ca="1">IFERROR(__xludf.DUMMYFUNCTION("""COMPUTED_VALUE"""),0.48)</f>
        <v>0.48</v>
      </c>
      <c r="F64" s="9">
        <f ca="1">IFERROR(__xludf.DUMMYFUNCTION("""COMPUTED_VALUE"""),0.78)</f>
        <v>0.78</v>
      </c>
      <c r="G64" s="9">
        <f ca="1">IFERROR(__xludf.DUMMYFUNCTION("""COMPUTED_VALUE"""),-1.129)</f>
        <v>-1.129</v>
      </c>
      <c r="H64" s="9">
        <f ca="1">IFERROR(__xludf.DUMMYFUNCTION("""COMPUTED_VALUE"""),-0.166)</f>
        <v>-0.16600000000000001</v>
      </c>
      <c r="I64" s="9">
        <f ca="1">IFERROR(__xludf.DUMMYFUNCTION("""COMPUTED_VALUE"""),-0.127)</f>
        <v>-0.127</v>
      </c>
      <c r="J64" s="9">
        <f ca="1">IFERROR(__xludf.DUMMYFUNCTION("""COMPUTED_VALUE"""),2.04)</f>
        <v>2.04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x14ac:dyDescent="0.2">
      <c r="A65" s="9" t="str">
        <f ca="1">IFERROR(__xludf.DUMMYFUNCTION("""COMPUTED_VALUE"""),"78 - Motion Pictures (61)")</f>
        <v>78 - Motion Pictures (61)</v>
      </c>
      <c r="B65" s="15" t="str">
        <f t="shared" ca="1" si="0"/>
        <v>76 - Miscellaneous Repair Services</v>
      </c>
      <c r="C65" s="9">
        <f ca="1">IFERROR(__xludf.DUMMYFUNCTION("""COMPUTED_VALUE"""),-0.277)</f>
        <v>-0.27700000000000002</v>
      </c>
      <c r="D65" s="9">
        <f ca="1">IFERROR(__xludf.DUMMYFUNCTION("""COMPUTED_VALUE"""),-0.363)</f>
        <v>-0.36299999999999999</v>
      </c>
      <c r="E65" s="9">
        <f ca="1">IFERROR(__xludf.DUMMYFUNCTION("""COMPUTED_VALUE"""),1.07)</f>
        <v>1.07</v>
      </c>
      <c r="F65" s="9">
        <f ca="1">IFERROR(__xludf.DUMMYFUNCTION("""COMPUTED_VALUE"""),1.31)</f>
        <v>1.31</v>
      </c>
      <c r="G65" s="9">
        <f ca="1">IFERROR(__xludf.DUMMYFUNCTION("""COMPUTED_VALUE"""),0.225)</f>
        <v>0.22500000000000001</v>
      </c>
      <c r="H65" s="9">
        <f ca="1">IFERROR(__xludf.DUMMYFUNCTION("""COMPUTED_VALUE"""),-7.889)</f>
        <v>-7.8890000000000002</v>
      </c>
      <c r="I65" s="9">
        <f ca="1">IFERROR(__xludf.DUMMYFUNCTION("""COMPUTED_VALUE"""),-4.978)</f>
        <v>-4.9779999999999998</v>
      </c>
      <c r="J65" s="9">
        <f ca="1">IFERROR(__xludf.DUMMYFUNCTION("""COMPUTED_VALUE"""),1.2)</f>
        <v>1.2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x14ac:dyDescent="0.2">
      <c r="A66" s="9" t="str">
        <f ca="1">IFERROR(__xludf.DUMMYFUNCTION("""COMPUTED_VALUE"""),"79 - Amusement And Recreation Services (85)")</f>
        <v>79 - Amusement And Recreation Services (85)</v>
      </c>
      <c r="B66" s="15" t="str">
        <f t="shared" ca="1" si="0"/>
        <v>78 - Motion Pictures</v>
      </c>
      <c r="C66" s="9">
        <f ca="1">IFERROR(__xludf.DUMMYFUNCTION("""COMPUTED_VALUE"""),-0.298)</f>
        <v>-0.29799999999999999</v>
      </c>
      <c r="D66" s="9">
        <f ca="1">IFERROR(__xludf.DUMMYFUNCTION("""COMPUTED_VALUE"""),-1.217)</f>
        <v>-1.2170000000000001</v>
      </c>
      <c r="E66" s="9">
        <f ca="1">IFERROR(__xludf.DUMMYFUNCTION("""COMPUTED_VALUE"""),0.75)</f>
        <v>0.75</v>
      </c>
      <c r="F66" s="9">
        <f ca="1">IFERROR(__xludf.DUMMYFUNCTION("""COMPUTED_VALUE"""),0.74)</f>
        <v>0.74</v>
      </c>
      <c r="G66" s="9">
        <f ca="1">IFERROR(__xludf.DUMMYFUNCTION("""COMPUTED_VALUE"""),0.426)</f>
        <v>0.42599999999999999</v>
      </c>
      <c r="H66" s="9">
        <f ca="1">IFERROR(__xludf.DUMMYFUNCTION("""COMPUTED_VALUE"""),-1.162)</f>
        <v>-1.1619999999999999</v>
      </c>
      <c r="I66" s="9">
        <f ca="1">IFERROR(__xludf.DUMMYFUNCTION("""COMPUTED_VALUE"""),-0.891)</f>
        <v>-0.89100000000000001</v>
      </c>
      <c r="J66" s="9">
        <f ca="1">IFERROR(__xludf.DUMMYFUNCTION("""COMPUTED_VALUE"""),0.48)</f>
        <v>0.48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x14ac:dyDescent="0.2">
      <c r="A67" s="9" t="str">
        <f ca="1">IFERROR(__xludf.DUMMYFUNCTION("""COMPUTED_VALUE"""),"80 - Health Services (137)")</f>
        <v>80 - Health Services (137)</v>
      </c>
      <c r="B67" s="15" t="str">
        <f t="shared" ca="1" si="0"/>
        <v>79 - Amusement And Recreation Services</v>
      </c>
      <c r="C67" s="9">
        <f ca="1">IFERROR(__xludf.DUMMYFUNCTION("""COMPUTED_VALUE"""),-0.082)</f>
        <v>-8.2000000000000003E-2</v>
      </c>
      <c r="D67" s="9">
        <f ca="1">IFERROR(__xludf.DUMMYFUNCTION("""COMPUTED_VALUE"""),-0.754)</f>
        <v>-0.754</v>
      </c>
      <c r="E67" s="9">
        <f ca="1">IFERROR(__xludf.DUMMYFUNCTION("""COMPUTED_VALUE"""),1.19)</f>
        <v>1.19</v>
      </c>
      <c r="F67" s="9">
        <f ca="1">IFERROR(__xludf.DUMMYFUNCTION("""COMPUTED_VALUE"""),1.33)</f>
        <v>1.33</v>
      </c>
      <c r="G67" s="9">
        <f ca="1">IFERROR(__xludf.DUMMYFUNCTION("""COMPUTED_VALUE"""),0.337)</f>
        <v>0.33700000000000002</v>
      </c>
      <c r="H67" s="9">
        <f ca="1">IFERROR(__xludf.DUMMYFUNCTION("""COMPUTED_VALUE"""),-0.208)</f>
        <v>-0.20799999999999999</v>
      </c>
      <c r="I67" s="9">
        <f ca="1">IFERROR(__xludf.DUMMYFUNCTION("""COMPUTED_VALUE"""),-0.205)</f>
        <v>-0.20499999999999999</v>
      </c>
      <c r="J67" s="9">
        <f ca="1">IFERROR(__xludf.DUMMYFUNCTION("""COMPUTED_VALUE"""),0.27)</f>
        <v>0.27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x14ac:dyDescent="0.2">
      <c r="A68" s="9" t="str">
        <f ca="1">IFERROR(__xludf.DUMMYFUNCTION("""COMPUTED_VALUE"""),"81 - Legal Services (2)")</f>
        <v>81 - Legal Services (2)</v>
      </c>
      <c r="B68" s="15" t="str">
        <f t="shared" ca="1" si="0"/>
        <v>80 - Health Services</v>
      </c>
      <c r="C68" s="9">
        <f ca="1">IFERROR(__xludf.DUMMYFUNCTION("""COMPUTED_VALUE"""),-0.022)</f>
        <v>-2.1999999999999999E-2</v>
      </c>
      <c r="D68" s="9">
        <f ca="1">IFERROR(__xludf.DUMMYFUNCTION("""COMPUTED_VALUE"""),-0.159)</f>
        <v>-0.159</v>
      </c>
      <c r="E68" s="9">
        <f ca="1">IFERROR(__xludf.DUMMYFUNCTION("""COMPUTED_VALUE"""),1.25)</f>
        <v>1.25</v>
      </c>
      <c r="F68" s="9">
        <f ca="1">IFERROR(__xludf.DUMMYFUNCTION("""COMPUTED_VALUE"""),1.66)</f>
        <v>1.66</v>
      </c>
      <c r="G68" s="9">
        <f ca="1">IFERROR(__xludf.DUMMYFUNCTION("""COMPUTED_VALUE"""),0.271)</f>
        <v>0.27100000000000002</v>
      </c>
      <c r="H68" s="9">
        <f ca="1">IFERROR(__xludf.DUMMYFUNCTION("""COMPUTED_VALUE"""),-0.003)</f>
        <v>-3.0000000000000001E-3</v>
      </c>
      <c r="I68" s="9">
        <f ca="1">IFERROR(__xludf.DUMMYFUNCTION("""COMPUTED_VALUE"""),-0.061)</f>
        <v>-6.0999999999999999E-2</v>
      </c>
      <c r="J68" s="9">
        <f ca="1">IFERROR(__xludf.DUMMYFUNCTION("""COMPUTED_VALUE"""),0.74)</f>
        <v>0.74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x14ac:dyDescent="0.2">
      <c r="A69" s="9" t="str">
        <f ca="1">IFERROR(__xludf.DUMMYFUNCTION("""COMPUTED_VALUE"""),"82 - Educational Services (57)")</f>
        <v>82 - Educational Services (57)</v>
      </c>
      <c r="B69" s="15" t="str">
        <f t="shared" ca="1" si="0"/>
        <v>81 - Legal Services</v>
      </c>
      <c r="C69" s="9">
        <f ca="1">IFERROR(__xludf.DUMMYFUNCTION("""COMPUTED_VALUE"""),0.045)</f>
        <v>4.4999999999999998E-2</v>
      </c>
      <c r="D69" s="9">
        <f ca="1">IFERROR(__xludf.DUMMYFUNCTION("""COMPUTED_VALUE"""),0.12)</f>
        <v>0.12</v>
      </c>
      <c r="E69" s="9">
        <f ca="1">IFERROR(__xludf.DUMMYFUNCTION("""COMPUTED_VALUE"""),0.79)</f>
        <v>0.79</v>
      </c>
      <c r="F69" s="9">
        <f ca="1">IFERROR(__xludf.DUMMYFUNCTION("""COMPUTED_VALUE"""),1.1)</f>
        <v>1.1000000000000001</v>
      </c>
      <c r="G69" s="9">
        <f ca="1">IFERROR(__xludf.DUMMYFUNCTION("""COMPUTED_VALUE"""),0.538)</f>
        <v>0.53800000000000003</v>
      </c>
      <c r="H69" s="9">
        <f ca="1">IFERROR(__xludf.DUMMYFUNCTION("""COMPUTED_VALUE"""),0.069)</f>
        <v>6.9000000000000006E-2</v>
      </c>
      <c r="I69" s="9">
        <f ca="1">IFERROR(__xludf.DUMMYFUNCTION("""COMPUTED_VALUE"""),0.048)</f>
        <v>4.8000000000000001E-2</v>
      </c>
      <c r="J69" s="9">
        <f ca="1">IFERROR(__xludf.DUMMYFUNCTION("""COMPUTED_VALUE"""),1.67)</f>
        <v>1.67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x14ac:dyDescent="0.2">
      <c r="A70" s="9" t="str">
        <f ca="1">IFERROR(__xludf.DUMMYFUNCTION("""COMPUTED_VALUE"""),"83 - Social Services (7)")</f>
        <v>83 - Social Services (7)</v>
      </c>
      <c r="B70" s="15" t="str">
        <f t="shared" ca="1" si="0"/>
        <v>82 - Educational Services</v>
      </c>
      <c r="C70" s="9">
        <f ca="1">IFERROR(__xludf.DUMMYFUNCTION("""COMPUTED_VALUE"""),0.017)</f>
        <v>1.7000000000000001E-2</v>
      </c>
      <c r="D70" s="9">
        <f ca="1">IFERROR(__xludf.DUMMYFUNCTION("""COMPUTED_VALUE"""),0.026)</f>
        <v>2.5999999999999999E-2</v>
      </c>
      <c r="E70" s="9">
        <f ca="1">IFERROR(__xludf.DUMMYFUNCTION("""COMPUTED_VALUE"""),1.23)</f>
        <v>1.23</v>
      </c>
      <c r="F70" s="9">
        <f ca="1">IFERROR(__xludf.DUMMYFUNCTION("""COMPUTED_VALUE"""),1.85)</f>
        <v>1.85</v>
      </c>
      <c r="G70" s="9">
        <f ca="1">IFERROR(__xludf.DUMMYFUNCTION("""COMPUTED_VALUE"""),0.201)</f>
        <v>0.20100000000000001</v>
      </c>
      <c r="H70" s="9">
        <f ca="1">IFERROR(__xludf.DUMMYFUNCTION("""COMPUTED_VALUE"""),0.05)</f>
        <v>0.05</v>
      </c>
      <c r="I70" s="9">
        <f ca="1">IFERROR(__xludf.DUMMYFUNCTION("""COMPUTED_VALUE"""),0.036)</f>
        <v>3.5999999999999997E-2</v>
      </c>
      <c r="J70" s="9">
        <f ca="1">IFERROR(__xludf.DUMMYFUNCTION("""COMPUTED_VALUE"""),0.71)</f>
        <v>0.71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x14ac:dyDescent="0.2">
      <c r="A71" s="9" t="str">
        <f ca="1">IFERROR(__xludf.DUMMYFUNCTION("""COMPUTED_VALUE"""),"87 - Engineering, Accounting, Research, Management, And Related Services 
(189)")</f>
        <v>87 - Engineering, Accounting, Research, Management, And Related Services _x000D_(189)</v>
      </c>
      <c r="B71" s="15" t="str">
        <f t="shared" ca="1" si="0"/>
        <v>83 - Social Services</v>
      </c>
      <c r="C71" s="9">
        <f ca="1">IFERROR(__xludf.DUMMYFUNCTION("""COMPUTED_VALUE"""),-0.088)</f>
        <v>-8.7999999999999995E-2</v>
      </c>
      <c r="D71" s="9">
        <f ca="1">IFERROR(__xludf.DUMMYFUNCTION("""COMPUTED_VALUE"""),-0.099)</f>
        <v>-9.9000000000000005E-2</v>
      </c>
      <c r="E71" s="9">
        <f ca="1">IFERROR(__xludf.DUMMYFUNCTION("""COMPUTED_VALUE"""),0.57)</f>
        <v>0.56999999999999995</v>
      </c>
      <c r="F71" s="9">
        <f ca="1">IFERROR(__xludf.DUMMYFUNCTION("""COMPUTED_VALUE"""),0.62)</f>
        <v>0.62</v>
      </c>
      <c r="G71" s="9">
        <f ca="1">IFERROR(__xludf.DUMMYFUNCTION("""COMPUTED_VALUE"""),0.315)</f>
        <v>0.315</v>
      </c>
      <c r="H71" s="9">
        <f ca="1">IFERROR(__xludf.DUMMYFUNCTION("""COMPUTED_VALUE"""),0.011)</f>
        <v>1.0999999999999999E-2</v>
      </c>
      <c r="I71" s="9">
        <f ca="1">IFERROR(__xludf.DUMMYFUNCTION("""COMPUTED_VALUE"""),-3.814)</f>
        <v>-3.8140000000000001</v>
      </c>
      <c r="J71" s="9">
        <f ca="1">IFERROR(__xludf.DUMMYFUNCTION("""COMPUTED_VALUE"""),1.1)</f>
        <v>1.1000000000000001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x14ac:dyDescent="0.2">
      <c r="A72" s="9" t="str">
        <f ca="1">IFERROR(__xludf.DUMMYFUNCTION("""COMPUTED_VALUE"""),"89 - Miscellaneous Services (3)")</f>
        <v>89 - Miscellaneous Services (3)</v>
      </c>
      <c r="B72" s="15" t="str">
        <f t="shared" ca="1" si="0"/>
        <v>87 - Engineering, Accounting, Research, Management, And Related Services _x000D_</v>
      </c>
      <c r="C72" s="9">
        <f ca="1">IFERROR(__xludf.DUMMYFUNCTION("""COMPUTED_VALUE"""),-0.026)</f>
        <v>-2.5999999999999999E-2</v>
      </c>
      <c r="D72" s="9">
        <f ca="1">IFERROR(__xludf.DUMMYFUNCTION("""COMPUTED_VALUE"""),-0.125)</f>
        <v>-0.125</v>
      </c>
      <c r="E72" s="9">
        <f ca="1">IFERROR(__xludf.DUMMYFUNCTION("""COMPUTED_VALUE"""),1.12)</f>
        <v>1.1200000000000001</v>
      </c>
      <c r="F72" s="9">
        <f ca="1">IFERROR(__xludf.DUMMYFUNCTION("""COMPUTED_VALUE"""),1.23)</f>
        <v>1.23</v>
      </c>
      <c r="G72" s="9">
        <f ca="1">IFERROR(__xludf.DUMMYFUNCTION("""COMPUTED_VALUE"""),0.189)</f>
        <v>0.189</v>
      </c>
      <c r="H72" s="9">
        <f ca="1">IFERROR(__xludf.DUMMYFUNCTION("""COMPUTED_VALUE"""),0.02)</f>
        <v>0.02</v>
      </c>
      <c r="I72" s="9">
        <f ca="1">IFERROR(__xludf.DUMMYFUNCTION("""COMPUTED_VALUE"""),0.008)</f>
        <v>8.0000000000000002E-3</v>
      </c>
      <c r="J72" s="9">
        <f ca="1">IFERROR(__xludf.DUMMYFUNCTION("""COMPUTED_VALUE"""),0.86)</f>
        <v>0.86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x14ac:dyDescent="0.2">
      <c r="A73" s="9" t="str">
        <f ca="1">IFERROR(__xludf.DUMMYFUNCTION("""COMPUTED_VALUE"""),"All Industries")</f>
        <v>All Industries</v>
      </c>
      <c r="B73" s="15" t="str">
        <f t="shared" ca="1" si="0"/>
        <v>89 - Miscellaneous Services</v>
      </c>
      <c r="C73" s="9">
        <f ca="1">IFERROR(__xludf.DUMMYFUNCTION("""COMPUTED_VALUE"""),-0.01)</f>
        <v>-0.01</v>
      </c>
      <c r="D73" s="9">
        <f ca="1">IFERROR(__xludf.DUMMYFUNCTION("""COMPUTED_VALUE"""),-0.035)</f>
        <v>-3.5000000000000003E-2</v>
      </c>
      <c r="E73" s="9">
        <f ca="1">IFERROR(__xludf.DUMMYFUNCTION("""COMPUTED_VALUE"""),0.96)</f>
        <v>0.96</v>
      </c>
      <c r="F73" s="9">
        <f ca="1">IFERROR(__xludf.DUMMYFUNCTION("""COMPUTED_VALUE"""),1.52)</f>
        <v>1.52</v>
      </c>
      <c r="G73" s="9">
        <f ca="1">IFERROR(__xludf.DUMMYFUNCTION("""COMPUTED_VALUE"""),0.415)</f>
        <v>0.41499999999999998</v>
      </c>
      <c r="H73" s="9">
        <f ca="1">IFERROR(__xludf.DUMMYFUNCTION("""COMPUTED_VALUE"""),0.015)</f>
        <v>1.4999999999999999E-2</v>
      </c>
      <c r="I73" s="9">
        <f ca="1">IFERROR(__xludf.DUMMYFUNCTION("""COMPUTED_VALUE"""),-0.014)</f>
        <v>-1.4E-2</v>
      </c>
      <c r="J73" s="9">
        <f ca="1">IFERROR(__xludf.DUMMYFUNCTION("""COMPUTED_VALUE"""),3.2)</f>
        <v>3.2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x14ac:dyDescent="0.2">
      <c r="A74" s="9" t="str">
        <f ca="1">IFERROR(__xludf.DUMMYFUNCTION("""COMPUTED_VALUE"""),"08 - Forestry (2)")</f>
        <v>08 - Forestry (2)</v>
      </c>
      <c r="B74" s="15" t="e">
        <f t="shared" ca="1" si="0"/>
        <v>#VALUE!</v>
      </c>
      <c r="C74" s="9">
        <f ca="1">IFERROR(__xludf.DUMMYFUNCTION("""COMPUTED_VALUE"""),-0.001)</f>
        <v>-1E-3</v>
      </c>
      <c r="D74" s="9">
        <f ca="1">IFERROR(__xludf.DUMMYFUNCTION("""COMPUTED_VALUE"""),-0.021)</f>
        <v>-2.1000000000000001E-2</v>
      </c>
      <c r="E74" s="9">
        <f ca="1">IFERROR(__xludf.DUMMYFUNCTION("""COMPUTED_VALUE"""),1.25)</f>
        <v>1.25</v>
      </c>
      <c r="F74" s="9">
        <f ca="1">IFERROR(__xludf.DUMMYFUNCTION("""COMPUTED_VALUE"""),1.94)</f>
        <v>1.94</v>
      </c>
      <c r="G74" s="9">
        <f ca="1">IFERROR(__xludf.DUMMYFUNCTION("""COMPUTED_VALUE"""),0.412)</f>
        <v>0.41199999999999998</v>
      </c>
      <c r="H74" s="9">
        <f ca="1">IFERROR(__xludf.DUMMYFUNCTION("""COMPUTED_VALUE"""),0.048)</f>
        <v>4.8000000000000001E-2</v>
      </c>
      <c r="I74" s="9">
        <f ca="1">IFERROR(__xludf.DUMMYFUNCTION("""COMPUTED_VALUE"""),0.015)</f>
        <v>1.4999999999999999E-2</v>
      </c>
      <c r="J74" s="9">
        <f ca="1">IFERROR(__xludf.DUMMYFUNCTION("""COMPUTED_VALUE"""),1.07)</f>
        <v>1.07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x14ac:dyDescent="0.2">
      <c r="A75" s="9" t="str">
        <f ca="1">IFERROR(__xludf.DUMMYFUNCTION("""COMPUTED_VALUE"""),"41 - Local And Suburban Transit And Interurban Highway Passenger 
Transportation (2)")</f>
        <v>41 - Local And Suburban Transit And Interurban Highway Passenger _x000D_Transportation (2)</v>
      </c>
      <c r="B75" s="15" t="str">
        <f t="shared" ca="1" si="0"/>
        <v>08 - Forestry</v>
      </c>
      <c r="C75" s="9">
        <f ca="1">IFERROR(__xludf.DUMMYFUNCTION("""COMPUTED_VALUE"""),-0.001)</f>
        <v>-1E-3</v>
      </c>
      <c r="D75" s="9">
        <f ca="1">IFERROR(__xludf.DUMMYFUNCTION("""COMPUTED_VALUE"""),-0.041)</f>
        <v>-4.1000000000000002E-2</v>
      </c>
      <c r="E75" s="9">
        <f ca="1">IFERROR(__xludf.DUMMYFUNCTION("""COMPUTED_VALUE"""),1.09)</f>
        <v>1.0900000000000001</v>
      </c>
      <c r="F75" s="9">
        <f ca="1">IFERROR(__xludf.DUMMYFUNCTION("""COMPUTED_VALUE"""),1.53)</f>
        <v>1.53</v>
      </c>
      <c r="G75" s="9">
        <f ca="1">IFERROR(__xludf.DUMMYFUNCTION("""COMPUTED_VALUE"""),0.403)</f>
        <v>0.40300000000000002</v>
      </c>
      <c r="H75" s="9">
        <f ca="1">IFERROR(__xludf.DUMMYFUNCTION("""COMPUTED_VALUE"""),0.055)</f>
        <v>5.5E-2</v>
      </c>
      <c r="I75" s="9">
        <f ca="1">IFERROR(__xludf.DUMMYFUNCTION("""COMPUTED_VALUE"""),0.019)</f>
        <v>1.9E-2</v>
      </c>
      <c r="J75" s="9">
        <f ca="1">IFERROR(__xludf.DUMMYFUNCTION("""COMPUTED_VALUE"""),0.67)</f>
        <v>0.67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x14ac:dyDescent="0.2">
      <c r="A76" s="9" t="str">
        <f ca="1">IFERROR(__xludf.DUMMYFUNCTION("""COMPUTED_VALUE"""),"99 - Nonclassifiable Establishments (9)")</f>
        <v>99 - Nonclassifiable Establishments (9)</v>
      </c>
      <c r="B76" s="15" t="str">
        <f t="shared" ca="1" si="0"/>
        <v>41 - Local And Suburban Transit And Interurban Highway Passenger _x000D_Transportation</v>
      </c>
      <c r="C76" s="9">
        <f ca="1">IFERROR(__xludf.DUMMYFUNCTION("""COMPUTED_VALUE"""),0.031)</f>
        <v>3.1E-2</v>
      </c>
      <c r="D76" s="9">
        <f ca="1">IFERROR(__xludf.DUMMYFUNCTION("""COMPUTED_VALUE"""),0.06)</f>
        <v>0.06</v>
      </c>
      <c r="E76" s="9"/>
      <c r="F76" s="9">
        <f ca="1">IFERROR(__xludf.DUMMYFUNCTION("""COMPUTED_VALUE"""),1.08)</f>
        <v>1.08</v>
      </c>
      <c r="G76" s="9">
        <f ca="1">IFERROR(__xludf.DUMMYFUNCTION("""COMPUTED_VALUE"""),-0.086)</f>
        <v>-8.5999999999999993E-2</v>
      </c>
      <c r="H76" s="9">
        <f ca="1">IFERROR(__xludf.DUMMYFUNCTION("""COMPUTED_VALUE"""),0.148)</f>
        <v>0.14799999999999999</v>
      </c>
      <c r="I76" s="9">
        <f ca="1">IFERROR(__xludf.DUMMYFUNCTION("""COMPUTED_VALUE"""),0.14)</f>
        <v>0.14000000000000001</v>
      </c>
      <c r="J76" s="9">
        <f ca="1">IFERROR(__xludf.DUMMYFUNCTION("""COMPUTED_VALUE"""),0.51)</f>
        <v>0.51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x14ac:dyDescent="0.2">
      <c r="A77" s="9"/>
      <c r="B77" s="15" t="str">
        <f t="shared" ca="1" si="0"/>
        <v>99 - Nonclassifiable Establishments</v>
      </c>
      <c r="C77" s="9">
        <f ca="1">IFERROR(__xludf.DUMMYFUNCTION("""COMPUTED_VALUE"""),-15.544)</f>
        <v>-15.544</v>
      </c>
      <c r="D77" s="9">
        <f ca="1">IFERROR(__xludf.DUMMYFUNCTION("""COMPUTED_VALUE"""),0)</f>
        <v>0</v>
      </c>
      <c r="E77" s="9"/>
      <c r="F77" s="9">
        <f ca="1">IFERROR(__xludf.DUMMYFUNCTION("""COMPUTED_VALUE"""),0)</f>
        <v>0</v>
      </c>
      <c r="G77" s="9">
        <f ca="1">IFERROR(__xludf.DUMMYFUNCTION("""COMPUTED_VALUE"""),-0.086)</f>
        <v>-8.5999999999999993E-2</v>
      </c>
      <c r="H77" s="9">
        <f ca="1">IFERROR(__xludf.DUMMYFUNCTION("""COMPUTED_VALUE"""),-1.318)</f>
        <v>-1.3180000000000001</v>
      </c>
      <c r="I77" s="9">
        <f ca="1">IFERROR(__xludf.DUMMYFUNCTION("""COMPUTED_VALUE"""),-2.647)</f>
        <v>-2.6469999999999998</v>
      </c>
      <c r="J77" s="9">
        <f ca="1">IFERROR(__xludf.DUMMYFUNCTION("""COMPUTED_VALUE"""),0)</f>
        <v>0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spans="1:28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spans="1:28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spans="1:28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spans="1:28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spans="1:28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spans="1:28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spans="1:28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 spans="1:28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 spans="1:28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 spans="1:28" x14ac:dyDescent="0.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Holdings</vt:lpstr>
      <vt:lpstr>Sector Metrics</vt:lpstr>
      <vt:lpstr>Industry Metrics</vt:lpstr>
      <vt:lpstr>Industry Metrics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2021-07-16T23:03:10Z</dcterms:created>
  <dcterms:modified xsi:type="dcterms:W3CDTF">2022-01-14T02:55:02Z</dcterms:modified>
</cp:coreProperties>
</file>