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106"/>
  <workbookPr/>
  <mc:AlternateContent xmlns:mc="http://schemas.openxmlformats.org/markup-compatibility/2006">
    <mc:Choice Requires="x15">
      <x15ac:absPath xmlns:x15ac="http://schemas.microsoft.com/office/spreadsheetml/2010/11/ac" url="/Users/deepak/Desktop/Markets/Options Strategy/Option Income Analyzer/"/>
    </mc:Choice>
  </mc:AlternateContent>
  <bookViews>
    <workbookView xWindow="12400" yWindow="540" windowWidth="28560" windowHeight="17380" tabRatio="500"/>
  </bookViews>
  <sheets>
    <sheet name="Holdings" sheetId="1" r:id="rId1"/>
    <sheet name="Raw IBKR Pull" sheetId="8" r:id="rId2"/>
    <sheet name="Sector Metrics" sheetId="5" state="hidden" r:id="rId3"/>
    <sheet name="Industry Metrics" sheetId="6" state="hidden" r:id="rId4"/>
    <sheet name="Industry Metrics 2" sheetId="7" state="hidden" r:id="rId5"/>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77" i="7" l="1"/>
  <c r="I77" i="7"/>
  <c r="H77" i="7"/>
  <c r="G77" i="7"/>
  <c r="F77" i="7"/>
  <c r="D77" i="7"/>
  <c r="C77" i="7"/>
  <c r="A76" i="7"/>
  <c r="B77" i="7"/>
  <c r="J76" i="7"/>
  <c r="I76" i="7"/>
  <c r="H76" i="7"/>
  <c r="G76" i="7"/>
  <c r="F76" i="7"/>
  <c r="D76" i="7"/>
  <c r="C76" i="7"/>
  <c r="A75" i="7"/>
  <c r="B76" i="7"/>
  <c r="J75" i="7"/>
  <c r="I75" i="7"/>
  <c r="H75" i="7"/>
  <c r="G75" i="7"/>
  <c r="F75" i="7"/>
  <c r="E75" i="7"/>
  <c r="D75" i="7"/>
  <c r="C75" i="7"/>
  <c r="A74" i="7"/>
  <c r="B75" i="7"/>
  <c r="J74" i="7"/>
  <c r="I74" i="7"/>
  <c r="H74" i="7"/>
  <c r="G74" i="7"/>
  <c r="F74" i="7"/>
  <c r="E74" i="7"/>
  <c r="D74" i="7"/>
  <c r="C74" i="7"/>
  <c r="A73" i="7"/>
  <c r="B74" i="7"/>
  <c r="J73" i="7"/>
  <c r="I73" i="7"/>
  <c r="H73" i="7"/>
  <c r="G73" i="7"/>
  <c r="F73" i="7"/>
  <c r="E73" i="7"/>
  <c r="D73" i="7"/>
  <c r="C73" i="7"/>
  <c r="A72" i="7"/>
  <c r="B73" i="7"/>
  <c r="J72" i="7"/>
  <c r="I72" i="7"/>
  <c r="H72" i="7"/>
  <c r="G72" i="7"/>
  <c r="F72" i="7"/>
  <c r="E72" i="7"/>
  <c r="D72" i="7"/>
  <c r="C72" i="7"/>
  <c r="A71" i="7"/>
  <c r="B72" i="7"/>
  <c r="J71" i="7"/>
  <c r="I71" i="7"/>
  <c r="H71" i="7"/>
  <c r="G71" i="7"/>
  <c r="F71" i="7"/>
  <c r="E71" i="7"/>
  <c r="D71" i="7"/>
  <c r="C71" i="7"/>
  <c r="A70" i="7"/>
  <c r="B71" i="7"/>
  <c r="J70" i="7"/>
  <c r="I70" i="7"/>
  <c r="H70" i="7"/>
  <c r="G70" i="7"/>
  <c r="F70" i="7"/>
  <c r="E70" i="7"/>
  <c r="D70" i="7"/>
  <c r="C70" i="7"/>
  <c r="A69" i="7"/>
  <c r="B70" i="7"/>
  <c r="J69" i="7"/>
  <c r="I69" i="7"/>
  <c r="H69" i="7"/>
  <c r="G69" i="7"/>
  <c r="F69" i="7"/>
  <c r="E69" i="7"/>
  <c r="D69" i="7"/>
  <c r="C69" i="7"/>
  <c r="A68" i="7"/>
  <c r="B69" i="7"/>
  <c r="J68" i="7"/>
  <c r="I68" i="7"/>
  <c r="H68" i="7"/>
  <c r="G68" i="7"/>
  <c r="F68" i="7"/>
  <c r="E68" i="7"/>
  <c r="D68" i="7"/>
  <c r="C68" i="7"/>
  <c r="A67" i="7"/>
  <c r="B68" i="7"/>
  <c r="J67" i="7"/>
  <c r="I67" i="7"/>
  <c r="H67" i="7"/>
  <c r="G67" i="7"/>
  <c r="F67" i="7"/>
  <c r="E67" i="7"/>
  <c r="D67" i="7"/>
  <c r="C67" i="7"/>
  <c r="A66" i="7"/>
  <c r="B67" i="7"/>
  <c r="J66" i="7"/>
  <c r="I66" i="7"/>
  <c r="H66" i="7"/>
  <c r="G66" i="7"/>
  <c r="F66" i="7"/>
  <c r="E66" i="7"/>
  <c r="D66" i="7"/>
  <c r="C66" i="7"/>
  <c r="A65" i="7"/>
  <c r="B66" i="7"/>
  <c r="J65" i="7"/>
  <c r="I65" i="7"/>
  <c r="H65" i="7"/>
  <c r="G65" i="7"/>
  <c r="F65" i="7"/>
  <c r="E65" i="7"/>
  <c r="D65" i="7"/>
  <c r="C65" i="7"/>
  <c r="A64" i="7"/>
  <c r="B65" i="7"/>
  <c r="J64" i="7"/>
  <c r="I64" i="7"/>
  <c r="H64" i="7"/>
  <c r="G64" i="7"/>
  <c r="F64" i="7"/>
  <c r="E64" i="7"/>
  <c r="D64" i="7"/>
  <c r="C64" i="7"/>
  <c r="A63" i="7"/>
  <c r="B64" i="7"/>
  <c r="J63" i="7"/>
  <c r="I63" i="7"/>
  <c r="H63" i="7"/>
  <c r="G63" i="7"/>
  <c r="F63" i="7"/>
  <c r="E63" i="7"/>
  <c r="D63" i="7"/>
  <c r="C63" i="7"/>
  <c r="A62" i="7"/>
  <c r="B63" i="7"/>
  <c r="J62" i="7"/>
  <c r="I62" i="7"/>
  <c r="H62" i="7"/>
  <c r="G62" i="7"/>
  <c r="F62" i="7"/>
  <c r="E62" i="7"/>
  <c r="D62" i="7"/>
  <c r="C62" i="7"/>
  <c r="A61" i="7"/>
  <c r="B62" i="7"/>
  <c r="J61" i="7"/>
  <c r="I61" i="7"/>
  <c r="H61" i="7"/>
  <c r="G61" i="7"/>
  <c r="F61" i="7"/>
  <c r="E61" i="7"/>
  <c r="D61" i="7"/>
  <c r="C61" i="7"/>
  <c r="A60" i="7"/>
  <c r="B61" i="7"/>
  <c r="J60" i="7"/>
  <c r="I60" i="7"/>
  <c r="H60" i="7"/>
  <c r="G60" i="7"/>
  <c r="F60" i="7"/>
  <c r="E60" i="7"/>
  <c r="D60" i="7"/>
  <c r="C60" i="7"/>
  <c r="A59" i="7"/>
  <c r="B60" i="7"/>
  <c r="J59" i="7"/>
  <c r="I59" i="7"/>
  <c r="H59" i="7"/>
  <c r="G59" i="7"/>
  <c r="F59" i="7"/>
  <c r="E59" i="7"/>
  <c r="D59" i="7"/>
  <c r="C59" i="7"/>
  <c r="A58" i="7"/>
  <c r="B59" i="7"/>
  <c r="J58" i="7"/>
  <c r="I58" i="7"/>
  <c r="H58" i="7"/>
  <c r="G58" i="7"/>
  <c r="F58" i="7"/>
  <c r="E58" i="7"/>
  <c r="D58" i="7"/>
  <c r="C58" i="7"/>
  <c r="A57" i="7"/>
  <c r="B58" i="7"/>
  <c r="J57" i="7"/>
  <c r="I57" i="7"/>
  <c r="H57" i="7"/>
  <c r="G57" i="7"/>
  <c r="F57" i="7"/>
  <c r="E57" i="7"/>
  <c r="D57" i="7"/>
  <c r="C57" i="7"/>
  <c r="A56" i="7"/>
  <c r="B57" i="7"/>
  <c r="J56" i="7"/>
  <c r="I56" i="7"/>
  <c r="H56" i="7"/>
  <c r="G56" i="7"/>
  <c r="F56" i="7"/>
  <c r="E56" i="7"/>
  <c r="D56" i="7"/>
  <c r="C56" i="7"/>
  <c r="A55" i="7"/>
  <c r="B56" i="7"/>
  <c r="J55" i="7"/>
  <c r="I55" i="7"/>
  <c r="H55" i="7"/>
  <c r="G55" i="7"/>
  <c r="F55" i="7"/>
  <c r="E55" i="7"/>
  <c r="D55" i="7"/>
  <c r="C55" i="7"/>
  <c r="A54" i="7"/>
  <c r="B55" i="7"/>
  <c r="J54" i="7"/>
  <c r="I54" i="7"/>
  <c r="H54" i="7"/>
  <c r="G54" i="7"/>
  <c r="F54" i="7"/>
  <c r="E54" i="7"/>
  <c r="D54" i="7"/>
  <c r="C54" i="7"/>
  <c r="A53" i="7"/>
  <c r="B54" i="7"/>
  <c r="J53" i="7"/>
  <c r="I53" i="7"/>
  <c r="H53" i="7"/>
  <c r="G53" i="7"/>
  <c r="F53" i="7"/>
  <c r="E53" i="7"/>
  <c r="D53" i="7"/>
  <c r="C53" i="7"/>
  <c r="A52" i="7"/>
  <c r="B53" i="7"/>
  <c r="J52" i="7"/>
  <c r="I52" i="7"/>
  <c r="H52" i="7"/>
  <c r="G52" i="7"/>
  <c r="F52" i="7"/>
  <c r="E52" i="7"/>
  <c r="D52" i="7"/>
  <c r="C52" i="7"/>
  <c r="A51" i="7"/>
  <c r="B52" i="7"/>
  <c r="J51" i="7"/>
  <c r="I51" i="7"/>
  <c r="H51" i="7"/>
  <c r="G51" i="7"/>
  <c r="F51" i="7"/>
  <c r="E51" i="7"/>
  <c r="D51" i="7"/>
  <c r="C51" i="7"/>
  <c r="A50" i="7"/>
  <c r="B51" i="7"/>
  <c r="J50" i="7"/>
  <c r="I50" i="7"/>
  <c r="H50" i="7"/>
  <c r="G50" i="7"/>
  <c r="F50" i="7"/>
  <c r="E50" i="7"/>
  <c r="D50" i="7"/>
  <c r="C50" i="7"/>
  <c r="A49" i="7"/>
  <c r="B50" i="7"/>
  <c r="J49" i="7"/>
  <c r="I49" i="7"/>
  <c r="H49" i="7"/>
  <c r="G49" i="7"/>
  <c r="F49" i="7"/>
  <c r="E49" i="7"/>
  <c r="D49" i="7"/>
  <c r="C49" i="7"/>
  <c r="A48" i="7"/>
  <c r="B49" i="7"/>
  <c r="J48" i="7"/>
  <c r="I48" i="7"/>
  <c r="H48" i="7"/>
  <c r="G48" i="7"/>
  <c r="F48" i="7"/>
  <c r="E48" i="7"/>
  <c r="D48" i="7"/>
  <c r="C48" i="7"/>
  <c r="A47" i="7"/>
  <c r="B48" i="7"/>
  <c r="J47" i="7"/>
  <c r="I47" i="7"/>
  <c r="H47" i="7"/>
  <c r="G47" i="7"/>
  <c r="F47" i="7"/>
  <c r="E47" i="7"/>
  <c r="D47" i="7"/>
  <c r="C47" i="7"/>
  <c r="A46" i="7"/>
  <c r="B47" i="7"/>
  <c r="J46" i="7"/>
  <c r="I46" i="7"/>
  <c r="H46" i="7"/>
  <c r="G46" i="7"/>
  <c r="F46" i="7"/>
  <c r="E46" i="7"/>
  <c r="D46" i="7"/>
  <c r="C46" i="7"/>
  <c r="A45" i="7"/>
  <c r="B46" i="7"/>
  <c r="J45" i="7"/>
  <c r="I45" i="7"/>
  <c r="H45" i="7"/>
  <c r="G45" i="7"/>
  <c r="F45" i="7"/>
  <c r="E45" i="7"/>
  <c r="D45" i="7"/>
  <c r="C45" i="7"/>
  <c r="A44" i="7"/>
  <c r="B45" i="7"/>
  <c r="J44" i="7"/>
  <c r="I44" i="7"/>
  <c r="H44" i="7"/>
  <c r="G44" i="7"/>
  <c r="F44" i="7"/>
  <c r="E44" i="7"/>
  <c r="D44" i="7"/>
  <c r="C44" i="7"/>
  <c r="A43" i="7"/>
  <c r="B44" i="7"/>
  <c r="J43" i="7"/>
  <c r="I43" i="7"/>
  <c r="H43" i="7"/>
  <c r="G43" i="7"/>
  <c r="F43" i="7"/>
  <c r="E43" i="7"/>
  <c r="D43" i="7"/>
  <c r="C43" i="7"/>
  <c r="A42" i="7"/>
  <c r="B43" i="7"/>
  <c r="J42" i="7"/>
  <c r="I42" i="7"/>
  <c r="H42" i="7"/>
  <c r="G42" i="7"/>
  <c r="F42" i="7"/>
  <c r="E42" i="7"/>
  <c r="D42" i="7"/>
  <c r="C42" i="7"/>
  <c r="A41" i="7"/>
  <c r="B42" i="7"/>
  <c r="J41" i="7"/>
  <c r="I41" i="7"/>
  <c r="H41" i="7"/>
  <c r="G41" i="7"/>
  <c r="F41" i="7"/>
  <c r="E41" i="7"/>
  <c r="D41" i="7"/>
  <c r="C41" i="7"/>
  <c r="A40" i="7"/>
  <c r="B41" i="7"/>
  <c r="J40" i="7"/>
  <c r="I40" i="7"/>
  <c r="H40" i="7"/>
  <c r="G40" i="7"/>
  <c r="F40" i="7"/>
  <c r="E40" i="7"/>
  <c r="D40" i="7"/>
  <c r="C40" i="7"/>
  <c r="A39" i="7"/>
  <c r="B40" i="7"/>
  <c r="J39" i="7"/>
  <c r="I39" i="7"/>
  <c r="H39" i="7"/>
  <c r="G39" i="7"/>
  <c r="F39" i="7"/>
  <c r="E39" i="7"/>
  <c r="D39" i="7"/>
  <c r="C39" i="7"/>
  <c r="A38" i="7"/>
  <c r="B39" i="7"/>
  <c r="J38" i="7"/>
  <c r="I38" i="7"/>
  <c r="H38" i="7"/>
  <c r="G38" i="7"/>
  <c r="F38" i="7"/>
  <c r="E38" i="7"/>
  <c r="D38" i="7"/>
  <c r="C38" i="7"/>
  <c r="A37" i="7"/>
  <c r="B38" i="7"/>
  <c r="J37" i="7"/>
  <c r="I37" i="7"/>
  <c r="H37" i="7"/>
  <c r="G37" i="7"/>
  <c r="F37" i="7"/>
  <c r="E37" i="7"/>
  <c r="D37" i="7"/>
  <c r="C37" i="7"/>
  <c r="A36" i="7"/>
  <c r="B37" i="7"/>
  <c r="J36" i="7"/>
  <c r="I36" i="7"/>
  <c r="H36" i="7"/>
  <c r="G36" i="7"/>
  <c r="F36" i="7"/>
  <c r="E36" i="7"/>
  <c r="D36" i="7"/>
  <c r="C36" i="7"/>
  <c r="A35" i="7"/>
  <c r="B36" i="7"/>
  <c r="J35" i="7"/>
  <c r="I35" i="7"/>
  <c r="H35" i="7"/>
  <c r="G35" i="7"/>
  <c r="F35" i="7"/>
  <c r="E35" i="7"/>
  <c r="D35" i="7"/>
  <c r="C35" i="7"/>
  <c r="A34" i="7"/>
  <c r="B35" i="7"/>
  <c r="J34" i="7"/>
  <c r="I34" i="7"/>
  <c r="H34" i="7"/>
  <c r="G34" i="7"/>
  <c r="F34" i="7"/>
  <c r="E34" i="7"/>
  <c r="D34" i="7"/>
  <c r="C34" i="7"/>
  <c r="A33" i="7"/>
  <c r="B34" i="7"/>
  <c r="J33" i="7"/>
  <c r="I33" i="7"/>
  <c r="H33" i="7"/>
  <c r="G33" i="7"/>
  <c r="F33" i="7"/>
  <c r="E33" i="7"/>
  <c r="D33" i="7"/>
  <c r="C33" i="7"/>
  <c r="A32" i="7"/>
  <c r="B33" i="7"/>
  <c r="J32" i="7"/>
  <c r="I32" i="7"/>
  <c r="H32" i="7"/>
  <c r="G32" i="7"/>
  <c r="F32" i="7"/>
  <c r="E32" i="7"/>
  <c r="D32" i="7"/>
  <c r="C32" i="7"/>
  <c r="A31" i="7"/>
  <c r="B32" i="7"/>
  <c r="J31" i="7"/>
  <c r="I31" i="7"/>
  <c r="H31" i="7"/>
  <c r="G31" i="7"/>
  <c r="F31" i="7"/>
  <c r="E31" i="7"/>
  <c r="D31" i="7"/>
  <c r="C31" i="7"/>
  <c r="A30" i="7"/>
  <c r="B31" i="7"/>
  <c r="J30" i="7"/>
  <c r="I30" i="7"/>
  <c r="H30" i="7"/>
  <c r="G30" i="7"/>
  <c r="F30" i="7"/>
  <c r="E30" i="7"/>
  <c r="D30" i="7"/>
  <c r="C30" i="7"/>
  <c r="A29" i="7"/>
  <c r="B30" i="7"/>
  <c r="J29" i="7"/>
  <c r="I29" i="7"/>
  <c r="H29" i="7"/>
  <c r="G29" i="7"/>
  <c r="F29" i="7"/>
  <c r="E29" i="7"/>
  <c r="D29" i="7"/>
  <c r="C29" i="7"/>
  <c r="A28" i="7"/>
  <c r="B29" i="7"/>
  <c r="J28" i="7"/>
  <c r="I28" i="7"/>
  <c r="H28" i="7"/>
  <c r="G28" i="7"/>
  <c r="F28" i="7"/>
  <c r="E28" i="7"/>
  <c r="D28" i="7"/>
  <c r="C28" i="7"/>
  <c r="A27" i="7"/>
  <c r="B28" i="7"/>
  <c r="J27" i="7"/>
  <c r="I27" i="7"/>
  <c r="H27" i="7"/>
  <c r="G27" i="7"/>
  <c r="F27" i="7"/>
  <c r="E27" i="7"/>
  <c r="D27" i="7"/>
  <c r="C27" i="7"/>
  <c r="A26" i="7"/>
  <c r="B27" i="7"/>
  <c r="J26" i="7"/>
  <c r="I26" i="7"/>
  <c r="H26" i="7"/>
  <c r="G26" i="7"/>
  <c r="F26" i="7"/>
  <c r="E26" i="7"/>
  <c r="D26" i="7"/>
  <c r="C26" i="7"/>
  <c r="A25" i="7"/>
  <c r="B26" i="7"/>
  <c r="J25" i="7"/>
  <c r="I25" i="7"/>
  <c r="H25" i="7"/>
  <c r="G25" i="7"/>
  <c r="F25" i="7"/>
  <c r="E25" i="7"/>
  <c r="D25" i="7"/>
  <c r="C25" i="7"/>
  <c r="A24" i="7"/>
  <c r="B25" i="7"/>
  <c r="J24" i="7"/>
  <c r="I24" i="7"/>
  <c r="H24" i="7"/>
  <c r="G24" i="7"/>
  <c r="F24" i="7"/>
  <c r="E24" i="7"/>
  <c r="D24" i="7"/>
  <c r="C24" i="7"/>
  <c r="A23" i="7"/>
  <c r="B24" i="7"/>
  <c r="J23" i="7"/>
  <c r="I23" i="7"/>
  <c r="H23" i="7"/>
  <c r="G23" i="7"/>
  <c r="F23" i="7"/>
  <c r="E23" i="7"/>
  <c r="D23" i="7"/>
  <c r="C23" i="7"/>
  <c r="A22" i="7"/>
  <c r="B23" i="7"/>
  <c r="J22" i="7"/>
  <c r="I22" i="7"/>
  <c r="H22" i="7"/>
  <c r="G22" i="7"/>
  <c r="F22" i="7"/>
  <c r="E22" i="7"/>
  <c r="D22" i="7"/>
  <c r="C22" i="7"/>
  <c r="A21" i="7"/>
  <c r="B22" i="7"/>
  <c r="J21" i="7"/>
  <c r="I21" i="7"/>
  <c r="H21" i="7"/>
  <c r="G21" i="7"/>
  <c r="F21" i="7"/>
  <c r="E21" i="7"/>
  <c r="D21" i="7"/>
  <c r="C21" i="7"/>
  <c r="A20" i="7"/>
  <c r="B21" i="7"/>
  <c r="J20" i="7"/>
  <c r="I20" i="7"/>
  <c r="H20" i="7"/>
  <c r="G20" i="7"/>
  <c r="F20" i="7"/>
  <c r="E20" i="7"/>
  <c r="D20" i="7"/>
  <c r="C20" i="7"/>
  <c r="A19" i="7"/>
  <c r="B20" i="7"/>
  <c r="J19" i="7"/>
  <c r="I19" i="7"/>
  <c r="H19" i="7"/>
  <c r="G19" i="7"/>
  <c r="F19" i="7"/>
  <c r="E19" i="7"/>
  <c r="D19" i="7"/>
  <c r="C19" i="7"/>
  <c r="A18" i="7"/>
  <c r="B19" i="7"/>
  <c r="J18" i="7"/>
  <c r="I18" i="7"/>
  <c r="H18" i="7"/>
  <c r="G18" i="7"/>
  <c r="F18" i="7"/>
  <c r="E18" i="7"/>
  <c r="D18" i="7"/>
  <c r="C18" i="7"/>
  <c r="A17" i="7"/>
  <c r="B18" i="7"/>
  <c r="J17" i="7"/>
  <c r="I17" i="7"/>
  <c r="H17" i="7"/>
  <c r="G17" i="7"/>
  <c r="F17" i="7"/>
  <c r="E17" i="7"/>
  <c r="D17" i="7"/>
  <c r="C17" i="7"/>
  <c r="A16" i="7"/>
  <c r="B17" i="7"/>
  <c r="J16" i="7"/>
  <c r="I16" i="7"/>
  <c r="H16" i="7"/>
  <c r="G16" i="7"/>
  <c r="F16" i="7"/>
  <c r="E16" i="7"/>
  <c r="D16" i="7"/>
  <c r="C16" i="7"/>
  <c r="A15" i="7"/>
  <c r="B16" i="7"/>
  <c r="J15" i="7"/>
  <c r="I15" i="7"/>
  <c r="H15" i="7"/>
  <c r="G15" i="7"/>
  <c r="F15" i="7"/>
  <c r="E15" i="7"/>
  <c r="D15" i="7"/>
  <c r="C15" i="7"/>
  <c r="A14" i="7"/>
  <c r="B15" i="7"/>
  <c r="J14" i="7"/>
  <c r="I14" i="7"/>
  <c r="H14" i="7"/>
  <c r="G14" i="7"/>
  <c r="F14" i="7"/>
  <c r="E14" i="7"/>
  <c r="D14" i="7"/>
  <c r="C14" i="7"/>
  <c r="A13" i="7"/>
  <c r="B14" i="7"/>
  <c r="J13" i="7"/>
  <c r="I13" i="7"/>
  <c r="H13" i="7"/>
  <c r="G13" i="7"/>
  <c r="F13" i="7"/>
  <c r="E13" i="7"/>
  <c r="D13" i="7"/>
  <c r="C13" i="7"/>
  <c r="A12" i="7"/>
  <c r="B13" i="7"/>
  <c r="J12" i="7"/>
  <c r="I12" i="7"/>
  <c r="H12" i="7"/>
  <c r="G12" i="7"/>
  <c r="F12" i="7"/>
  <c r="E12" i="7"/>
  <c r="D12" i="7"/>
  <c r="C12" i="7"/>
  <c r="A11" i="7"/>
  <c r="B12" i="7"/>
  <c r="J11" i="7"/>
  <c r="I11" i="7"/>
  <c r="H11" i="7"/>
  <c r="G11" i="7"/>
  <c r="F11" i="7"/>
  <c r="E11" i="7"/>
  <c r="D11" i="7"/>
  <c r="C11" i="7"/>
  <c r="A10" i="7"/>
  <c r="B11" i="7"/>
  <c r="J10" i="7"/>
  <c r="I10" i="7"/>
  <c r="H10" i="7"/>
  <c r="G10" i="7"/>
  <c r="F10" i="7"/>
  <c r="E10" i="7"/>
  <c r="D10" i="7"/>
  <c r="C10" i="7"/>
  <c r="A9" i="7"/>
  <c r="B10" i="7"/>
  <c r="J9" i="7"/>
  <c r="I9" i="7"/>
  <c r="H9" i="7"/>
  <c r="G9" i="7"/>
  <c r="F9" i="7"/>
  <c r="E9" i="7"/>
  <c r="D9" i="7"/>
  <c r="C9" i="7"/>
  <c r="A8" i="7"/>
  <c r="B9" i="7"/>
  <c r="J8" i="7"/>
  <c r="I8" i="7"/>
  <c r="H8" i="7"/>
  <c r="G8" i="7"/>
  <c r="F8" i="7"/>
  <c r="E8" i="7"/>
  <c r="D8" i="7"/>
  <c r="C8" i="7"/>
  <c r="A7" i="7"/>
  <c r="B8" i="7"/>
  <c r="J7" i="7"/>
  <c r="I7" i="7"/>
  <c r="H7" i="7"/>
  <c r="G7" i="7"/>
  <c r="F7" i="7"/>
  <c r="E7" i="7"/>
  <c r="D7" i="7"/>
  <c r="C7" i="7"/>
  <c r="A6" i="7"/>
  <c r="B7" i="7"/>
  <c r="J6" i="7"/>
  <c r="I6" i="7"/>
  <c r="H6" i="7"/>
  <c r="G6" i="7"/>
  <c r="F6" i="7"/>
  <c r="E6" i="7"/>
  <c r="D6" i="7"/>
  <c r="C6" i="7"/>
  <c r="A5" i="7"/>
  <c r="B6" i="7"/>
  <c r="J5" i="7"/>
  <c r="I5" i="7"/>
  <c r="H5" i="7"/>
  <c r="G5" i="7"/>
  <c r="F5" i="7"/>
  <c r="E5" i="7"/>
  <c r="D5" i="7"/>
  <c r="C5" i="7"/>
  <c r="J4" i="7"/>
  <c r="I4" i="7"/>
  <c r="H4" i="7"/>
  <c r="G4" i="7"/>
  <c r="F4" i="7"/>
  <c r="E4" i="7"/>
  <c r="D4" i="7"/>
  <c r="C4" i="7"/>
  <c r="A4" i="7"/>
  <c r="J3" i="7"/>
  <c r="I3" i="7"/>
  <c r="H3" i="7"/>
  <c r="G3" i="7"/>
  <c r="F3" i="7"/>
  <c r="E3" i="7"/>
  <c r="D3" i="7"/>
  <c r="C3" i="7"/>
  <c r="A2" i="7"/>
  <c r="A1" i="6"/>
  <c r="A1" i="5"/>
</calcChain>
</file>

<file path=xl/sharedStrings.xml><?xml version="1.0" encoding="utf-8"?>
<sst xmlns="http://schemas.openxmlformats.org/spreadsheetml/2006/main" count="2596" uniqueCount="505">
  <si>
    <t>Shares</t>
  </si>
  <si>
    <t>AAPL</t>
  </si>
  <si>
    <t>AMZN</t>
  </si>
  <si>
    <t>PANW</t>
  </si>
  <si>
    <t>NVDA</t>
  </si>
  <si>
    <t>FB</t>
  </si>
  <si>
    <t>JPM</t>
  </si>
  <si>
    <t>GOOG</t>
  </si>
  <si>
    <t>MSFT</t>
  </si>
  <si>
    <t>NKE</t>
  </si>
  <si>
    <t>BABA</t>
  </si>
  <si>
    <t>QCOM</t>
  </si>
  <si>
    <t>AMD</t>
  </si>
  <si>
    <t>PLTR</t>
  </si>
  <si>
    <t>DIS</t>
  </si>
  <si>
    <t>TSLA</t>
  </si>
  <si>
    <t>COIN</t>
  </si>
  <si>
    <t>UBER</t>
  </si>
  <si>
    <t>DAL</t>
  </si>
  <si>
    <t>BAC</t>
  </si>
  <si>
    <t>PNC</t>
  </si>
  <si>
    <t>SPG</t>
  </si>
  <si>
    <t>IQ</t>
  </si>
  <si>
    <t>PFE</t>
  </si>
  <si>
    <t>DIDI</t>
  </si>
  <si>
    <t>NOK</t>
  </si>
  <si>
    <t>Based on 2019</t>
  </si>
  <si>
    <t>Industry</t>
  </si>
  <si>
    <t>ROA</t>
  </si>
  <si>
    <t>ROE</t>
  </si>
  <si>
    <t>Quick Ratio</t>
  </si>
  <si>
    <t>Current Ratio</t>
  </si>
  <si>
    <t>Gross Margin</t>
  </si>
  <si>
    <t>Operating Margin</t>
  </si>
  <si>
    <t>Profit Margin</t>
  </si>
  <si>
    <t>Debt/Equity</t>
  </si>
  <si>
    <t>All Industries</t>
  </si>
  <si>
    <t>Ticker</t>
  </si>
  <si>
    <t>Cost</t>
  </si>
  <si>
    <t>PYPL</t>
  </si>
  <si>
    <t>MELI</t>
  </si>
  <si>
    <t>XBI</t>
  </si>
  <si>
    <t>ARKK</t>
  </si>
  <si>
    <t>Statement</t>
  </si>
  <si>
    <t>Header</t>
  </si>
  <si>
    <t>Field Name</t>
  </si>
  <si>
    <t>Field Value</t>
  </si>
  <si>
    <t>Data</t>
  </si>
  <si>
    <t>BrokerName</t>
  </si>
  <si>
    <t>Interactive Brokers LLC</t>
  </si>
  <si>
    <t>BrokerAddress</t>
  </si>
  <si>
    <t>Two Pickwick Plaza, Greenwich, CT 06830</t>
  </si>
  <si>
    <t>Title</t>
  </si>
  <si>
    <t>Activity Statement</t>
  </si>
  <si>
    <t>Period</t>
  </si>
  <si>
    <t>WhenGenerated</t>
  </si>
  <si>
    <t>Account Information</t>
  </si>
  <si>
    <t>Name</t>
  </si>
  <si>
    <t>Govardhan Vanjani and Lajwanti Vanjani</t>
  </si>
  <si>
    <t>Account</t>
  </si>
  <si>
    <t>U7208926</t>
  </si>
  <si>
    <t>Account Type</t>
  </si>
  <si>
    <t>Individual</t>
  </si>
  <si>
    <t>Customer Type</t>
  </si>
  <si>
    <t>Joint</t>
  </si>
  <si>
    <t>Account Capabilities</t>
  </si>
  <si>
    <t>Margin</t>
  </si>
  <si>
    <t>Base Currency</t>
  </si>
  <si>
    <t>USD</t>
  </si>
  <si>
    <t>Net Asset Value</t>
  </si>
  <si>
    <t>Asset Class</t>
  </si>
  <si>
    <t>Prior Total</t>
  </si>
  <si>
    <t>Current Long</t>
  </si>
  <si>
    <t>Current Short</t>
  </si>
  <si>
    <t>Current Total</t>
  </si>
  <si>
    <t>Change</t>
  </si>
  <si>
    <t xml:space="preserve">Cash </t>
  </si>
  <si>
    <t>Cash Collateral</t>
  </si>
  <si>
    <t>Stock</t>
  </si>
  <si>
    <t>Securities Lent</t>
  </si>
  <si>
    <t>Options</t>
  </si>
  <si>
    <t>Interest Accruals</t>
  </si>
  <si>
    <t>Dividend Accruals</t>
  </si>
  <si>
    <t>Total</t>
  </si>
  <si>
    <t>Time Weighted Rate of Return</t>
  </si>
  <si>
    <t>Change in NAV</t>
  </si>
  <si>
    <t>Starting Value</t>
  </si>
  <si>
    <t>Mark-to-Market</t>
  </si>
  <si>
    <t>Dividends</t>
  </si>
  <si>
    <t>Change in Dividend Accruals</t>
  </si>
  <si>
    <t>Interest</t>
  </si>
  <si>
    <t>Change in Interest Accruals</t>
  </si>
  <si>
    <t>Commissions</t>
  </si>
  <si>
    <t>Ending Value</t>
  </si>
  <si>
    <t>Mark-to-Market Performance Summary</t>
  </si>
  <si>
    <t>Asset Category</t>
  </si>
  <si>
    <t>Symbol</t>
  </si>
  <si>
    <t>Prior Quantity</t>
  </si>
  <si>
    <t>Current Quantity</t>
  </si>
  <si>
    <t>Prior Price</t>
  </si>
  <si>
    <t>Current Price</t>
  </si>
  <si>
    <t>Mark-to-Market P/L Position</t>
  </si>
  <si>
    <t>Mark-to-Market P/L Transaction</t>
  </si>
  <si>
    <t>Mark-to-Market P/L Commissions</t>
  </si>
  <si>
    <t>Mark-to-Market P/L Other</t>
  </si>
  <si>
    <t>Mark-to-Market P/L Total</t>
  </si>
  <si>
    <t>Code</t>
  </si>
  <si>
    <t>Stocks</t>
  </si>
  <si>
    <t>Equity and Index Options</t>
  </si>
  <si>
    <t>AMD 21JAN22 175.0 C</t>
  </si>
  <si>
    <t>ARKK 21JAN22 89.18 P</t>
  </si>
  <si>
    <t>COIN 21JAN22 300.0 C</t>
  </si>
  <si>
    <t>--</t>
  </si>
  <si>
    <t>PFE 21JAN22 53.0 P</t>
  </si>
  <si>
    <t>PFE 21JAN22 65.0 C</t>
  </si>
  <si>
    <t>PLTR 18FEB22 15.0 P</t>
  </si>
  <si>
    <t>UBER 21JAN22 55.0 C</t>
  </si>
  <si>
    <t>Forex</t>
  </si>
  <si>
    <t>Total (All Assets)</t>
  </si>
  <si>
    <t>Broker Interest Paid and Received</t>
  </si>
  <si>
    <t>Total P/L for Statement Period</t>
  </si>
  <si>
    <t>Realized &amp; Unrealized Performance Summary</t>
  </si>
  <si>
    <t>Cost Adj.</t>
  </si>
  <si>
    <t>Realized S/T Profit</t>
  </si>
  <si>
    <t>Realized S/T Loss</t>
  </si>
  <si>
    <t>Realized L/T Profit</t>
  </si>
  <si>
    <t>Realized L/T Loss</t>
  </si>
  <si>
    <t>Realized Total</t>
  </si>
  <si>
    <t>Unrealized S/T Profit</t>
  </si>
  <si>
    <t>Unrealized S/T Loss</t>
  </si>
  <si>
    <t>Unrealized L/T Profit</t>
  </si>
  <si>
    <t>Unrealized L/T Loss</t>
  </si>
  <si>
    <t>Unrealized Total</t>
  </si>
  <si>
    <t>Cash Report</t>
  </si>
  <si>
    <t>Currency Summary</t>
  </si>
  <si>
    <t>Currency</t>
  </si>
  <si>
    <t>Securities</t>
  </si>
  <si>
    <t>Futures</t>
  </si>
  <si>
    <t>Starting Cash</t>
  </si>
  <si>
    <t>Base Currency Summary</t>
  </si>
  <si>
    <t>Trades (Sales)</t>
  </si>
  <si>
    <t>Trades (Purchase)</t>
  </si>
  <si>
    <t>Payment In Lieu of Dividends</t>
  </si>
  <si>
    <t>Ending Cash</t>
  </si>
  <si>
    <t>Ending Settled Cash</t>
  </si>
  <si>
    <t>Starting Cash Collateral</t>
  </si>
  <si>
    <t>Net Securities Lent Activity</t>
  </si>
  <si>
    <t>Ending Cash Collateral</t>
  </si>
  <si>
    <t>Net Cash Balance</t>
  </si>
  <si>
    <t>Net Settled Cash Balance</t>
  </si>
  <si>
    <t>Open Positions</t>
  </si>
  <si>
    <t>DataDiscriminator</t>
  </si>
  <si>
    <t>Quantity</t>
  </si>
  <si>
    <t>Mult</t>
  </si>
  <si>
    <t>Cost Price</t>
  </si>
  <si>
    <t>Cost Basis</t>
  </si>
  <si>
    <t>Close Price</t>
  </si>
  <si>
    <t>Value</t>
  </si>
  <si>
    <t>Unrealized P/L</t>
  </si>
  <si>
    <t>Summary</t>
  </si>
  <si>
    <t>Net Stock Position Summary</t>
  </si>
  <si>
    <t>Description</t>
  </si>
  <si>
    <t>Shares at IB</t>
  </si>
  <si>
    <t>Shares Borrowed</t>
  </si>
  <si>
    <t>Shares Lent</t>
  </si>
  <si>
    <t>Net Shares</t>
  </si>
  <si>
    <t>APPLE INC</t>
  </si>
  <si>
    <t>ADVANCED MICRO DEVICES</t>
  </si>
  <si>
    <t>AMAZON.COM INC</t>
  </si>
  <si>
    <t>ARK INNOVATION ETF</t>
  </si>
  <si>
    <t>ALIBABA GROUP HOLDING-SP ADR</t>
  </si>
  <si>
    <t>BANK OF AMERICA CORP</t>
  </si>
  <si>
    <t>COINBASE GLOBAL INC -CLASS A</t>
  </si>
  <si>
    <t>DELTA AIR LINES INC.</t>
  </si>
  <si>
    <t>DIDI GLOBAL INC</t>
  </si>
  <si>
    <t>WALT DISNEY CO/THE</t>
  </si>
  <si>
    <t>META PLATFORMS INC-CLASS A</t>
  </si>
  <si>
    <t>ALPHABET INC-CL C</t>
  </si>
  <si>
    <t>IQIYI INC-ADR</t>
  </si>
  <si>
    <t>JPMORGAN CHASE &amp; CO</t>
  </si>
  <si>
    <t>MERCADOLIBRE INC</t>
  </si>
  <si>
    <t>MICROSOFT CORP</t>
  </si>
  <si>
    <t>NIKE INC -CL B</t>
  </si>
  <si>
    <t>NOKIA CORP-SPON ADR</t>
  </si>
  <si>
    <t>NVIDIA CORP</t>
  </si>
  <si>
    <t>PALO ALTO NETWORKS INC</t>
  </si>
  <si>
    <t>PFIZER INC</t>
  </si>
  <si>
    <t>PALANTIR TECHNOLOGIES INC-A</t>
  </si>
  <si>
    <t>PNC FINANCIAL SERVICES GROUP</t>
  </si>
  <si>
    <t>PAYPAL HOLDINGS INC</t>
  </si>
  <si>
    <t>QUALCOMM INC</t>
  </si>
  <si>
    <t>SIMON PROPERTY GROUP INC</t>
  </si>
  <si>
    <t>TESLA INC</t>
  </si>
  <si>
    <t>UBER TECHNOLOGIES INC</t>
  </si>
  <si>
    <t>SPDR S&amp;P BIOTECH ETF</t>
  </si>
  <si>
    <t>Trades</t>
  </si>
  <si>
    <t>Date/Time</t>
  </si>
  <si>
    <t>T. Price</t>
  </si>
  <si>
    <t>C. Price</t>
  </si>
  <si>
    <t>Proceeds</t>
  </si>
  <si>
    <t>Comm/Fee</t>
  </si>
  <si>
    <t>Basis</t>
  </si>
  <si>
    <t>Realized P/L</t>
  </si>
  <si>
    <t>MTM P/L</t>
  </si>
  <si>
    <t>Order</t>
  </si>
  <si>
    <t>2022-01-05, 13:07:25</t>
  </si>
  <si>
    <t>O</t>
  </si>
  <si>
    <t>SubTotal</t>
  </si>
  <si>
    <t>2022-01-05, 13:05:33</t>
  </si>
  <si>
    <t>2022-01-05, 13:07:09</t>
  </si>
  <si>
    <t>2022-01-04, 10:41:54</t>
  </si>
  <si>
    <t xml:space="preserve"> </t>
  </si>
  <si>
    <t>2022-01-05, 13:14:38</t>
  </si>
  <si>
    <t>C;P</t>
  </si>
  <si>
    <t>2022-01-03, 11:15:54</t>
  </si>
  <si>
    <t>2022-01-03, 11:02:39</t>
  </si>
  <si>
    <t>2022-01-05, 12:00:20</t>
  </si>
  <si>
    <t>Date</t>
  </si>
  <si>
    <t>Amount</t>
  </si>
  <si>
    <t>ARKK(US00214Q1040) Cash Dividend USD 0.52489 per Share (Short Term Capital Gain)</t>
  </si>
  <si>
    <t>ARKK(US00214Q1040) Payment in Lieu of Dividend (Short Term Capital Gain)</t>
  </si>
  <si>
    <t>ARKK(US00214Q1040) Cash Dividend USD 0.25768 per Share (Long Term Capital Gain)</t>
  </si>
  <si>
    <t>ARKK(US00214Q1040) Payment in Lieu of Dividend (Long Term Capital Gain)</t>
  </si>
  <si>
    <t>USD IBKR Managed Securities (SYEP) Interest for Dec-2021</t>
  </si>
  <si>
    <t>Starting Accrual Balance</t>
  </si>
  <si>
    <t>Interest Accrued</t>
  </si>
  <si>
    <t>Accrual Reversal</t>
  </si>
  <si>
    <t>FX Translation</t>
  </si>
  <si>
    <t>Ending Accrual Balance</t>
  </si>
  <si>
    <t>Ex Date</t>
  </si>
  <si>
    <t>Pay Date</t>
  </si>
  <si>
    <t>Tax</t>
  </si>
  <si>
    <t>Fee</t>
  </si>
  <si>
    <t>Gross Rate</t>
  </si>
  <si>
    <t>Gross Amount</t>
  </si>
  <si>
    <t>Net Amount</t>
  </si>
  <si>
    <t>Starting Dividend Accruals in USD</t>
  </si>
  <si>
    <t>Re</t>
  </si>
  <si>
    <t>ADR;Po</t>
  </si>
  <si>
    <t>ADR;Re</t>
  </si>
  <si>
    <t>Po</t>
  </si>
  <si>
    <t>Ending Dividend Accruals in USD</t>
  </si>
  <si>
    <t>IBKR Managed Securities Lent (Stock Yield Enhancement Program)</t>
  </si>
  <si>
    <t>Transaction ID</t>
  </si>
  <si>
    <t>Interest Rate on Customer Collateral (%)</t>
  </si>
  <si>
    <t>Collateral Amount</t>
  </si>
  <si>
    <t>SLB.65735906</t>
  </si>
  <si>
    <t>IBKR Managed Securities Collateral Held at IBSS (Stock Yield Enhancement Program)</t>
  </si>
  <si>
    <t>Price</t>
  </si>
  <si>
    <t>IBKR Managed Securities Lent Activity (Stock Yield Enhancement Program)</t>
  </si>
  <si>
    <t>Loan Return Allocation</t>
  </si>
  <si>
    <t>SLB.65633112</t>
  </si>
  <si>
    <t>New Loan Allocation</t>
  </si>
  <si>
    <t>SLB.65701054</t>
  </si>
  <si>
    <t>SLB.65600963</t>
  </si>
  <si>
    <t>Notes</t>
  </si>
  <si>
    <t>Important Notice re: SIPC Protection for Loans of Fully Paid and Excess Margin Securities:  Please be aware that if you execute loans of your fully paid or excess margin securities, the  provisions of the Securities Investor Protection Act of 1970 may not protect you with respect to the securities loan transaction.  Therefore, the cash collateral credited to your account by Interactive Brokers (see above) may constitute the only source of satisfaction in the event that Interactive Brokers cannot return the securities.</t>
  </si>
  <si>
    <t>IBKR Managed Securities Lent Interest Details (Stock Yield Enhancement Program)</t>
  </si>
  <si>
    <t>Value Date</t>
  </si>
  <si>
    <t>Start Date</t>
  </si>
  <si>
    <t>Interest Rate Earned by IB (%)</t>
  </si>
  <si>
    <t>Interest Paid to IB</t>
  </si>
  <si>
    <t>Interest Paid to Customer</t>
  </si>
  <si>
    <t>Financial Instrument Information</t>
  </si>
  <si>
    <t>Conid</t>
  </si>
  <si>
    <t>Security ID</t>
  </si>
  <si>
    <t>Listing Exch</t>
  </si>
  <si>
    <t>Multiplier</t>
  </si>
  <si>
    <t>Type</t>
  </si>
  <si>
    <t>US0378331005</t>
  </si>
  <si>
    <t>NASDAQ</t>
  </si>
  <si>
    <t>COMMON</t>
  </si>
  <si>
    <t>US0079031078</t>
  </si>
  <si>
    <t>US0231351067</t>
  </si>
  <si>
    <t>US00214Q1040</t>
  </si>
  <si>
    <t>ARCA</t>
  </si>
  <si>
    <t>ETF</t>
  </si>
  <si>
    <t>US01609W1027</t>
  </si>
  <si>
    <t>NYSE</t>
  </si>
  <si>
    <t>ADR</t>
  </si>
  <si>
    <t>US0605051046</t>
  </si>
  <si>
    <t>US19260Q1076</t>
  </si>
  <si>
    <t>US2473617023</t>
  </si>
  <si>
    <t>US23292E1082</t>
  </si>
  <si>
    <t>US2546871060</t>
  </si>
  <si>
    <t>US30303M1027</t>
  </si>
  <si>
    <t>US02079K1079</t>
  </si>
  <si>
    <t>US46267X1081</t>
  </si>
  <si>
    <t>US46625H1005</t>
  </si>
  <si>
    <t>US58733R1023</t>
  </si>
  <si>
    <t>US5949181045</t>
  </si>
  <si>
    <t>US6541061031</t>
  </si>
  <si>
    <t>US6549022043</t>
  </si>
  <si>
    <t>US67066G1040</t>
  </si>
  <si>
    <t>US6974351057</t>
  </si>
  <si>
    <t>US7170811035</t>
  </si>
  <si>
    <t>US69608A1088</t>
  </si>
  <si>
    <t>US6934751057</t>
  </si>
  <si>
    <t>US70450Y1038</t>
  </si>
  <si>
    <t>US7475251036</t>
  </si>
  <si>
    <t>US8288061091</t>
  </si>
  <si>
    <t>REIT</t>
  </si>
  <si>
    <t>US88160R1014</t>
  </si>
  <si>
    <t>US90353T1007</t>
  </si>
  <si>
    <t>US78464A8707</t>
  </si>
  <si>
    <t>Expiry</t>
  </si>
  <si>
    <t>Delivery Month</t>
  </si>
  <si>
    <t>Strike</t>
  </si>
  <si>
    <t>AMD   220121C00175000</t>
  </si>
  <si>
    <t>CBOE</t>
  </si>
  <si>
    <t>2022-01</t>
  </si>
  <si>
    <t>C</t>
  </si>
  <si>
    <t>ARKK  220121P00089180</t>
  </si>
  <si>
    <t>P</t>
  </si>
  <si>
    <t>COIN  220121C00300000</t>
  </si>
  <si>
    <t>PFE   220121C00065000</t>
  </si>
  <si>
    <t>PFE   220121P00053000</t>
  </si>
  <si>
    <t>PLTR  220218P00015000</t>
  </si>
  <si>
    <t>2022-02</t>
  </si>
  <si>
    <t>UBER  220121C00055000</t>
  </si>
  <si>
    <t>Codes</t>
  </si>
  <si>
    <t>Meaning</t>
  </si>
  <si>
    <t>Code (Cont.)</t>
  </si>
  <si>
    <t>Meaning (Cont.)</t>
  </si>
  <si>
    <t>A</t>
  </si>
  <si>
    <t>Assignment</t>
  </si>
  <si>
    <t>ADR Fee Accrual</t>
  </si>
  <si>
    <t>AEx</t>
  </si>
  <si>
    <t>Automatic exercise for dividend-related recommendation.</t>
  </si>
  <si>
    <t>Adj</t>
  </si>
  <si>
    <t>Adjustment</t>
  </si>
  <si>
    <t>Al</t>
  </si>
  <si>
    <t>Allocation</t>
  </si>
  <si>
    <t>Aw</t>
  </si>
  <si>
    <t>Away Trade</t>
  </si>
  <si>
    <t>B</t>
  </si>
  <si>
    <t>Automatic Buy-in</t>
  </si>
  <si>
    <t>Bo</t>
  </si>
  <si>
    <t>Direct Borrow</t>
  </si>
  <si>
    <t>Closing Trade</t>
  </si>
  <si>
    <t>CD</t>
  </si>
  <si>
    <t>Cash Delivery</t>
  </si>
  <si>
    <t>CP</t>
  </si>
  <si>
    <t>Complex Position</t>
  </si>
  <si>
    <t>Ca</t>
  </si>
  <si>
    <t>Cancelled</t>
  </si>
  <si>
    <t>Co</t>
  </si>
  <si>
    <t>Corrected Trade</t>
  </si>
  <si>
    <t>Cx</t>
  </si>
  <si>
    <t>Part or all of this transaction was a Crossing executed as dual agent by IB for two IB customers</t>
  </si>
  <si>
    <t>ETF Creation/Redemption</t>
  </si>
  <si>
    <t>Ep</t>
  </si>
  <si>
    <t>Resulted from an Expired Position</t>
  </si>
  <si>
    <t>Ex</t>
  </si>
  <si>
    <t>Exercise</t>
  </si>
  <si>
    <t>FP</t>
  </si>
  <si>
    <t>IB acted as agent for the fractional share portion of this trade, which was executed by an IB affiliate as principal.</t>
  </si>
  <si>
    <t>FPA</t>
  </si>
  <si>
    <t>IB acted as agent for both the fractional share portion and the whole share portion of this trade; the fractional share portion was executed by an IB Affiliate as principal.</t>
  </si>
  <si>
    <t>G</t>
  </si>
  <si>
    <t>Trade in Guaranteed Account Segment</t>
  </si>
  <si>
    <t>GEA</t>
  </si>
  <si>
    <t>Exercise or Assignment resulting from offsetting positions</t>
  </si>
  <si>
    <t>HC</t>
  </si>
  <si>
    <t>Highest Cost tax basis election</t>
  </si>
  <si>
    <t>HFI</t>
  </si>
  <si>
    <t>Investment Transferred to Hedge Fund</t>
  </si>
  <si>
    <t>HFR</t>
  </si>
  <si>
    <t>Redemption from Hedge Fund</t>
  </si>
  <si>
    <t>I</t>
  </si>
  <si>
    <t>Internal Transfer</t>
  </si>
  <si>
    <t>IA</t>
  </si>
  <si>
    <t>This transaction was executed against an IB affiliate</t>
  </si>
  <si>
    <t>INV</t>
  </si>
  <si>
    <t>Investment Transfer from Investor</t>
  </si>
  <si>
    <t>IPO</t>
  </si>
  <si>
    <t>This transaction was executed as part of an IPO in which IB was a member of the selling group and is classified as a Principal trade.</t>
  </si>
  <si>
    <t>L</t>
  </si>
  <si>
    <t>Ordered by IB (Margin Violation)</t>
  </si>
  <si>
    <t>LD</t>
  </si>
  <si>
    <t>Adjusted by Loss Disallowed from Wash Sale</t>
  </si>
  <si>
    <t>LI</t>
  </si>
  <si>
    <t>Last In, First Out (LIFO) tax basis election</t>
  </si>
  <si>
    <t>LT</t>
  </si>
  <si>
    <t>Long Term P/L</t>
  </si>
  <si>
    <t>Lo</t>
  </si>
  <si>
    <t>Direct Loan</t>
  </si>
  <si>
    <t>M</t>
  </si>
  <si>
    <t>Entered manually by IB</t>
  </si>
  <si>
    <t>MEx</t>
  </si>
  <si>
    <t>Manual exercise for dividend-related recommendation.</t>
  </si>
  <si>
    <t>ML</t>
  </si>
  <si>
    <t>Maximize Losses tax basis election</t>
  </si>
  <si>
    <t>MLG</t>
  </si>
  <si>
    <t>Maximize Long Term Gain tax basis election</t>
  </si>
  <si>
    <t>MLL</t>
  </si>
  <si>
    <t>Maximize Long Term Loss tax basis election</t>
  </si>
  <si>
    <t>MSG</t>
  </si>
  <si>
    <t>Maximize Short Term Gain tax basis election</t>
  </si>
  <si>
    <t>MSL</t>
  </si>
  <si>
    <t>Maximize Short Term Loss tax basis election</t>
  </si>
  <si>
    <t>Opening Trade</t>
  </si>
  <si>
    <t>Partial Execution</t>
  </si>
  <si>
    <t>PI</t>
  </si>
  <si>
    <t>Price Improvement</t>
  </si>
  <si>
    <t>Interest or Dividend Accrual Posting</t>
  </si>
  <si>
    <t>Pr</t>
  </si>
  <si>
    <t>Part or all of this transaction was executed by the Exchange as a Crossing by IB against an IB affiliate and is therefore classified as a Principal and not an agency trade</t>
  </si>
  <si>
    <t>R</t>
  </si>
  <si>
    <t>Dividend Reinvestment</t>
  </si>
  <si>
    <t>RED</t>
  </si>
  <si>
    <t>Redemption to Investor</t>
  </si>
  <si>
    <t>RP</t>
  </si>
  <si>
    <t>IB acted as agent for the fractional share portion of this trade, which was executed by an IB affiliate as riskless principal.</t>
  </si>
  <si>
    <t>RPA</t>
  </si>
  <si>
    <t>IB acted as agent for both the fractional share portion and the whole share portion of this trade; the fractional share portion was executed by an IB Affiliate as riskless principal.</t>
  </si>
  <si>
    <t>Interest or Dividend Accrual Reversal</t>
  </si>
  <si>
    <t>Ri</t>
  </si>
  <si>
    <t>Reimbursement</t>
  </si>
  <si>
    <t>SI</t>
  </si>
  <si>
    <t>This order was solicited by Interactive Brokers</t>
  </si>
  <si>
    <t>SL</t>
  </si>
  <si>
    <t>Specific Lot tax basis election</t>
  </si>
  <si>
    <t>SO</t>
  </si>
  <si>
    <t>This order was marked as solicited by your Introducing Broker</t>
  </si>
  <si>
    <t>SS</t>
  </si>
  <si>
    <t>Customer designated this trade for shortened settlement and so is subject to execution at prices above the prevailing market</t>
  </si>
  <si>
    <t>ST</t>
  </si>
  <si>
    <t>Short Term P/L</t>
  </si>
  <si>
    <t>T</t>
  </si>
  <si>
    <t>Transfer</t>
  </si>
  <si>
    <t>Un</t>
  </si>
  <si>
    <t>Unvested shares from stock grant</t>
  </si>
  <si>
    <t>Notes/Legal Notes</t>
  </si>
  <si>
    <t>Note</t>
  </si>
  <si>
    <t xml:space="preserve">Most stock exchange transactions settle on the trade date plus two business days. Options, futures and US open-end mutual fund transactions settle on trade date plus one business day. (Some exchanges and other transaction types may have longer or shorter settlement periods.) Ending settled cash reflects the cash that has actually settled.  </t>
  </si>
  <si>
    <t>Initial and maintenance margin requirements are available within the Account Window of the Trader Workstation.</t>
  </si>
  <si>
    <t>Interactive Brokers LLC receives compensation from fund companies in connection with the purchase and holding of fund shares by customers of Interactive Brokers LLC. Such compensation includes, but is not limited to, Rule 12b-1 fees that are paid out of the funds assets. The source and amount of any remuneration received by Interactive Brokers LLC in connection with a transaction will be furnished upon written request of the customer.  IB may share a portion of the compensation received from fund companies with your financial advisor or introducing broker.</t>
  </si>
  <si>
    <t xml:space="preserve">Quantities preceded by a "-" sign indicate sell transactions. Other transactions are purchases. </t>
  </si>
  <si>
    <t>IB acts as agent in executing the fractional share portion of your order. In certain circumstances, IB routes the fractional portion of your order to an affiliate, which may execute the fractional portion of the order as principal. In such circumstances, this is indicated by the codes associated with the trade. If an IB affiliate acts as principal in executing any fractional share portion of your order, the order will be executed at the price displayed for the opposite side of the NBBO from your order (the offer if you are buying and the bid if you are selling) at the time of execution. If an IB affiliate is acting as riskless principal in connection with filling the fractional share portion of your order, the affiliate will execute the fractional share portion of your order at the price it receives for the execution of the whole share.</t>
  </si>
  <si>
    <t>In case of partial executions, commissions are charged on the total quantity executed on the original order. The commission is displayed on the first partial execution only.</t>
  </si>
  <si>
    <t>Each closed lot indicated above with a reference to note (6) was chosen by the end of the trading day to be sold versus the specific opening purchase identified in that row.</t>
  </si>
  <si>
    <t>Trade execution times are displayed in Eastern Time.</t>
  </si>
  <si>
    <t>Applicable commodity Regulatory Fees for your transactions are available on the IB website at www.interactivebrokers.com/en/accounts/fees/exchangeAndRegulatoryFees.php.</t>
  </si>
  <si>
    <t>Borrow Fee Rate represents the cost to borrow stock expressed in percent per annum. It is applied to the cash collateral amount on the stock borrow contract and is separate from any interest earned on credit cash balances. Similarly, Loan Fee Rate represents the benefit to lend stock. A positive rate indicates a cost to the borrower/benefit to the lender and a negative rate indicates a benefit to the borrower/cost to the lender. In general, the fee rates for hard-to-borrow stocks are higher than for normal availability stocks.</t>
  </si>
  <si>
    <t>Interest Rate on Customer Collateral represents the interest paid on the collateral posted to the customer's account and received from lending stock.  A positive rate indicates a benefit to the lender.</t>
  </si>
  <si>
    <t>The closing prices on this Activity Statement are indicative and may come from third-party sources. Interactive Brokers does not warrant the accuracy of the prices provided by third-party sources. Due to time zone differences, certain non-US mutual funds may deliver closing prices after the Activity Statement has been produced and the closing prices for such funds will reflect the previous day's price.</t>
  </si>
  <si>
    <t>All Market Data and Research services are provided through Global Financial Information Services (GmbH).</t>
  </si>
  <si>
    <t>Market data is provided by Global Financial Information Services (GmbH). Your local broker collects amounts owed for fees and tax for such data on behalf of Global Financial Information Services (GmbH). Note, you are responsible for any applicable taxes relating to the provision of these services.</t>
  </si>
  <si>
    <t>Fixed Income Notes</t>
  </si>
  <si>
    <t>Call features for bonds or preferred stocks may affect the yield. For zero coupon, compound interest and multiplier securities, there are no periodic payments and securities may be callable below maturity value without notice to holder unless registered. For asset-backed securities, the actual yield may vary depending on the speed at which the underlying note is pre-paid. For additional information regarding bond yield, please contact the IB Help Desk at: help@interactivebrokers.com. If this debt security is unrated by a nationally recognized statistical rating organization, it may pose a high risk of default. You should consult a financial advisor to determine whether unrated bonds are appropriate for your portfolio in light of your goals and your financial circumstances. Fees charged by bond trading centers are included in the cost of bond transactions.</t>
  </si>
  <si>
    <t>Legal Notes</t>
  </si>
  <si>
    <t>Please promptly report any inaccuracy or discrepancy in this statement, or in your account. Contact the IB Customer Service Department in writing using the form available on the IB website. You may also contact IB by phone, but if you report an error by phone, you should re-confirm such oral communication in writing in order to protect your rights, including rights under the Securities Investor Protection Act (SIPA).Interactive Brokers LLC, www.interactivebrokers.com, 877-442-2757 (U.S.)Interactive Brokers (UK) (Ltd), www.interactivebrokers.co.uk, 00800-42-276537 (Intl)Interactive Brokers Canada Inc., www.interactivebrokers.ca, 877-745-4222 (Can.)</t>
  </si>
  <si>
    <t>Unless otherwise noted, Interactive Brokers acted as agent in the execution of the above transactions. For those exchanges where IB is not a direct clearing member or custodian, IB may use one of the following clearing agents or sub-custodians: Interactive Brokers Australia Pty Limited; Interactive Brokers Canada Inc.; Interactive Brokers Hong Kong Limited; Interactive Brokers Securities Japan, Inc.; Interactive Brokers (U.K.) Limited; IBKR Financial Services AG; ABN Amro Clearing Singapore Pte. Ltd.; BBVA Bancomer, S.A.; BNP Securities Services, Milan Branch; BMO Harris Bank N.A.; Citibank Europe plc; Euroclear Bank S.A./N.V.; Skandinaviska Enskilda Banken AB (including select branches).</t>
  </si>
  <si>
    <t>IB acts as agent or riskless principal in foreign currency exchange transactions and as riskless principal in spot precious metals transactions.  Such transactions are executed against an IB affiliate or a third party, which acts as principal in such transactions and may have a long or short position and may have profited or lost in connection with the transaction.  Foreign currency exchange and spot precious metals transactions executed by Customer through IB are not regulated or overseen by the SEC or the CFTC.</t>
  </si>
  <si>
    <t>Trades marked with the exchange indicator of TMBR were effected by IB as agent through a market making affiliate, which acted as principal in the transaction and may have a long or short position in the security and may have profited or lost in connection with the transaction.</t>
  </si>
  <si>
    <t>All VWAP trades are effected pursuant to an average price formula based on a reference price provided by a third-party data provider. Additional information and reference prices are available upon request. IB, as agent, effects VWAP transactions through a market making affiliate, which acts as principal in such transactions and may have a long or short position in the security and may have profited or lost in connection with the transaction.</t>
  </si>
  <si>
    <t xml:space="preserve">IB accepts liquidity rebates or other order flow payments from Alternative Trading Systems, market makers and exchanges for certain orders in stocks. IB receives payment for some option orders pursuant to exchange-mandated marketing fee programs or other arrangements. The source and nature of any compensation received by IB in connection with any transaction is available upon written request of the customer. For further information, check the IB website and the Order Routing and Payment for Order Flow Disclosure provided when you opened your account and annually or email help@interactivebrokers.com.  </t>
  </si>
  <si>
    <t>For security futures trades, if not already indicated on this statement, information about the time of any transaction, the identity of the counterparty to the transaction, and whether IB is acting as agent or principal, as agent for the counterparty, as agent for both parties to the contract, or as principal, and if acting as principal, whether the transaction was a block transaction or an exchange for physicals transaction, will be available upon written request of the customer.</t>
  </si>
  <si>
    <t>Customer is requested to promptly advise Interactive Brokers of any material change in Customer's investment objectives or financial situation.</t>
  </si>
  <si>
    <t>A financial statement of Interactive Brokers LLC is available for your personal inspection at www.interactivebrokers.com or at its offices, or a copy of it will be mailed upon your written request.</t>
  </si>
  <si>
    <t>For trades executed on either the Australian Stock Exchange Ltd ("ASX") or Chi-X Australia Pty Ltd ("Chi-X"), this confirmation is issued subject to: (i) the directions, decisions and requirements of the Market Operator, the relevant Market Integrity Rules, the relevant Market Operating Rules, the Clearing Rules and where relevant, the Settlement Rules; (ii) the customs and usages of the relevant Market; and (iii) the correction of errors and omissions. Interactive Brokers LLC (ARBN: 091191141, AFSL: 245574, Participant on Chi-X Australia)("IB") is not a participant on the ASX, and will route orders to the ASX through its affiliate, Timber Hill Australia Pty Ltd (ABN 25079993534, AFSL: 244380, Participant on the ASX)("THA") who executes such orders. Your ASX and Chi-x Australia trades will be cleared through ABN Amro Clearing Sydney Pty Ltd, an ACH participant. If your transaction was a crossing transaction, IB may have either acted on behalf of (i) both the buyer and seller of this transaction, or (ii) on behalf of the buyer or seller on one side of the transaction and act as Principal on the other side. Under the Corporations Act 2001, where IB enters into an exchange traded derivatives on a customer's behalf, IB is regarded as having issued the derivative to the customer.</t>
  </si>
  <si>
    <t>For All Options Trades Executed on the Stock Exchange of Hong Kong ("SEHK"): (a) Options can involve a high degree of risk and may not be suitable for every investor. Investors should ensure they understand those risks before participating in the options market. (b) All options contracts executed on the SEHK were executed by Timber Hill Securities Hong Kong on behalf of Interactive Brokers LLC. (c) In the event of a default committed by Interactive Brokers LLC resulting in the client suffering any pecuniary loss, the client shall have a right to claim under the Investor Compensation Fund established under the Hong Kong Securities and Futures Ordinance, subject to the terms of the Investor Compensation Fund from time to time. (d) All Exchange Traded Options Business made for or on behalf of a client shall be subject to the relevant provisions of the constitution, Rules of The Stock Exchange of Hong Kong Limited ("SEHK Rules"), regulations, the Articles, customs and usages of SEHK, the Options Trading Rules, the Clearing Rules of SEOCH, the CCASS Rules and the laws of Hong Kong, which shall be binding on both Interactive Brokers LLC and the client.</t>
  </si>
  <si>
    <t>Deposits held away from Interactive Brokers LLC may not qualify under SIPC protection.  Also, futures and options on futures are not covered by SIPC.</t>
  </si>
  <si>
    <t>SIPC Member</t>
  </si>
  <si>
    <t>January 3, 2022 - January 10, 2022</t>
  </si>
  <si>
    <t>2022-01-11, 11:08:30 EST</t>
  </si>
  <si>
    <t>Deposits &amp; Withdrawals</t>
  </si>
  <si>
    <t>AMD 18FEB22 105.0 P</t>
  </si>
  <si>
    <t>NOK 18FEB22 7.0 C</t>
  </si>
  <si>
    <t>NVDA 18FEB22 350.0 C</t>
  </si>
  <si>
    <t>QCOM 18FEB22 155.0 P</t>
  </si>
  <si>
    <t>QCOM 18FEB22 230.0 C</t>
  </si>
  <si>
    <t>SPG 18FEB22 185.0 C</t>
  </si>
  <si>
    <t>UBER 18FEB22 35.0 P</t>
  </si>
  <si>
    <t>Deposits</t>
  </si>
  <si>
    <t>2022-01-06, 10:20:46</t>
  </si>
  <si>
    <t>2022-01-06, 10:21:12</t>
  </si>
  <si>
    <t>2022-01-06, 10:20:35</t>
  </si>
  <si>
    <t>2022-01-10, 15:00:05</t>
  </si>
  <si>
    <t>2022-01-10, 09:50:16</t>
  </si>
  <si>
    <t>2022-01-10, 09:52:01</t>
  </si>
  <si>
    <t>2022-01-10, 11:06:14</t>
  </si>
  <si>
    <t>2022-01-07, 14:20:24</t>
  </si>
  <si>
    <t>2022-01-07, 15:43:29</t>
  </si>
  <si>
    <t>2022-01-10, 14:36:34</t>
  </si>
  <si>
    <t>2022-01-06, 11:48:12</t>
  </si>
  <si>
    <t>2022-01-06, 11:45:06</t>
  </si>
  <si>
    <t>2022-01-10, 15:59:08</t>
  </si>
  <si>
    <t>2022-01-10, 15:01:45</t>
  </si>
  <si>
    <t>2022-01-07, 14:04:42</t>
  </si>
  <si>
    <t>Settle Date</t>
  </si>
  <si>
    <t>Electronic Fund Transfer</t>
  </si>
  <si>
    <t>SLB.65808295</t>
  </si>
  <si>
    <t>SLB.65845254</t>
  </si>
  <si>
    <t>T 1 1/2 08/15/26</t>
  </si>
  <si>
    <t>SLB.65757350</t>
  </si>
  <si>
    <t>SLB.65808090</t>
  </si>
  <si>
    <t>AMD   220218P00105000</t>
  </si>
  <si>
    <t>NOK   220218C00007000</t>
  </si>
  <si>
    <t>NVDA  220218C00350000</t>
  </si>
  <si>
    <t>QCOM  220218C00230000</t>
  </si>
  <si>
    <t>QCOM  220218P00155000</t>
  </si>
  <si>
    <t>SPG   220218C00185000</t>
  </si>
  <si>
    <t>UBER  220218P00035000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</si>
</sst>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0.0_);_(&quot;$&quot;* \(#,##0.0\);_(&quot;$&quot;* &quot;-&quot;??_);_(@_)"/>
    <numFmt numFmtId="165" formatCode="&quot;$&quot;#,##0.00"/>
    <numFmt numFmtId="166" formatCode="&quot;$&quot;#,##0.0"/>
  </numFmts>
  <fonts count="11" x14ac:knownFonts="1">
    <font>
      <sz val="11"/>
      <color theme="1"/>
      <name val="Arial"/>
    </font>
    <font>
      <sz val="11"/>
      <color rgb="FF000000"/>
      <name val="Calibri"/>
    </font>
    <font>
      <b/>
      <sz val="11"/>
      <color theme="1"/>
      <name val="Calibri"/>
    </font>
    <font>
      <sz val="11"/>
      <color theme="1"/>
      <name val="Calibri"/>
    </font>
    <font>
      <b/>
      <sz val="11"/>
      <color rgb="FF000000"/>
      <name val="Calibri"/>
    </font>
    <font>
      <sz val="11"/>
      <color theme="1"/>
      <name val="Calibri"/>
    </font>
    <font>
      <b/>
      <sz val="11"/>
      <color theme="1"/>
      <name val="Calibri"/>
    </font>
    <font>
      <b/>
      <sz val="11"/>
      <color rgb="FF000000"/>
      <name val="Calibri"/>
    </font>
    <font>
      <sz val="11"/>
      <color rgb="FF000000"/>
      <name val="Calibri"/>
    </font>
    <font>
      <b/>
      <i/>
      <sz val="11"/>
      <color theme="1"/>
      <name val="Calibri"/>
    </font>
    <font>
      <i/>
      <sz val="11"/>
      <color theme="1"/>
      <name val="Calibri"/>
    </font>
  </fonts>
  <fills count="4">
    <fill>
      <patternFill patternType="none"/>
    </fill>
    <fill>
      <patternFill patternType="gray125"/>
    </fill>
    <fill>
      <patternFill patternType="solid">
        <fgColor rgb="FFEFEFEF"/>
        <bgColor rgb="FFEFEFEF"/>
      </patternFill>
    </fill>
    <fill>
      <patternFill patternType="solid">
        <fgColor rgb="FFFFFFFF"/>
        <bgColor rgb="FFFFFFFF"/>
      </patternFill>
    </fill>
  </fills>
  <borders count="1">
    <border>
      <left/>
      <right/>
      <top/>
      <bottom/>
      <diagonal/>
    </border>
  </borders>
  <cellStyleXfs count="1">
    <xf numFmtId="0" fontId="0" fillId="0" borderId="0"/>
  </cellStyleXfs>
  <cellXfs count="35">
    <xf numFmtId="0" fontId="0" fillId="0" borderId="0" xfId="0" applyFont="1" applyAlignment="1"/>
    <xf numFmtId="0" fontId="3" fillId="0" borderId="0" xfId="0" applyFont="1" applyAlignment="1">
      <alignment horizontal="center"/>
    </xf>
    <xf numFmtId="0" fontId="7" fillId="0" borderId="0" xfId="0" applyFont="1" applyAlignment="1">
      <alignment horizontal="left" vertical="center"/>
    </xf>
    <xf numFmtId="0" fontId="1" fillId="3" borderId="0" xfId="0" applyFont="1" applyFill="1" applyAlignment="1">
      <alignment horizontal="left" vertical="center"/>
    </xf>
    <xf numFmtId="0" fontId="7" fillId="0" borderId="0" xfId="0" applyFont="1" applyAlignment="1">
      <alignment horizontal="left" vertical="center"/>
    </xf>
    <xf numFmtId="0" fontId="8" fillId="0" borderId="0" xfId="0" applyFont="1"/>
    <xf numFmtId="0" fontId="8" fillId="0" borderId="0" xfId="0" applyFont="1" applyAlignment="1">
      <alignment horizontal="left" vertical="center"/>
    </xf>
    <xf numFmtId="0" fontId="1" fillId="3" borderId="0" xfId="0" applyFont="1" applyFill="1" applyAlignment="1">
      <alignment horizontal="left" vertical="center"/>
    </xf>
    <xf numFmtId="2" fontId="9" fillId="0" borderId="0" xfId="0" applyNumberFormat="1" applyFont="1" applyAlignment="1">
      <alignment horizontal="left"/>
    </xf>
    <xf numFmtId="2" fontId="6" fillId="0" borderId="0" xfId="0" applyNumberFormat="1" applyFont="1" applyAlignment="1">
      <alignment horizontal="left"/>
    </xf>
    <xf numFmtId="2" fontId="5" fillId="0" borderId="0" xfId="0" applyNumberFormat="1" applyFont="1" applyAlignment="1">
      <alignment horizontal="left"/>
    </xf>
    <xf numFmtId="2" fontId="1" fillId="3" borderId="0" xfId="0" applyNumberFormat="1" applyFont="1" applyFill="1" applyAlignment="1">
      <alignment horizontal="left"/>
    </xf>
    <xf numFmtId="2" fontId="6" fillId="0" borderId="0" xfId="0" applyNumberFormat="1" applyFont="1" applyAlignment="1">
      <alignment horizontal="left"/>
    </xf>
    <xf numFmtId="1" fontId="6" fillId="0" borderId="0" xfId="0" applyNumberFormat="1" applyFont="1" applyAlignment="1">
      <alignment horizontal="left"/>
    </xf>
    <xf numFmtId="2" fontId="5" fillId="2" borderId="0" xfId="0" applyNumberFormat="1" applyFont="1" applyFill="1" applyAlignment="1">
      <alignment horizontal="left"/>
    </xf>
    <xf numFmtId="2" fontId="5" fillId="2" borderId="0" xfId="0" applyNumberFormat="1" applyFont="1" applyFill="1" applyAlignment="1">
      <alignment horizontal="left"/>
    </xf>
    <xf numFmtId="2" fontId="5" fillId="0" borderId="0" xfId="0" applyNumberFormat="1" applyFont="1" applyAlignment="1">
      <alignment horizontal="left"/>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0" fillId="0" borderId="0" xfId="0" applyFont="1" applyFill="1" applyBorder="1" applyAlignment="1"/>
    <xf numFmtId="0" fontId="1" fillId="0" borderId="0" xfId="0" applyFont="1" applyFill="1" applyBorder="1" applyAlignment="1">
      <alignment horizontal="center" vertical="center"/>
    </xf>
    <xf numFmtId="164" fontId="3" fillId="0" borderId="0" xfId="0" applyNumberFormat="1" applyFont="1" applyFill="1" applyBorder="1" applyAlignment="1">
      <alignment horizontal="center" vertical="center"/>
    </xf>
    <xf numFmtId="0" fontId="3" fillId="0" borderId="0" xfId="0" applyFont="1" applyFill="1" applyBorder="1" applyAlignment="1">
      <alignment horizontal="center" vertical="center"/>
    </xf>
    <xf numFmtId="0" fontId="0" fillId="0" borderId="0" xfId="0" applyFont="1" applyFill="1" applyBorder="1" applyAlignment="1">
      <alignment horizontal="center"/>
    </xf>
    <xf numFmtId="165" fontId="2" fillId="0" borderId="0" xfId="0" applyNumberFormat="1" applyFont="1" applyAlignment="1">
      <alignment horizontal="center"/>
    </xf>
    <xf numFmtId="0" fontId="10" fillId="0" borderId="0" xfId="0" applyFont="1" applyAlignment="1">
      <alignment horizontal="center"/>
    </xf>
    <xf numFmtId="10" fontId="2" fillId="0" borderId="0" xfId="0" applyNumberFormat="1" applyFont="1" applyAlignment="1">
      <alignment horizontal="center"/>
    </xf>
    <xf numFmtId="166" fontId="3" fillId="0" borderId="0" xfId="0" applyNumberFormat="1" applyFont="1" applyAlignment="1">
      <alignment horizontal="center"/>
    </xf>
    <xf numFmtId="165" fontId="3" fillId="0" borderId="0" xfId="0" applyNumberFormat="1" applyFont="1" applyAlignment="1">
      <alignment horizontal="center"/>
    </xf>
    <xf numFmtId="10" fontId="3" fillId="0" borderId="0" xfId="0" applyNumberFormat="1" applyFont="1" applyAlignment="1">
      <alignment horizontal="center"/>
    </xf>
    <xf numFmtId="0" fontId="2" fillId="0" borderId="0" xfId="0" applyFont="1" applyAlignment="1">
      <alignment horizontal="center"/>
    </xf>
    <xf numFmtId="0" fontId="0" fillId="0" borderId="0" xfId="0"/>
    <xf numFmtId="10" fontId="0" fillId="0" borderId="0" xfId="0" applyNumberFormat="1"/>
    <xf numFmtId="4" fontId="0" fillId="0" borderId="0" xfId="0" applyNumberFormat="1"/>
    <xf numFmtId="14" fontId="0" fillId="0" borderId="0" xfId="0" applyNumberForma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D6DCE4"/>
  </sheetPr>
  <dimension ref="A1:L39"/>
  <sheetViews>
    <sheetView tabSelected="1" workbookViewId="0">
      <pane xSplit="1" topLeftCell="B1" activePane="topRight" state="frozen"/>
      <selection pane="topRight" activeCell="B2" sqref="B2"/>
    </sheetView>
  </sheetViews>
  <sheetFormatPr baseColWidth="10" defaultColWidth="12.6640625" defaultRowHeight="15" customHeight="1" x14ac:dyDescent="0.15"/>
  <cols>
    <col min="1" max="1" width="16.6640625" style="19" customWidth="1"/>
    <col min="2" max="2" width="13.1640625" style="19" customWidth="1"/>
    <col min="3" max="3" width="14.33203125" style="19" customWidth="1"/>
    <col min="4" max="16384" width="12.6640625" style="19"/>
  </cols>
  <sheetData>
    <row r="1" spans="1:12" ht="15" customHeight="1" x14ac:dyDescent="0.2">
      <c r="A1" s="17" t="s">
        <v>37</v>
      </c>
      <c r="B1" s="18" t="s">
        <v>38</v>
      </c>
      <c r="C1" s="18" t="s">
        <v>0</v>
      </c>
      <c r="H1" s="30"/>
      <c r="I1" s="30"/>
      <c r="J1" s="30"/>
      <c r="K1" s="30"/>
      <c r="L1" s="30"/>
    </row>
    <row r="2" spans="1:12" ht="15" customHeight="1" x14ac:dyDescent="0.2">
      <c r="A2" s="20" t="s">
        <v>1</v>
      </c>
      <c r="B2" s="21">
        <v>136.935135135</v>
      </c>
      <c r="C2" s="20">
        <v>370</v>
      </c>
      <c r="H2" s="1"/>
      <c r="I2" s="29"/>
      <c r="J2" s="28"/>
      <c r="K2" s="1"/>
      <c r="L2" s="27"/>
    </row>
    <row r="3" spans="1:12" ht="15" customHeight="1" x14ac:dyDescent="0.2">
      <c r="A3" s="20" t="s">
        <v>12</v>
      </c>
      <c r="B3" s="21">
        <v>82.020340845000007</v>
      </c>
      <c r="C3" s="20">
        <v>710</v>
      </c>
      <c r="H3" s="1"/>
      <c r="I3" s="29"/>
      <c r="J3" s="28"/>
      <c r="K3" s="1"/>
      <c r="L3" s="27"/>
    </row>
    <row r="4" spans="1:12" ht="15" customHeight="1" x14ac:dyDescent="0.2">
      <c r="A4" s="20" t="s">
        <v>2</v>
      </c>
      <c r="B4" s="21">
        <v>3384.094142857</v>
      </c>
      <c r="C4" s="20">
        <v>35</v>
      </c>
      <c r="H4" s="1"/>
      <c r="I4" s="29"/>
      <c r="J4" s="28"/>
      <c r="K4" s="1"/>
      <c r="L4" s="27"/>
    </row>
    <row r="5" spans="1:12" ht="15" customHeight="1" x14ac:dyDescent="0.2">
      <c r="A5" s="20" t="s">
        <v>42</v>
      </c>
      <c r="B5" s="21">
        <v>97.02</v>
      </c>
      <c r="C5" s="20">
        <v>100</v>
      </c>
      <c r="H5" s="1"/>
      <c r="I5" s="29"/>
      <c r="J5" s="28"/>
      <c r="K5" s="1"/>
      <c r="L5" s="27"/>
    </row>
    <row r="6" spans="1:12" ht="15" customHeight="1" x14ac:dyDescent="0.2">
      <c r="A6" s="20" t="s">
        <v>10</v>
      </c>
      <c r="B6" s="21">
        <v>213.02322272699999</v>
      </c>
      <c r="C6" s="20">
        <v>220</v>
      </c>
      <c r="H6" s="1"/>
      <c r="I6" s="29"/>
      <c r="J6" s="28"/>
      <c r="K6" s="1"/>
      <c r="L6" s="27"/>
    </row>
    <row r="7" spans="1:12" ht="15" customHeight="1" x14ac:dyDescent="0.2">
      <c r="A7" s="20" t="s">
        <v>19</v>
      </c>
      <c r="B7" s="21">
        <v>43.976292452999999</v>
      </c>
      <c r="C7" s="20">
        <v>1060</v>
      </c>
      <c r="H7" s="1"/>
      <c r="I7" s="29"/>
      <c r="J7" s="28"/>
      <c r="K7" s="1"/>
      <c r="L7" s="27"/>
    </row>
    <row r="8" spans="1:12" ht="15" customHeight="1" x14ac:dyDescent="0.2">
      <c r="A8" s="20" t="s">
        <v>16</v>
      </c>
      <c r="B8" s="21">
        <v>261.33841666699999</v>
      </c>
      <c r="C8" s="20">
        <v>300</v>
      </c>
      <c r="H8" s="1"/>
      <c r="I8" s="29"/>
      <c r="J8" s="28"/>
      <c r="K8" s="1"/>
      <c r="L8" s="27"/>
    </row>
    <row r="9" spans="1:12" ht="15" customHeight="1" x14ac:dyDescent="0.2">
      <c r="A9" s="20" t="s">
        <v>18</v>
      </c>
      <c r="B9" s="21">
        <v>41.292628571000002</v>
      </c>
      <c r="C9" s="20">
        <v>1050</v>
      </c>
      <c r="H9" s="1"/>
      <c r="I9" s="29"/>
      <c r="J9" s="28"/>
      <c r="K9" s="1"/>
      <c r="L9" s="27"/>
    </row>
    <row r="10" spans="1:12" ht="15" customHeight="1" x14ac:dyDescent="0.2">
      <c r="A10" s="20" t="s">
        <v>24</v>
      </c>
      <c r="B10" s="21">
        <v>11.404442856999999</v>
      </c>
      <c r="C10" s="20">
        <v>1400</v>
      </c>
      <c r="H10" s="1"/>
      <c r="I10" s="29"/>
      <c r="J10" s="28"/>
      <c r="K10" s="1"/>
      <c r="L10" s="27"/>
    </row>
    <row r="11" spans="1:12" ht="15" customHeight="1" x14ac:dyDescent="0.2">
      <c r="A11" s="20" t="s">
        <v>14</v>
      </c>
      <c r="B11" s="21">
        <v>152.28787500000001</v>
      </c>
      <c r="C11" s="20">
        <v>360</v>
      </c>
      <c r="H11" s="1"/>
      <c r="I11" s="29"/>
      <c r="J11" s="28"/>
      <c r="K11" s="1"/>
      <c r="L11" s="27"/>
    </row>
    <row r="12" spans="1:12" ht="15" customHeight="1" x14ac:dyDescent="0.2">
      <c r="A12" s="20" t="s">
        <v>5</v>
      </c>
      <c r="B12" s="21">
        <v>324.61789473699997</v>
      </c>
      <c r="C12" s="20">
        <v>95</v>
      </c>
      <c r="H12" s="1"/>
      <c r="I12" s="29"/>
      <c r="J12" s="28"/>
      <c r="K12" s="1"/>
      <c r="L12" s="27"/>
    </row>
    <row r="13" spans="1:12" ht="15" customHeight="1" x14ac:dyDescent="0.2">
      <c r="A13" s="20" t="s">
        <v>7</v>
      </c>
      <c r="B13" s="21">
        <v>2751.47</v>
      </c>
      <c r="C13" s="20">
        <v>24</v>
      </c>
      <c r="H13" s="1"/>
      <c r="I13" s="29"/>
      <c r="J13" s="28"/>
      <c r="K13" s="1"/>
      <c r="L13" s="27"/>
    </row>
    <row r="14" spans="1:12" x14ac:dyDescent="0.2">
      <c r="A14" s="20" t="s">
        <v>22</v>
      </c>
      <c r="B14" s="21">
        <v>9.9809999999999999</v>
      </c>
      <c r="C14" s="20">
        <v>800</v>
      </c>
      <c r="H14" s="1"/>
      <c r="I14" s="29"/>
      <c r="J14" s="28"/>
      <c r="K14" s="1"/>
      <c r="L14" s="27"/>
    </row>
    <row r="15" spans="1:12" ht="15" customHeight="1" x14ac:dyDescent="0.2">
      <c r="A15" s="20" t="s">
        <v>6</v>
      </c>
      <c r="B15" s="21">
        <v>157.35424</v>
      </c>
      <c r="C15" s="20">
        <v>250</v>
      </c>
      <c r="H15" s="1"/>
      <c r="I15" s="29"/>
      <c r="J15" s="28"/>
      <c r="K15" s="1"/>
      <c r="L15" s="27"/>
    </row>
    <row r="16" spans="1:12" ht="15" customHeight="1" x14ac:dyDescent="0.2">
      <c r="A16" s="20" t="s">
        <v>40</v>
      </c>
      <c r="B16" s="21">
        <v>1288.712</v>
      </c>
      <c r="C16" s="20">
        <v>30</v>
      </c>
      <c r="H16" s="1"/>
      <c r="I16" s="29"/>
      <c r="J16" s="28"/>
      <c r="K16" s="1"/>
      <c r="L16" s="27"/>
    </row>
    <row r="17" spans="1:12" x14ac:dyDescent="0.2">
      <c r="A17" s="20" t="s">
        <v>8</v>
      </c>
      <c r="B17" s="21">
        <v>296.19139999999999</v>
      </c>
      <c r="C17" s="20">
        <v>50</v>
      </c>
      <c r="H17" s="1"/>
      <c r="I17" s="29"/>
      <c r="J17" s="28"/>
      <c r="K17" s="1"/>
      <c r="L17" s="27"/>
    </row>
    <row r="18" spans="1:12" ht="15" customHeight="1" x14ac:dyDescent="0.2">
      <c r="A18" s="20" t="s">
        <v>9</v>
      </c>
      <c r="B18" s="21">
        <v>130.35923076899999</v>
      </c>
      <c r="C18" s="20">
        <v>130</v>
      </c>
      <c r="H18" s="1"/>
      <c r="I18" s="29"/>
      <c r="J18" s="28"/>
      <c r="K18" s="1"/>
      <c r="L18" s="27"/>
    </row>
    <row r="19" spans="1:12" ht="15" customHeight="1" x14ac:dyDescent="0.2">
      <c r="A19" s="20" t="s">
        <v>25</v>
      </c>
      <c r="B19" s="21">
        <v>5.085</v>
      </c>
      <c r="C19" s="20">
        <v>300</v>
      </c>
      <c r="H19" s="1"/>
      <c r="I19" s="29"/>
      <c r="J19" s="28"/>
      <c r="K19" s="1"/>
      <c r="L19" s="27"/>
    </row>
    <row r="20" spans="1:12" ht="15" customHeight="1" x14ac:dyDescent="0.2">
      <c r="A20" s="20" t="s">
        <v>4</v>
      </c>
      <c r="B20" s="21">
        <v>140.307916667</v>
      </c>
      <c r="C20" s="20">
        <v>120</v>
      </c>
      <c r="H20" s="1"/>
      <c r="I20" s="29"/>
      <c r="J20" s="28"/>
      <c r="K20" s="1"/>
      <c r="L20" s="27"/>
    </row>
    <row r="21" spans="1:12" ht="15" customHeight="1" x14ac:dyDescent="0.2">
      <c r="A21" s="20" t="s">
        <v>3</v>
      </c>
      <c r="B21" s="21">
        <v>359.53333333299997</v>
      </c>
      <c r="C21" s="20">
        <v>45</v>
      </c>
      <c r="H21" s="1"/>
      <c r="I21" s="29"/>
      <c r="J21" s="28"/>
      <c r="K21" s="1"/>
      <c r="L21" s="27"/>
    </row>
    <row r="22" spans="1:12" ht="15" customHeight="1" x14ac:dyDescent="0.2">
      <c r="A22" s="20" t="s">
        <v>23</v>
      </c>
      <c r="B22" s="21">
        <v>48.265714285999998</v>
      </c>
      <c r="C22" s="20">
        <v>350</v>
      </c>
      <c r="H22" s="1"/>
      <c r="I22" s="29"/>
      <c r="J22" s="28"/>
      <c r="K22" s="1"/>
      <c r="L22" s="27"/>
    </row>
    <row r="23" spans="1:12" ht="15" customHeight="1" x14ac:dyDescent="0.2">
      <c r="A23" s="20" t="s">
        <v>13</v>
      </c>
      <c r="B23" s="21">
        <v>22.44845814</v>
      </c>
      <c r="C23" s="20">
        <v>4300</v>
      </c>
      <c r="H23" s="1"/>
      <c r="I23" s="29"/>
      <c r="J23" s="28"/>
      <c r="K23" s="1"/>
      <c r="L23" s="27"/>
    </row>
    <row r="24" spans="1:12" ht="15" customHeight="1" x14ac:dyDescent="0.2">
      <c r="A24" s="20" t="s">
        <v>20</v>
      </c>
      <c r="B24" s="21">
        <v>207.147272727</v>
      </c>
      <c r="C24" s="20">
        <v>55</v>
      </c>
      <c r="H24" s="1"/>
      <c r="I24" s="29"/>
      <c r="J24" s="28"/>
      <c r="K24" s="1"/>
      <c r="L24" s="27"/>
    </row>
    <row r="25" spans="1:12" ht="15" customHeight="1" x14ac:dyDescent="0.2">
      <c r="A25" s="20" t="s">
        <v>39</v>
      </c>
      <c r="B25" s="21">
        <v>194.36793442600001</v>
      </c>
      <c r="C25" s="20">
        <v>305</v>
      </c>
      <c r="H25" s="1"/>
      <c r="I25" s="29"/>
      <c r="J25" s="28"/>
      <c r="K25" s="1"/>
      <c r="L25" s="27"/>
    </row>
    <row r="26" spans="1:12" ht="15" customHeight="1" x14ac:dyDescent="0.2">
      <c r="A26" s="20" t="s">
        <v>11</v>
      </c>
      <c r="B26" s="21">
        <v>136.440151515</v>
      </c>
      <c r="C26" s="20">
        <v>330</v>
      </c>
      <c r="H26" s="1"/>
      <c r="I26" s="29"/>
      <c r="J26" s="28"/>
      <c r="K26" s="1"/>
      <c r="L26" s="27"/>
    </row>
    <row r="27" spans="1:12" ht="15" customHeight="1" x14ac:dyDescent="0.2">
      <c r="A27" s="20" t="s">
        <v>21</v>
      </c>
      <c r="B27" s="21">
        <v>129.38409090900001</v>
      </c>
      <c r="C27" s="20">
        <v>220</v>
      </c>
      <c r="H27" s="1"/>
      <c r="I27" s="29"/>
      <c r="J27" s="28"/>
      <c r="K27" s="1"/>
      <c r="L27" s="27"/>
    </row>
    <row r="28" spans="1:12" ht="15" customHeight="1" x14ac:dyDescent="0.2">
      <c r="A28" s="20" t="s">
        <v>15</v>
      </c>
      <c r="B28" s="21">
        <v>634.35</v>
      </c>
      <c r="C28" s="20">
        <v>30</v>
      </c>
      <c r="H28" s="1"/>
      <c r="I28" s="29"/>
      <c r="J28" s="28"/>
      <c r="K28" s="1"/>
      <c r="L28" s="27"/>
    </row>
    <row r="29" spans="1:12" ht="15" customHeight="1" x14ac:dyDescent="0.2">
      <c r="A29" s="20" t="s">
        <v>17</v>
      </c>
      <c r="B29" s="21">
        <v>42.348382608999998</v>
      </c>
      <c r="C29" s="20">
        <v>3450</v>
      </c>
      <c r="H29" s="1"/>
      <c r="I29" s="29"/>
      <c r="J29" s="28"/>
      <c r="K29" s="1"/>
      <c r="L29" s="27"/>
    </row>
    <row r="30" spans="1:12" ht="15" customHeight="1" x14ac:dyDescent="0.2">
      <c r="A30" s="20" t="s">
        <v>41</v>
      </c>
      <c r="B30" s="21">
        <v>118.72817499999999</v>
      </c>
      <c r="C30" s="20">
        <v>400</v>
      </c>
      <c r="H30" s="1"/>
      <c r="I30" s="29"/>
      <c r="J30" s="28"/>
      <c r="K30" s="1"/>
      <c r="L30" s="27"/>
    </row>
    <row r="31" spans="1:12" ht="15" customHeight="1" x14ac:dyDescent="0.2">
      <c r="A31" s="20"/>
      <c r="B31" s="21"/>
      <c r="C31" s="20"/>
      <c r="H31" s="1"/>
      <c r="I31" s="29"/>
      <c r="J31" s="28"/>
      <c r="K31" s="1"/>
      <c r="L31" s="27"/>
    </row>
    <row r="32" spans="1:12" ht="15" customHeight="1" x14ac:dyDescent="0.15">
      <c r="A32" s="20"/>
      <c r="B32" s="21"/>
      <c r="C32" s="22"/>
      <c r="H32"/>
      <c r="I32"/>
      <c r="J32"/>
      <c r="K32"/>
      <c r="L32"/>
    </row>
    <row r="33" spans="1:12" ht="15" customHeight="1" x14ac:dyDescent="0.2">
      <c r="A33" s="20"/>
      <c r="B33" s="21"/>
      <c r="C33" s="20"/>
      <c r="H33" s="25"/>
      <c r="I33" s="26"/>
      <c r="J33" s="1"/>
      <c r="K33" s="25"/>
      <c r="L33" s="24"/>
    </row>
    <row r="34" spans="1:12" ht="15" customHeight="1" x14ac:dyDescent="0.2">
      <c r="A34" s="20"/>
      <c r="B34" s="21"/>
      <c r="C34" s="20"/>
      <c r="H34" s="1"/>
      <c r="I34" s="1"/>
      <c r="J34" s="1"/>
      <c r="K34" s="25"/>
      <c r="L34" s="24"/>
    </row>
    <row r="35" spans="1:12" ht="15" customHeight="1" x14ac:dyDescent="0.15">
      <c r="A35" s="20"/>
      <c r="B35" s="21"/>
      <c r="C35" s="20"/>
    </row>
    <row r="36" spans="1:12" ht="15" customHeight="1" x14ac:dyDescent="0.15">
      <c r="A36" s="20"/>
      <c r="B36" s="21"/>
      <c r="C36" s="20"/>
    </row>
    <row r="37" spans="1:12" ht="15" customHeight="1" x14ac:dyDescent="0.15">
      <c r="A37" s="23"/>
      <c r="B37" s="21"/>
      <c r="C37" s="20"/>
    </row>
    <row r="38" spans="1:12" ht="15" customHeight="1" x14ac:dyDescent="0.15">
      <c r="A38" s="23"/>
      <c r="B38" s="21"/>
      <c r="C38" s="20"/>
    </row>
    <row r="39" spans="1:12" ht="15" customHeight="1" x14ac:dyDescent="0.15">
      <c r="A39" s="23"/>
      <c r="B39" s="21"/>
      <c r="C39" s="20"/>
    </row>
  </sheetData>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78"/>
  <sheetViews>
    <sheetView topLeftCell="A137" workbookViewId="0">
      <selection activeCell="I150" sqref="I150:I178"/>
    </sheetView>
  </sheetViews>
  <sheetFormatPr baseColWidth="10" defaultRowHeight="14" x14ac:dyDescent="0.15"/>
  <cols>
    <col min="1" max="16384" width="10.83203125" style="31"/>
  </cols>
  <sheetData>
    <row r="1" spans="1:8" x14ac:dyDescent="0.15">
      <c r="A1" s="31" t="s">
        <v>43</v>
      </c>
      <c r="B1" s="31" t="s">
        <v>44</v>
      </c>
      <c r="C1" s="31" t="s">
        <v>45</v>
      </c>
      <c r="D1" s="31" t="s">
        <v>46</v>
      </c>
    </row>
    <row r="2" spans="1:8" x14ac:dyDescent="0.15">
      <c r="A2" s="31" t="s">
        <v>43</v>
      </c>
      <c r="B2" s="31" t="s">
        <v>47</v>
      </c>
      <c r="C2" s="31" t="s">
        <v>48</v>
      </c>
      <c r="D2" s="31" t="s">
        <v>49</v>
      </c>
    </row>
    <row r="3" spans="1:8" x14ac:dyDescent="0.15">
      <c r="A3" s="31" t="s">
        <v>43</v>
      </c>
      <c r="B3" s="31" t="s">
        <v>47</v>
      </c>
      <c r="C3" s="31" t="s">
        <v>50</v>
      </c>
      <c r="D3" s="31" t="s">
        <v>51</v>
      </c>
    </row>
    <row r="4" spans="1:8" x14ac:dyDescent="0.15">
      <c r="A4" s="31" t="s">
        <v>43</v>
      </c>
      <c r="B4" s="31" t="s">
        <v>47</v>
      </c>
      <c r="C4" s="31" t="s">
        <v>52</v>
      </c>
      <c r="D4" s="31" t="s">
        <v>53</v>
      </c>
    </row>
    <row r="5" spans="1:8" x14ac:dyDescent="0.15">
      <c r="A5" s="31" t="s">
        <v>43</v>
      </c>
      <c r="B5" s="31" t="s">
        <v>47</v>
      </c>
      <c r="C5" s="31" t="s">
        <v>54</v>
      </c>
      <c r="D5" s="31" t="s">
        <v>465</v>
      </c>
    </row>
    <row r="6" spans="1:8" x14ac:dyDescent="0.15">
      <c r="A6" s="31" t="s">
        <v>43</v>
      </c>
      <c r="B6" s="31" t="s">
        <v>47</v>
      </c>
      <c r="C6" s="31" t="s">
        <v>55</v>
      </c>
      <c r="D6" s="31" t="s">
        <v>466</v>
      </c>
    </row>
    <row r="7" spans="1:8" x14ac:dyDescent="0.15">
      <c r="A7" s="31" t="s">
        <v>56</v>
      </c>
      <c r="B7" s="31" t="s">
        <v>44</v>
      </c>
      <c r="C7" s="31" t="s">
        <v>45</v>
      </c>
      <c r="D7" s="31" t="s">
        <v>46</v>
      </c>
    </row>
    <row r="8" spans="1:8" x14ac:dyDescent="0.15">
      <c r="A8" s="31" t="s">
        <v>56</v>
      </c>
      <c r="B8" s="31" t="s">
        <v>47</v>
      </c>
      <c r="C8" s="31" t="s">
        <v>57</v>
      </c>
      <c r="D8" s="31" t="s">
        <v>58</v>
      </c>
    </row>
    <row r="9" spans="1:8" x14ac:dyDescent="0.15">
      <c r="A9" s="31" t="s">
        <v>56</v>
      </c>
      <c r="B9" s="31" t="s">
        <v>47</v>
      </c>
      <c r="C9" s="31" t="s">
        <v>59</v>
      </c>
      <c r="D9" s="31" t="s">
        <v>60</v>
      </c>
    </row>
    <row r="10" spans="1:8" x14ac:dyDescent="0.15">
      <c r="A10" s="31" t="s">
        <v>56</v>
      </c>
      <c r="B10" s="31" t="s">
        <v>47</v>
      </c>
      <c r="C10" s="31" t="s">
        <v>61</v>
      </c>
      <c r="D10" s="31" t="s">
        <v>62</v>
      </c>
    </row>
    <row r="11" spans="1:8" x14ac:dyDescent="0.15">
      <c r="A11" s="31" t="s">
        <v>56</v>
      </c>
      <c r="B11" s="31" t="s">
        <v>47</v>
      </c>
      <c r="C11" s="31" t="s">
        <v>63</v>
      </c>
      <c r="D11" s="31" t="s">
        <v>64</v>
      </c>
    </row>
    <row r="12" spans="1:8" x14ac:dyDescent="0.15">
      <c r="A12" s="31" t="s">
        <v>56</v>
      </c>
      <c r="B12" s="31" t="s">
        <v>47</v>
      </c>
      <c r="C12" s="31" t="s">
        <v>65</v>
      </c>
      <c r="D12" s="31" t="s">
        <v>66</v>
      </c>
    </row>
    <row r="13" spans="1:8" x14ac:dyDescent="0.15">
      <c r="A13" s="31" t="s">
        <v>56</v>
      </c>
      <c r="B13" s="31" t="s">
        <v>47</v>
      </c>
      <c r="C13" s="31" t="s">
        <v>67</v>
      </c>
      <c r="D13" s="31" t="s">
        <v>68</v>
      </c>
    </row>
    <row r="14" spans="1:8" x14ac:dyDescent="0.15">
      <c r="A14" s="31" t="s">
        <v>69</v>
      </c>
      <c r="B14" s="31" t="s">
        <v>44</v>
      </c>
      <c r="C14" s="31" t="s">
        <v>70</v>
      </c>
      <c r="D14" s="31" t="s">
        <v>71</v>
      </c>
      <c r="E14" s="31" t="s">
        <v>72</v>
      </c>
      <c r="F14" s="31" t="s">
        <v>73</v>
      </c>
      <c r="G14" s="31" t="s">
        <v>74</v>
      </c>
      <c r="H14" s="31" t="s">
        <v>75</v>
      </c>
    </row>
    <row r="15" spans="1:8" x14ac:dyDescent="0.15">
      <c r="A15" s="31" t="s">
        <v>69</v>
      </c>
      <c r="B15" s="31" t="s">
        <v>47</v>
      </c>
      <c r="C15" s="31" t="s">
        <v>76</v>
      </c>
      <c r="D15" s="31">
        <v>124281.7744351</v>
      </c>
      <c r="E15" s="31">
        <v>162204.4306666</v>
      </c>
      <c r="F15" s="31">
        <v>0</v>
      </c>
      <c r="G15" s="31">
        <v>162204.4306666</v>
      </c>
      <c r="H15" s="31">
        <v>37922.656231499997</v>
      </c>
    </row>
    <row r="16" spans="1:8" x14ac:dyDescent="0.15">
      <c r="A16" s="31" t="s">
        <v>69</v>
      </c>
      <c r="B16" s="31" t="s">
        <v>47</v>
      </c>
      <c r="C16" s="31" t="s">
        <v>77</v>
      </c>
      <c r="D16" s="31">
        <v>16572</v>
      </c>
      <c r="E16" s="31">
        <v>50665</v>
      </c>
      <c r="F16" s="31">
        <v>0</v>
      </c>
      <c r="G16" s="31">
        <v>50665</v>
      </c>
      <c r="H16" s="31">
        <v>34093</v>
      </c>
    </row>
    <row r="17" spans="1:8" x14ac:dyDescent="0.15">
      <c r="A17" s="31" t="s">
        <v>69</v>
      </c>
      <c r="B17" s="31" t="s">
        <v>47</v>
      </c>
      <c r="C17" s="31" t="s">
        <v>78</v>
      </c>
      <c r="D17" s="31">
        <v>1250426.1599999999</v>
      </c>
      <c r="E17" s="31">
        <v>1273497.52</v>
      </c>
      <c r="F17" s="31">
        <v>0</v>
      </c>
      <c r="G17" s="31">
        <v>1273497.52</v>
      </c>
      <c r="H17" s="31">
        <v>23071.360000000001</v>
      </c>
    </row>
    <row r="18" spans="1:8" x14ac:dyDescent="0.15">
      <c r="A18" s="31" t="s">
        <v>69</v>
      </c>
      <c r="B18" s="31" t="s">
        <v>47</v>
      </c>
      <c r="C18" s="31" t="s">
        <v>79</v>
      </c>
      <c r="D18" s="31">
        <v>-16572</v>
      </c>
      <c r="E18" s="31">
        <v>0</v>
      </c>
      <c r="F18" s="31">
        <v>-50665</v>
      </c>
      <c r="G18" s="31">
        <v>-50665</v>
      </c>
      <c r="H18" s="31">
        <v>-34093</v>
      </c>
    </row>
    <row r="19" spans="1:8" x14ac:dyDescent="0.15">
      <c r="A19" s="31" t="s">
        <v>69</v>
      </c>
      <c r="B19" s="31" t="s">
        <v>47</v>
      </c>
      <c r="C19" s="31" t="s">
        <v>80</v>
      </c>
      <c r="D19" s="31">
        <v>-896.79</v>
      </c>
      <c r="E19" s="31">
        <v>0</v>
      </c>
      <c r="F19" s="31">
        <v>-2180.9699999999998</v>
      </c>
      <c r="G19" s="31">
        <v>-2180.9699999999998</v>
      </c>
      <c r="H19" s="31">
        <v>-1284.18</v>
      </c>
    </row>
    <row r="20" spans="1:8" x14ac:dyDescent="0.15">
      <c r="A20" s="31" t="s">
        <v>69</v>
      </c>
      <c r="B20" s="31" t="s">
        <v>47</v>
      </c>
      <c r="C20" s="31" t="s">
        <v>81</v>
      </c>
      <c r="D20" s="31">
        <v>172</v>
      </c>
      <c r="E20" s="31">
        <v>13.41</v>
      </c>
      <c r="F20" s="31">
        <v>0</v>
      </c>
      <c r="G20" s="31">
        <v>13.41</v>
      </c>
      <c r="H20" s="31">
        <v>-158.59</v>
      </c>
    </row>
    <row r="21" spans="1:8" x14ac:dyDescent="0.15">
      <c r="A21" s="31" t="s">
        <v>69</v>
      </c>
      <c r="B21" s="31" t="s">
        <v>47</v>
      </c>
      <c r="C21" s="31" t="s">
        <v>82</v>
      </c>
      <c r="D21" s="31">
        <v>50.51</v>
      </c>
      <c r="E21" s="31">
        <v>175</v>
      </c>
      <c r="F21" s="31">
        <v>-5.46</v>
      </c>
      <c r="G21" s="31">
        <v>169.54</v>
      </c>
      <c r="H21" s="31">
        <v>119.03</v>
      </c>
    </row>
    <row r="22" spans="1:8" x14ac:dyDescent="0.15">
      <c r="A22" s="31" t="s">
        <v>69</v>
      </c>
      <c r="B22" s="31" t="s">
        <v>47</v>
      </c>
      <c r="C22" s="31" t="s">
        <v>83</v>
      </c>
      <c r="D22" s="31">
        <v>1374033.6544351</v>
      </c>
      <c r="E22" s="31">
        <v>1486555.3606666001</v>
      </c>
      <c r="F22" s="31">
        <v>-52851.43</v>
      </c>
      <c r="G22" s="31">
        <v>1433703.9306665999</v>
      </c>
      <c r="H22" s="31">
        <v>59670.2762315</v>
      </c>
    </row>
    <row r="23" spans="1:8" x14ac:dyDescent="0.15">
      <c r="A23" s="31" t="s">
        <v>69</v>
      </c>
      <c r="B23" s="31" t="s">
        <v>44</v>
      </c>
      <c r="C23" s="31" t="s">
        <v>84</v>
      </c>
    </row>
    <row r="24" spans="1:8" x14ac:dyDescent="0.15">
      <c r="A24" s="31" t="s">
        <v>69</v>
      </c>
      <c r="B24" s="31" t="s">
        <v>47</v>
      </c>
      <c r="C24" s="32">
        <v>-2.860615323E-2</v>
      </c>
    </row>
    <row r="25" spans="1:8" x14ac:dyDescent="0.15">
      <c r="A25" s="31" t="s">
        <v>85</v>
      </c>
      <c r="B25" s="31" t="s">
        <v>44</v>
      </c>
      <c r="C25" s="31" t="s">
        <v>45</v>
      </c>
      <c r="D25" s="31" t="s">
        <v>46</v>
      </c>
    </row>
    <row r="26" spans="1:8" x14ac:dyDescent="0.15">
      <c r="A26" s="31" t="s">
        <v>85</v>
      </c>
      <c r="B26" s="31" t="s">
        <v>47</v>
      </c>
      <c r="C26" s="31" t="s">
        <v>86</v>
      </c>
      <c r="D26" s="31">
        <v>1374033.6544351</v>
      </c>
    </row>
    <row r="27" spans="1:8" x14ac:dyDescent="0.15">
      <c r="A27" s="31" t="s">
        <v>85</v>
      </c>
      <c r="B27" s="31" t="s">
        <v>47</v>
      </c>
      <c r="C27" s="31" t="s">
        <v>87</v>
      </c>
      <c r="D27" s="31">
        <v>-40519.42</v>
      </c>
    </row>
    <row r="28" spans="1:8" x14ac:dyDescent="0.15">
      <c r="A28" s="31" t="s">
        <v>85</v>
      </c>
      <c r="B28" s="31" t="s">
        <v>47</v>
      </c>
      <c r="C28" s="31" t="s">
        <v>467</v>
      </c>
      <c r="D28" s="31">
        <v>100000</v>
      </c>
    </row>
    <row r="29" spans="1:8" x14ac:dyDescent="0.15">
      <c r="A29" s="31" t="s">
        <v>85</v>
      </c>
      <c r="B29" s="31" t="s">
        <v>47</v>
      </c>
      <c r="C29" s="31" t="s">
        <v>88</v>
      </c>
      <c r="D29" s="31">
        <v>78.25</v>
      </c>
    </row>
    <row r="30" spans="1:8" x14ac:dyDescent="0.15">
      <c r="A30" s="31" t="s">
        <v>85</v>
      </c>
      <c r="B30" s="31" t="s">
        <v>47</v>
      </c>
      <c r="C30" s="31" t="s">
        <v>89</v>
      </c>
      <c r="D30" s="31">
        <v>119.03</v>
      </c>
    </row>
    <row r="31" spans="1:8" x14ac:dyDescent="0.15">
      <c r="A31" s="31" t="s">
        <v>85</v>
      </c>
      <c r="B31" s="31" t="s">
        <v>47</v>
      </c>
      <c r="C31" s="31" t="s">
        <v>90</v>
      </c>
      <c r="D31" s="31">
        <v>176.22</v>
      </c>
    </row>
    <row r="32" spans="1:8" x14ac:dyDescent="0.15">
      <c r="A32" s="31" t="s">
        <v>85</v>
      </c>
      <c r="B32" s="31" t="s">
        <v>47</v>
      </c>
      <c r="C32" s="31" t="s">
        <v>91</v>
      </c>
      <c r="D32" s="31">
        <v>-158.59</v>
      </c>
    </row>
    <row r="33" spans="1:14" x14ac:dyDescent="0.15">
      <c r="A33" s="31" t="s">
        <v>85</v>
      </c>
      <c r="B33" s="31" t="s">
        <v>47</v>
      </c>
      <c r="C33" s="31" t="s">
        <v>92</v>
      </c>
      <c r="D33" s="31">
        <v>-25.2137685</v>
      </c>
    </row>
    <row r="34" spans="1:14" x14ac:dyDescent="0.15">
      <c r="A34" s="31" t="s">
        <v>85</v>
      </c>
      <c r="B34" s="31" t="s">
        <v>47</v>
      </c>
      <c r="C34" s="31" t="s">
        <v>93</v>
      </c>
      <c r="D34" s="31">
        <v>1433703.9306665999</v>
      </c>
    </row>
    <row r="35" spans="1:14" x14ac:dyDescent="0.15">
      <c r="A35" s="31" t="s">
        <v>94</v>
      </c>
      <c r="B35" s="31" t="s">
        <v>44</v>
      </c>
      <c r="C35" s="31" t="s">
        <v>95</v>
      </c>
      <c r="D35" s="31" t="s">
        <v>96</v>
      </c>
      <c r="E35" s="31" t="s">
        <v>97</v>
      </c>
      <c r="F35" s="31" t="s">
        <v>98</v>
      </c>
      <c r="G35" s="31" t="s">
        <v>99</v>
      </c>
      <c r="H35" s="31" t="s">
        <v>100</v>
      </c>
      <c r="I35" s="31" t="s">
        <v>101</v>
      </c>
      <c r="J35" s="31" t="s">
        <v>102</v>
      </c>
      <c r="K35" s="31" t="s">
        <v>103</v>
      </c>
      <c r="L35" s="31" t="s">
        <v>104</v>
      </c>
      <c r="M35" s="31" t="s">
        <v>105</v>
      </c>
      <c r="N35" s="31" t="s">
        <v>106</v>
      </c>
    </row>
    <row r="36" spans="1:14" x14ac:dyDescent="0.15">
      <c r="A36" s="31" t="s">
        <v>94</v>
      </c>
      <c r="B36" s="31" t="s">
        <v>47</v>
      </c>
      <c r="C36" s="31" t="s">
        <v>107</v>
      </c>
      <c r="D36" s="31" t="s">
        <v>1</v>
      </c>
      <c r="E36" s="31">
        <v>370</v>
      </c>
      <c r="F36" s="31">
        <v>370</v>
      </c>
      <c r="G36" s="31">
        <v>177.57</v>
      </c>
      <c r="H36" s="31">
        <v>172.19</v>
      </c>
      <c r="I36" s="31">
        <v>-1990.6</v>
      </c>
      <c r="J36" s="31">
        <v>0</v>
      </c>
      <c r="K36" s="31">
        <v>0</v>
      </c>
      <c r="L36" s="31">
        <v>0</v>
      </c>
      <c r="M36" s="31">
        <v>-1990.6</v>
      </c>
    </row>
    <row r="37" spans="1:14" x14ac:dyDescent="0.15">
      <c r="A37" s="31" t="s">
        <v>94</v>
      </c>
      <c r="B37" s="31" t="s">
        <v>47</v>
      </c>
      <c r="C37" s="31" t="s">
        <v>107</v>
      </c>
      <c r="D37" s="31" t="s">
        <v>12</v>
      </c>
      <c r="E37" s="31">
        <v>660</v>
      </c>
      <c r="F37" s="31">
        <v>710</v>
      </c>
      <c r="G37" s="31">
        <v>143.9</v>
      </c>
      <c r="H37" s="31">
        <v>132</v>
      </c>
      <c r="I37" s="31">
        <v>-8065.5</v>
      </c>
      <c r="J37" s="31">
        <v>117.25</v>
      </c>
      <c r="K37" s="31">
        <v>-1</v>
      </c>
      <c r="L37" s="31">
        <v>0</v>
      </c>
      <c r="M37" s="31">
        <v>-7949.25</v>
      </c>
    </row>
    <row r="38" spans="1:14" x14ac:dyDescent="0.15">
      <c r="A38" s="31" t="s">
        <v>94</v>
      </c>
      <c r="B38" s="31" t="s">
        <v>47</v>
      </c>
      <c r="C38" s="31" t="s">
        <v>107</v>
      </c>
      <c r="D38" s="31" t="s">
        <v>2</v>
      </c>
      <c r="E38" s="31">
        <v>34</v>
      </c>
      <c r="F38" s="31">
        <v>35</v>
      </c>
      <c r="G38" s="33">
        <v>3334.34</v>
      </c>
      <c r="H38" s="33">
        <v>3229.72</v>
      </c>
      <c r="I38" s="31">
        <v>-3614.5</v>
      </c>
      <c r="J38" s="31">
        <v>-31.06</v>
      </c>
      <c r="K38" s="31">
        <v>-1</v>
      </c>
      <c r="L38" s="31">
        <v>0</v>
      </c>
      <c r="M38" s="31">
        <v>-3646.56</v>
      </c>
    </row>
    <row r="39" spans="1:14" x14ac:dyDescent="0.15">
      <c r="A39" s="31" t="s">
        <v>94</v>
      </c>
      <c r="B39" s="31" t="s">
        <v>47</v>
      </c>
      <c r="C39" s="31" t="s">
        <v>107</v>
      </c>
      <c r="D39" s="31" t="s">
        <v>42</v>
      </c>
      <c r="E39" s="31">
        <v>100</v>
      </c>
      <c r="F39" s="31">
        <v>100</v>
      </c>
      <c r="G39" s="31">
        <v>94.59</v>
      </c>
      <c r="H39" s="31">
        <v>84.64</v>
      </c>
      <c r="I39" s="31">
        <v>-995</v>
      </c>
      <c r="J39" s="31">
        <v>0</v>
      </c>
      <c r="K39" s="31">
        <v>0</v>
      </c>
      <c r="L39" s="31">
        <v>78.25</v>
      </c>
      <c r="M39" s="31">
        <v>-916.75</v>
      </c>
    </row>
    <row r="40" spans="1:14" x14ac:dyDescent="0.15">
      <c r="A40" s="31" t="s">
        <v>94</v>
      </c>
      <c r="B40" s="31" t="s">
        <v>47</v>
      </c>
      <c r="C40" s="31" t="s">
        <v>107</v>
      </c>
      <c r="D40" s="31" t="s">
        <v>10</v>
      </c>
      <c r="E40" s="31">
        <v>220</v>
      </c>
      <c r="F40" s="31">
        <v>220</v>
      </c>
      <c r="G40" s="31">
        <v>118.79</v>
      </c>
      <c r="H40" s="31">
        <v>128.30000000000001</v>
      </c>
      <c r="I40" s="31">
        <v>2092.1999999999998</v>
      </c>
      <c r="J40" s="31">
        <v>0</v>
      </c>
      <c r="K40" s="31">
        <v>0</v>
      </c>
      <c r="L40" s="31">
        <v>0</v>
      </c>
      <c r="M40" s="31">
        <v>2092.1999999999998</v>
      </c>
    </row>
    <row r="41" spans="1:14" x14ac:dyDescent="0.15">
      <c r="A41" s="31" t="s">
        <v>94</v>
      </c>
      <c r="B41" s="31" t="s">
        <v>47</v>
      </c>
      <c r="C41" s="31" t="s">
        <v>107</v>
      </c>
      <c r="D41" s="31" t="s">
        <v>19</v>
      </c>
      <c r="E41" s="31">
        <v>1060</v>
      </c>
      <c r="F41" s="31">
        <v>1060</v>
      </c>
      <c r="G41" s="31">
        <v>44.49</v>
      </c>
      <c r="H41" s="31">
        <v>48.93</v>
      </c>
      <c r="I41" s="31">
        <v>4706.3999999999996</v>
      </c>
      <c r="J41" s="31">
        <v>0</v>
      </c>
      <c r="K41" s="31">
        <v>0</v>
      </c>
      <c r="L41" s="31">
        <v>0</v>
      </c>
      <c r="M41" s="31">
        <v>4706.3999999999996</v>
      </c>
    </row>
    <row r="42" spans="1:14" x14ac:dyDescent="0.15">
      <c r="A42" s="31" t="s">
        <v>94</v>
      </c>
      <c r="B42" s="31" t="s">
        <v>47</v>
      </c>
      <c r="C42" s="31" t="s">
        <v>107</v>
      </c>
      <c r="D42" s="31" t="s">
        <v>16</v>
      </c>
      <c r="E42" s="31">
        <v>265</v>
      </c>
      <c r="F42" s="31">
        <v>300</v>
      </c>
      <c r="G42" s="31">
        <v>252.37</v>
      </c>
      <c r="H42" s="31">
        <v>225.01</v>
      </c>
      <c r="I42" s="31">
        <v>-7565.05</v>
      </c>
      <c r="J42" s="31">
        <v>276.14999999999998</v>
      </c>
      <c r="K42" s="31">
        <v>-1</v>
      </c>
      <c r="L42" s="31">
        <v>0</v>
      </c>
      <c r="M42" s="31">
        <v>-7289.9</v>
      </c>
    </row>
    <row r="43" spans="1:14" x14ac:dyDescent="0.15">
      <c r="A43" s="31" t="s">
        <v>94</v>
      </c>
      <c r="B43" s="31" t="s">
        <v>47</v>
      </c>
      <c r="C43" s="31" t="s">
        <v>107</v>
      </c>
      <c r="D43" s="31" t="s">
        <v>18</v>
      </c>
      <c r="E43" s="31">
        <v>1050</v>
      </c>
      <c r="F43" s="31">
        <v>1050</v>
      </c>
      <c r="G43" s="31">
        <v>39.08</v>
      </c>
      <c r="H43" s="31">
        <v>40.630000000000003</v>
      </c>
      <c r="I43" s="31">
        <v>1627.5</v>
      </c>
      <c r="J43" s="31">
        <v>0</v>
      </c>
      <c r="K43" s="31">
        <v>0</v>
      </c>
      <c r="L43" s="31">
        <v>0</v>
      </c>
      <c r="M43" s="31">
        <v>1627.5</v>
      </c>
    </row>
    <row r="44" spans="1:14" x14ac:dyDescent="0.15">
      <c r="A44" s="31" t="s">
        <v>94</v>
      </c>
      <c r="B44" s="31" t="s">
        <v>47</v>
      </c>
      <c r="C44" s="31" t="s">
        <v>107</v>
      </c>
      <c r="D44" s="31" t="s">
        <v>24</v>
      </c>
      <c r="E44" s="31">
        <v>1400</v>
      </c>
      <c r="F44" s="31">
        <v>1400</v>
      </c>
      <c r="G44" s="31">
        <v>4.9800000000000004</v>
      </c>
      <c r="H44" s="31">
        <v>4.49</v>
      </c>
      <c r="I44" s="31">
        <v>-686</v>
      </c>
      <c r="J44" s="31">
        <v>0</v>
      </c>
      <c r="K44" s="31">
        <v>0</v>
      </c>
      <c r="L44" s="31">
        <v>0</v>
      </c>
      <c r="M44" s="31">
        <v>-686</v>
      </c>
    </row>
    <row r="45" spans="1:14" x14ac:dyDescent="0.15">
      <c r="A45" s="31" t="s">
        <v>94</v>
      </c>
      <c r="B45" s="31" t="s">
        <v>47</v>
      </c>
      <c r="C45" s="31" t="s">
        <v>107</v>
      </c>
      <c r="D45" s="31" t="s">
        <v>14</v>
      </c>
      <c r="E45" s="31">
        <v>290</v>
      </c>
      <c r="F45" s="31">
        <v>360</v>
      </c>
      <c r="G45" s="31">
        <v>154.88999999999999</v>
      </c>
      <c r="H45" s="31">
        <v>156.6</v>
      </c>
      <c r="I45" s="31">
        <v>483.9</v>
      </c>
      <c r="J45" s="31">
        <v>113.58</v>
      </c>
      <c r="K45" s="31">
        <v>-2</v>
      </c>
      <c r="L45" s="31">
        <v>0</v>
      </c>
      <c r="M45" s="31">
        <v>595.48</v>
      </c>
    </row>
    <row r="46" spans="1:14" x14ac:dyDescent="0.15">
      <c r="A46" s="31" t="s">
        <v>94</v>
      </c>
      <c r="B46" s="31" t="s">
        <v>47</v>
      </c>
      <c r="C46" s="31" t="s">
        <v>107</v>
      </c>
      <c r="D46" s="31" t="s">
        <v>5</v>
      </c>
      <c r="E46" s="31">
        <v>55</v>
      </c>
      <c r="F46" s="31">
        <v>95</v>
      </c>
      <c r="G46" s="31">
        <v>336.35</v>
      </c>
      <c r="H46" s="31">
        <v>328.07</v>
      </c>
      <c r="I46" s="31">
        <v>-377.4</v>
      </c>
      <c r="J46" s="31">
        <v>14.2</v>
      </c>
      <c r="K46" s="31">
        <v>-2</v>
      </c>
      <c r="L46" s="31">
        <v>0</v>
      </c>
      <c r="M46" s="31">
        <v>-365.2</v>
      </c>
    </row>
    <row r="47" spans="1:14" x14ac:dyDescent="0.15">
      <c r="A47" s="31" t="s">
        <v>94</v>
      </c>
      <c r="B47" s="31" t="s">
        <v>47</v>
      </c>
      <c r="C47" s="31" t="s">
        <v>107</v>
      </c>
      <c r="D47" s="31" t="s">
        <v>7</v>
      </c>
      <c r="E47" s="31">
        <v>20</v>
      </c>
      <c r="F47" s="31">
        <v>24</v>
      </c>
      <c r="G47" s="33">
        <v>2893.59</v>
      </c>
      <c r="H47" s="33">
        <v>2771.48</v>
      </c>
      <c r="I47" s="31">
        <v>-2405.38</v>
      </c>
      <c r="J47" s="31">
        <v>73.52</v>
      </c>
      <c r="K47" s="31">
        <v>-2</v>
      </c>
      <c r="L47" s="31">
        <v>0</v>
      </c>
      <c r="M47" s="31">
        <v>-2333.86</v>
      </c>
    </row>
    <row r="48" spans="1:14" x14ac:dyDescent="0.15">
      <c r="A48" s="31" t="s">
        <v>94</v>
      </c>
      <c r="B48" s="31" t="s">
        <v>47</v>
      </c>
      <c r="C48" s="31" t="s">
        <v>107</v>
      </c>
      <c r="D48" s="31" t="s">
        <v>22</v>
      </c>
      <c r="E48" s="31">
        <v>800</v>
      </c>
      <c r="F48" s="31">
        <v>800</v>
      </c>
      <c r="G48" s="31">
        <v>4.5599999999999996</v>
      </c>
      <c r="H48" s="31">
        <v>4.6100000000000003</v>
      </c>
      <c r="I48" s="31">
        <v>40</v>
      </c>
      <c r="J48" s="31">
        <v>0</v>
      </c>
      <c r="K48" s="31">
        <v>0</v>
      </c>
      <c r="L48" s="31">
        <v>0</v>
      </c>
      <c r="M48" s="31">
        <v>40</v>
      </c>
    </row>
    <row r="49" spans="1:13" x14ac:dyDescent="0.15">
      <c r="A49" s="31" t="s">
        <v>94</v>
      </c>
      <c r="B49" s="31" t="s">
        <v>47</v>
      </c>
      <c r="C49" s="31" t="s">
        <v>107</v>
      </c>
      <c r="D49" s="31" t="s">
        <v>6</v>
      </c>
      <c r="E49" s="31">
        <v>250</v>
      </c>
      <c r="F49" s="31">
        <v>250</v>
      </c>
      <c r="G49" s="31">
        <v>158.35</v>
      </c>
      <c r="H49" s="31">
        <v>167.32</v>
      </c>
      <c r="I49" s="31">
        <v>2242.5</v>
      </c>
      <c r="J49" s="31">
        <v>0</v>
      </c>
      <c r="K49" s="31">
        <v>0</v>
      </c>
      <c r="L49" s="31">
        <v>0</v>
      </c>
      <c r="M49" s="31">
        <v>2242.5</v>
      </c>
    </row>
    <row r="50" spans="1:13" x14ac:dyDescent="0.15">
      <c r="A50" s="31" t="s">
        <v>94</v>
      </c>
      <c r="B50" s="31" t="s">
        <v>47</v>
      </c>
      <c r="C50" s="31" t="s">
        <v>107</v>
      </c>
      <c r="D50" s="31" t="s">
        <v>40</v>
      </c>
      <c r="E50" s="31">
        <v>30</v>
      </c>
      <c r="F50" s="31">
        <v>30</v>
      </c>
      <c r="G50" s="33">
        <v>1348.4</v>
      </c>
      <c r="H50" s="33">
        <v>1053.31</v>
      </c>
      <c r="I50" s="31">
        <v>-8852.7000000000007</v>
      </c>
      <c r="J50" s="31">
        <v>0</v>
      </c>
      <c r="K50" s="31">
        <v>0</v>
      </c>
      <c r="L50" s="31">
        <v>0</v>
      </c>
      <c r="M50" s="31">
        <v>-8852.7000000000007</v>
      </c>
    </row>
    <row r="51" spans="1:13" x14ac:dyDescent="0.15">
      <c r="A51" s="31" t="s">
        <v>94</v>
      </c>
      <c r="B51" s="31" t="s">
        <v>47</v>
      </c>
      <c r="C51" s="31" t="s">
        <v>107</v>
      </c>
      <c r="D51" s="31" t="s">
        <v>8</v>
      </c>
      <c r="E51" s="31">
        <v>50</v>
      </c>
      <c r="F51" s="31">
        <v>50</v>
      </c>
      <c r="G51" s="31">
        <v>336.32</v>
      </c>
      <c r="H51" s="31">
        <v>314.27</v>
      </c>
      <c r="I51" s="31">
        <v>-1102.5</v>
      </c>
      <c r="J51" s="31">
        <v>0</v>
      </c>
      <c r="K51" s="31">
        <v>0</v>
      </c>
      <c r="L51" s="31">
        <v>0</v>
      </c>
      <c r="M51" s="31">
        <v>-1102.5</v>
      </c>
    </row>
    <row r="52" spans="1:13" x14ac:dyDescent="0.15">
      <c r="A52" s="31" t="s">
        <v>94</v>
      </c>
      <c r="B52" s="31" t="s">
        <v>47</v>
      </c>
      <c r="C52" s="31" t="s">
        <v>107</v>
      </c>
      <c r="D52" s="31" t="s">
        <v>9</v>
      </c>
      <c r="E52" s="31">
        <v>130</v>
      </c>
      <c r="F52" s="31">
        <v>130</v>
      </c>
      <c r="G52" s="31">
        <v>166.67</v>
      </c>
      <c r="H52" s="31">
        <v>150.44</v>
      </c>
      <c r="I52" s="31">
        <v>-2109.9</v>
      </c>
      <c r="J52" s="31">
        <v>0</v>
      </c>
      <c r="K52" s="31">
        <v>0</v>
      </c>
      <c r="L52" s="31">
        <v>0</v>
      </c>
      <c r="M52" s="31">
        <v>-2109.9</v>
      </c>
    </row>
    <row r="53" spans="1:13" x14ac:dyDescent="0.15">
      <c r="A53" s="31" t="s">
        <v>94</v>
      </c>
      <c r="B53" s="31" t="s">
        <v>47</v>
      </c>
      <c r="C53" s="31" t="s">
        <v>107</v>
      </c>
      <c r="D53" s="31" t="s">
        <v>25</v>
      </c>
      <c r="E53" s="31">
        <v>300</v>
      </c>
      <c r="F53" s="31">
        <v>300</v>
      </c>
      <c r="G53" s="31">
        <v>6.22</v>
      </c>
      <c r="H53" s="31">
        <v>6.17</v>
      </c>
      <c r="I53" s="31">
        <v>-15</v>
      </c>
      <c r="J53" s="31">
        <v>0</v>
      </c>
      <c r="K53" s="31">
        <v>0</v>
      </c>
      <c r="L53" s="31">
        <v>0</v>
      </c>
      <c r="M53" s="31">
        <v>-15</v>
      </c>
    </row>
    <row r="54" spans="1:13" x14ac:dyDescent="0.15">
      <c r="A54" s="31" t="s">
        <v>94</v>
      </c>
      <c r="B54" s="31" t="s">
        <v>47</v>
      </c>
      <c r="C54" s="31" t="s">
        <v>107</v>
      </c>
      <c r="D54" s="31" t="s">
        <v>4</v>
      </c>
      <c r="E54" s="31">
        <v>120</v>
      </c>
      <c r="F54" s="31">
        <v>120</v>
      </c>
      <c r="G54" s="31">
        <v>294.11</v>
      </c>
      <c r="H54" s="31">
        <v>274</v>
      </c>
      <c r="I54" s="31">
        <v>-2413.1999999999998</v>
      </c>
      <c r="J54" s="31">
        <v>0</v>
      </c>
      <c r="K54" s="31">
        <v>0</v>
      </c>
      <c r="L54" s="31">
        <v>0</v>
      </c>
      <c r="M54" s="31">
        <v>-2413.1999999999998</v>
      </c>
    </row>
    <row r="55" spans="1:13" x14ac:dyDescent="0.15">
      <c r="A55" s="31" t="s">
        <v>94</v>
      </c>
      <c r="B55" s="31" t="s">
        <v>47</v>
      </c>
      <c r="C55" s="31" t="s">
        <v>107</v>
      </c>
      <c r="D55" s="31" t="s">
        <v>3</v>
      </c>
      <c r="E55" s="31">
        <v>45</v>
      </c>
      <c r="F55" s="31">
        <v>45</v>
      </c>
      <c r="G55" s="31">
        <v>556.76</v>
      </c>
      <c r="H55" s="31">
        <v>522.61</v>
      </c>
      <c r="I55" s="31">
        <v>-1536.75</v>
      </c>
      <c r="J55" s="31">
        <v>0</v>
      </c>
      <c r="K55" s="31">
        <v>0</v>
      </c>
      <c r="L55" s="31">
        <v>0</v>
      </c>
      <c r="M55" s="31">
        <v>-1536.75</v>
      </c>
    </row>
    <row r="56" spans="1:13" x14ac:dyDescent="0.15">
      <c r="A56" s="31" t="s">
        <v>94</v>
      </c>
      <c r="B56" s="31" t="s">
        <v>47</v>
      </c>
      <c r="C56" s="31" t="s">
        <v>107</v>
      </c>
      <c r="D56" s="31" t="s">
        <v>23</v>
      </c>
      <c r="E56" s="31">
        <v>350</v>
      </c>
      <c r="F56" s="31">
        <v>350</v>
      </c>
      <c r="G56" s="31">
        <v>59.05</v>
      </c>
      <c r="H56" s="31">
        <v>56.24</v>
      </c>
      <c r="I56" s="31">
        <v>-983.5</v>
      </c>
      <c r="J56" s="31">
        <v>0</v>
      </c>
      <c r="K56" s="31">
        <v>0</v>
      </c>
      <c r="L56" s="31">
        <v>0</v>
      </c>
      <c r="M56" s="31">
        <v>-983.5</v>
      </c>
    </row>
    <row r="57" spans="1:13" x14ac:dyDescent="0.15">
      <c r="A57" s="31" t="s">
        <v>94</v>
      </c>
      <c r="B57" s="31" t="s">
        <v>47</v>
      </c>
      <c r="C57" s="31" t="s">
        <v>107</v>
      </c>
      <c r="D57" s="31" t="s">
        <v>13</v>
      </c>
      <c r="E57" s="31">
        <v>4300</v>
      </c>
      <c r="F57" s="31">
        <v>4300</v>
      </c>
      <c r="G57" s="31">
        <v>18.21</v>
      </c>
      <c r="H57" s="31">
        <v>16.5</v>
      </c>
      <c r="I57" s="31">
        <v>-7353</v>
      </c>
      <c r="J57" s="31">
        <v>0</v>
      </c>
      <c r="K57" s="31">
        <v>0</v>
      </c>
      <c r="L57" s="31">
        <v>0</v>
      </c>
      <c r="M57" s="31">
        <v>-7353</v>
      </c>
    </row>
    <row r="58" spans="1:13" x14ac:dyDescent="0.15">
      <c r="A58" s="31" t="s">
        <v>94</v>
      </c>
      <c r="B58" s="31" t="s">
        <v>47</v>
      </c>
      <c r="C58" s="31" t="s">
        <v>107</v>
      </c>
      <c r="D58" s="31" t="s">
        <v>20</v>
      </c>
      <c r="E58" s="31">
        <v>55</v>
      </c>
      <c r="F58" s="31">
        <v>55</v>
      </c>
      <c r="G58" s="31">
        <v>200.52</v>
      </c>
      <c r="H58" s="31">
        <v>222.45</v>
      </c>
      <c r="I58" s="31">
        <v>1206.1500000000001</v>
      </c>
      <c r="J58" s="31">
        <v>0</v>
      </c>
      <c r="K58" s="31">
        <v>0</v>
      </c>
      <c r="L58" s="31">
        <v>0</v>
      </c>
      <c r="M58" s="31">
        <v>1206.1500000000001</v>
      </c>
    </row>
    <row r="59" spans="1:13" x14ac:dyDescent="0.15">
      <c r="A59" s="31" t="s">
        <v>94</v>
      </c>
      <c r="B59" s="31" t="s">
        <v>47</v>
      </c>
      <c r="C59" s="31" t="s">
        <v>107</v>
      </c>
      <c r="D59" s="31" t="s">
        <v>39</v>
      </c>
      <c r="E59" s="31">
        <v>305</v>
      </c>
      <c r="F59" s="31">
        <v>305</v>
      </c>
      <c r="G59" s="31">
        <v>188.58</v>
      </c>
      <c r="H59" s="31">
        <v>182.95</v>
      </c>
      <c r="I59" s="31">
        <v>-1717.15</v>
      </c>
      <c r="J59" s="31">
        <v>0</v>
      </c>
      <c r="K59" s="31">
        <v>0</v>
      </c>
      <c r="L59" s="31">
        <v>0</v>
      </c>
      <c r="M59" s="31">
        <v>-1717.15</v>
      </c>
    </row>
    <row r="60" spans="1:13" x14ac:dyDescent="0.15">
      <c r="A60" s="31" t="s">
        <v>94</v>
      </c>
      <c r="B60" s="31" t="s">
        <v>47</v>
      </c>
      <c r="C60" s="31" t="s">
        <v>107</v>
      </c>
      <c r="D60" s="31" t="s">
        <v>11</v>
      </c>
      <c r="E60" s="31">
        <v>300</v>
      </c>
      <c r="F60" s="31">
        <v>330</v>
      </c>
      <c r="G60" s="31">
        <v>182.87</v>
      </c>
      <c r="H60" s="31">
        <v>179.68</v>
      </c>
      <c r="I60" s="31">
        <v>-957</v>
      </c>
      <c r="J60" s="31">
        <v>122.7</v>
      </c>
      <c r="K60" s="31">
        <v>-1</v>
      </c>
      <c r="L60" s="31">
        <v>0</v>
      </c>
      <c r="M60" s="31">
        <v>-835.3</v>
      </c>
    </row>
    <row r="61" spans="1:13" x14ac:dyDescent="0.15">
      <c r="A61" s="31" t="s">
        <v>94</v>
      </c>
      <c r="B61" s="31" t="s">
        <v>47</v>
      </c>
      <c r="C61" s="31" t="s">
        <v>107</v>
      </c>
      <c r="D61" s="31" t="s">
        <v>21</v>
      </c>
      <c r="E61" s="31">
        <v>220</v>
      </c>
      <c r="F61" s="31">
        <v>220</v>
      </c>
      <c r="G61" s="31">
        <v>159.77000000000001</v>
      </c>
      <c r="H61" s="31">
        <v>160.88</v>
      </c>
      <c r="I61" s="31">
        <v>244.2</v>
      </c>
      <c r="J61" s="31">
        <v>0</v>
      </c>
      <c r="K61" s="31">
        <v>0</v>
      </c>
      <c r="L61" s="31">
        <v>0</v>
      </c>
      <c r="M61" s="31">
        <v>244.2</v>
      </c>
    </row>
    <row r="62" spans="1:13" x14ac:dyDescent="0.15">
      <c r="A62" s="31" t="s">
        <v>94</v>
      </c>
      <c r="B62" s="31" t="s">
        <v>47</v>
      </c>
      <c r="C62" s="31" t="s">
        <v>107</v>
      </c>
      <c r="D62" s="31" t="s">
        <v>15</v>
      </c>
      <c r="E62" s="31">
        <v>30</v>
      </c>
      <c r="F62" s="31">
        <v>30</v>
      </c>
      <c r="G62" s="33">
        <v>1056.78</v>
      </c>
      <c r="H62" s="33">
        <v>1058.1199999999999</v>
      </c>
      <c r="I62" s="31">
        <v>40.200000000000003</v>
      </c>
      <c r="J62" s="31">
        <v>0</v>
      </c>
      <c r="K62" s="31">
        <v>0</v>
      </c>
      <c r="L62" s="31">
        <v>0</v>
      </c>
      <c r="M62" s="31">
        <v>40.200000000000003</v>
      </c>
    </row>
    <row r="63" spans="1:13" x14ac:dyDescent="0.15">
      <c r="A63" s="31" t="s">
        <v>94</v>
      </c>
      <c r="B63" s="31" t="s">
        <v>47</v>
      </c>
      <c r="C63" s="31" t="s">
        <v>107</v>
      </c>
      <c r="D63" s="31" t="s">
        <v>17</v>
      </c>
      <c r="E63" s="31">
        <v>3450</v>
      </c>
      <c r="F63" s="31">
        <v>3450</v>
      </c>
      <c r="G63" s="31">
        <v>41.93</v>
      </c>
      <c r="H63" s="31">
        <v>42.6</v>
      </c>
      <c r="I63" s="31">
        <v>2311.5</v>
      </c>
      <c r="J63" s="31">
        <v>0</v>
      </c>
      <c r="K63" s="31">
        <v>0</v>
      </c>
      <c r="L63" s="31">
        <v>0</v>
      </c>
      <c r="M63" s="31">
        <v>2311.5</v>
      </c>
    </row>
    <row r="64" spans="1:13" x14ac:dyDescent="0.15">
      <c r="A64" s="31" t="s">
        <v>94</v>
      </c>
      <c r="B64" s="31" t="s">
        <v>47</v>
      </c>
      <c r="C64" s="31" t="s">
        <v>107</v>
      </c>
      <c r="D64" s="31" t="s">
        <v>41</v>
      </c>
      <c r="E64" s="31">
        <v>350</v>
      </c>
      <c r="F64" s="31">
        <v>400</v>
      </c>
      <c r="G64" s="31">
        <v>111.96</v>
      </c>
      <c r="H64" s="31">
        <v>103.14</v>
      </c>
      <c r="I64" s="31">
        <v>-3498</v>
      </c>
      <c r="J64" s="31">
        <v>12</v>
      </c>
      <c r="K64" s="31">
        <v>-1</v>
      </c>
      <c r="L64" s="31">
        <v>0</v>
      </c>
      <c r="M64" s="31">
        <v>-3487</v>
      </c>
    </row>
    <row r="65" spans="1:13" x14ac:dyDescent="0.15">
      <c r="A65" s="31" t="s">
        <v>94</v>
      </c>
      <c r="B65" s="31" t="s">
        <v>47</v>
      </c>
      <c r="C65" s="31" t="s">
        <v>83</v>
      </c>
      <c r="I65" s="31">
        <v>-41243.58</v>
      </c>
      <c r="J65" s="31">
        <v>698.34</v>
      </c>
      <c r="K65" s="31">
        <v>-11</v>
      </c>
      <c r="L65" s="31">
        <v>78.25</v>
      </c>
      <c r="M65" s="31">
        <v>-40477.99</v>
      </c>
    </row>
    <row r="66" spans="1:13" x14ac:dyDescent="0.15">
      <c r="A66" s="31" t="s">
        <v>94</v>
      </c>
      <c r="B66" s="31" t="s">
        <v>47</v>
      </c>
      <c r="C66" s="31" t="s">
        <v>108</v>
      </c>
      <c r="D66" s="31" t="s">
        <v>109</v>
      </c>
      <c r="E66" s="31">
        <v>-3</v>
      </c>
      <c r="F66" s="31">
        <v>-3</v>
      </c>
      <c r="G66" s="31">
        <v>0.63</v>
      </c>
      <c r="H66" s="31">
        <v>0.06</v>
      </c>
      <c r="I66" s="31">
        <v>171</v>
      </c>
      <c r="J66" s="31">
        <v>0</v>
      </c>
      <c r="K66" s="31">
        <v>0</v>
      </c>
      <c r="L66" s="31">
        <v>0</v>
      </c>
      <c r="M66" s="31">
        <v>171</v>
      </c>
    </row>
    <row r="67" spans="1:13" x14ac:dyDescent="0.15">
      <c r="A67" s="31" t="s">
        <v>94</v>
      </c>
      <c r="B67" s="31" t="s">
        <v>47</v>
      </c>
      <c r="C67" s="31" t="s">
        <v>108</v>
      </c>
      <c r="D67" s="31" t="s">
        <v>468</v>
      </c>
      <c r="E67" s="31">
        <v>0</v>
      </c>
      <c r="F67" s="31">
        <v>-1</v>
      </c>
      <c r="G67" s="31" t="s">
        <v>112</v>
      </c>
      <c r="H67" s="31">
        <v>1.675</v>
      </c>
      <c r="I67" s="31">
        <v>-3</v>
      </c>
      <c r="J67" s="31">
        <v>-11.5</v>
      </c>
      <c r="K67" s="31">
        <v>-1.0441303</v>
      </c>
      <c r="L67" s="31">
        <v>0</v>
      </c>
      <c r="M67" s="31">
        <v>-15.544130300000001</v>
      </c>
    </row>
    <row r="68" spans="1:13" x14ac:dyDescent="0.15">
      <c r="A68" s="31" t="s">
        <v>94</v>
      </c>
      <c r="B68" s="31" t="s">
        <v>47</v>
      </c>
      <c r="C68" s="31" t="s">
        <v>108</v>
      </c>
      <c r="D68" s="31" t="s">
        <v>110</v>
      </c>
      <c r="E68" s="31">
        <v>-1</v>
      </c>
      <c r="F68" s="31">
        <v>-1</v>
      </c>
      <c r="G68" s="31">
        <v>1.6221000000000001</v>
      </c>
      <c r="H68" s="31">
        <v>6.1311</v>
      </c>
      <c r="I68" s="31">
        <v>-450.9</v>
      </c>
      <c r="J68" s="31">
        <v>0</v>
      </c>
      <c r="K68" s="31">
        <v>0</v>
      </c>
      <c r="L68" s="31">
        <v>0</v>
      </c>
      <c r="M68" s="31">
        <v>-450.9</v>
      </c>
    </row>
    <row r="69" spans="1:13" x14ac:dyDescent="0.15">
      <c r="A69" s="31" t="s">
        <v>94</v>
      </c>
      <c r="B69" s="31" t="s">
        <v>47</v>
      </c>
      <c r="C69" s="31" t="s">
        <v>108</v>
      </c>
      <c r="D69" s="31" t="s">
        <v>111</v>
      </c>
      <c r="E69" s="31">
        <v>-2</v>
      </c>
      <c r="F69" s="31">
        <v>0</v>
      </c>
      <c r="G69" s="31">
        <v>2.4559000000000002</v>
      </c>
      <c r="H69" s="31" t="s">
        <v>112</v>
      </c>
      <c r="I69" s="31">
        <v>397.74</v>
      </c>
      <c r="J69" s="31">
        <v>-26.56</v>
      </c>
      <c r="K69" s="31">
        <v>-1.3827</v>
      </c>
      <c r="L69" s="31">
        <v>0</v>
      </c>
      <c r="M69" s="31">
        <v>369.79730000000001</v>
      </c>
    </row>
    <row r="70" spans="1:13" x14ac:dyDescent="0.15">
      <c r="A70" s="31" t="s">
        <v>94</v>
      </c>
      <c r="B70" s="31" t="s">
        <v>47</v>
      </c>
      <c r="C70" s="31" t="s">
        <v>108</v>
      </c>
      <c r="D70" s="31" t="s">
        <v>469</v>
      </c>
      <c r="E70" s="31">
        <v>0</v>
      </c>
      <c r="F70" s="31">
        <v>-3</v>
      </c>
      <c r="G70" s="31" t="s">
        <v>112</v>
      </c>
      <c r="H70" s="31">
        <v>9.5000000000000001E-2</v>
      </c>
      <c r="I70" s="31">
        <v>0</v>
      </c>
      <c r="J70" s="31">
        <v>1.5</v>
      </c>
      <c r="K70" s="31">
        <v>-2.0502030000000002</v>
      </c>
      <c r="L70" s="31">
        <v>0</v>
      </c>
      <c r="M70" s="31">
        <v>-0.550203</v>
      </c>
    </row>
    <row r="71" spans="1:13" x14ac:dyDescent="0.15">
      <c r="A71" s="31" t="s">
        <v>94</v>
      </c>
      <c r="B71" s="31" t="s">
        <v>47</v>
      </c>
      <c r="C71" s="31" t="s">
        <v>108</v>
      </c>
      <c r="D71" s="31" t="s">
        <v>470</v>
      </c>
      <c r="E71" s="31">
        <v>0</v>
      </c>
      <c r="F71" s="31">
        <v>-1</v>
      </c>
      <c r="G71" s="31" t="s">
        <v>112</v>
      </c>
      <c r="H71" s="31">
        <v>2.0371000000000001</v>
      </c>
      <c r="I71" s="31">
        <v>0</v>
      </c>
      <c r="J71" s="31">
        <v>-41.71</v>
      </c>
      <c r="K71" s="31">
        <v>-1.0441762000000001</v>
      </c>
      <c r="L71" s="31">
        <v>0</v>
      </c>
      <c r="M71" s="31">
        <v>-42.754176200000003</v>
      </c>
    </row>
    <row r="72" spans="1:13" x14ac:dyDescent="0.15">
      <c r="A72" s="31" t="s">
        <v>94</v>
      </c>
      <c r="B72" s="31" t="s">
        <v>47</v>
      </c>
      <c r="C72" s="31" t="s">
        <v>108</v>
      </c>
      <c r="D72" s="31" t="s">
        <v>113</v>
      </c>
      <c r="E72" s="31">
        <v>0</v>
      </c>
      <c r="F72" s="31">
        <v>-2</v>
      </c>
      <c r="G72" s="31" t="s">
        <v>112</v>
      </c>
      <c r="H72" s="31">
        <v>0.34499999999999997</v>
      </c>
      <c r="I72" s="31">
        <v>16.12</v>
      </c>
      <c r="J72" s="31">
        <v>-3.12</v>
      </c>
      <c r="K72" s="31">
        <v>-1.3671182</v>
      </c>
      <c r="L72" s="31">
        <v>0</v>
      </c>
      <c r="M72" s="31">
        <v>11.6328818</v>
      </c>
    </row>
    <row r="73" spans="1:13" x14ac:dyDescent="0.15">
      <c r="A73" s="31" t="s">
        <v>94</v>
      </c>
      <c r="B73" s="31" t="s">
        <v>47</v>
      </c>
      <c r="C73" s="31" t="s">
        <v>108</v>
      </c>
      <c r="D73" s="31" t="s">
        <v>114</v>
      </c>
      <c r="E73" s="31">
        <v>0</v>
      </c>
      <c r="F73" s="31">
        <v>-1</v>
      </c>
      <c r="G73" s="31" t="s">
        <v>112</v>
      </c>
      <c r="H73" s="31">
        <v>7.0000000000000007E-2</v>
      </c>
      <c r="I73" s="31">
        <v>7.04</v>
      </c>
      <c r="J73" s="31">
        <v>4.96</v>
      </c>
      <c r="K73" s="31">
        <v>-1.0334468999999999</v>
      </c>
      <c r="L73" s="31">
        <v>0</v>
      </c>
      <c r="M73" s="31">
        <v>10.9665531</v>
      </c>
    </row>
    <row r="74" spans="1:13" x14ac:dyDescent="0.15">
      <c r="A74" s="31" t="s">
        <v>94</v>
      </c>
      <c r="B74" s="31" t="s">
        <v>47</v>
      </c>
      <c r="C74" s="31" t="s">
        <v>108</v>
      </c>
      <c r="D74" s="31" t="s">
        <v>115</v>
      </c>
      <c r="E74" s="31">
        <v>0</v>
      </c>
      <c r="F74" s="31">
        <v>-5</v>
      </c>
      <c r="G74" s="31" t="s">
        <v>112</v>
      </c>
      <c r="H74" s="31">
        <v>0.83</v>
      </c>
      <c r="I74" s="31">
        <v>-30</v>
      </c>
      <c r="J74" s="31">
        <v>-135</v>
      </c>
      <c r="K74" s="31">
        <v>-1.368025</v>
      </c>
      <c r="L74" s="31">
        <v>0</v>
      </c>
      <c r="M74" s="31">
        <v>-166.36802499999999</v>
      </c>
    </row>
    <row r="75" spans="1:13" x14ac:dyDescent="0.15">
      <c r="A75" s="31" t="s">
        <v>94</v>
      </c>
      <c r="B75" s="31" t="s">
        <v>47</v>
      </c>
      <c r="C75" s="31" t="s">
        <v>108</v>
      </c>
      <c r="D75" s="31" t="s">
        <v>471</v>
      </c>
      <c r="E75" s="31">
        <v>0</v>
      </c>
      <c r="F75" s="31">
        <v>-1</v>
      </c>
      <c r="G75" s="31" t="s">
        <v>112</v>
      </c>
      <c r="H75" s="31">
        <v>2.6850000000000001</v>
      </c>
      <c r="I75" s="31">
        <v>-51</v>
      </c>
      <c r="J75" s="31">
        <v>7.5</v>
      </c>
      <c r="K75" s="31">
        <v>-0.74449750000000003</v>
      </c>
      <c r="L75" s="31">
        <v>0</v>
      </c>
      <c r="M75" s="31">
        <v>-44.244497500000001</v>
      </c>
    </row>
    <row r="76" spans="1:13" x14ac:dyDescent="0.15">
      <c r="A76" s="31" t="s">
        <v>94</v>
      </c>
      <c r="B76" s="31" t="s">
        <v>47</v>
      </c>
      <c r="C76" s="31" t="s">
        <v>108</v>
      </c>
      <c r="D76" s="31" t="s">
        <v>472</v>
      </c>
      <c r="E76" s="31">
        <v>0</v>
      </c>
      <c r="F76" s="31">
        <v>-2</v>
      </c>
      <c r="G76" s="31" t="s">
        <v>112</v>
      </c>
      <c r="H76" s="31">
        <v>0.63</v>
      </c>
      <c r="I76" s="31">
        <v>93</v>
      </c>
      <c r="J76" s="31">
        <v>13</v>
      </c>
      <c r="K76" s="31">
        <v>-0.78788320000000001</v>
      </c>
      <c r="L76" s="31">
        <v>0</v>
      </c>
      <c r="M76" s="31">
        <v>105.2121168</v>
      </c>
    </row>
    <row r="77" spans="1:13" x14ac:dyDescent="0.15">
      <c r="A77" s="31" t="s">
        <v>94</v>
      </c>
      <c r="B77" s="31" t="s">
        <v>47</v>
      </c>
      <c r="C77" s="31" t="s">
        <v>108</v>
      </c>
      <c r="D77" s="31" t="s">
        <v>473</v>
      </c>
      <c r="E77" s="31">
        <v>0</v>
      </c>
      <c r="F77" s="31">
        <v>-2</v>
      </c>
      <c r="G77" s="31" t="s">
        <v>112</v>
      </c>
      <c r="H77" s="31">
        <v>0.6</v>
      </c>
      <c r="I77" s="31">
        <v>0</v>
      </c>
      <c r="J77" s="31">
        <v>6</v>
      </c>
      <c r="K77" s="31">
        <v>-1.3873426</v>
      </c>
      <c r="L77" s="31">
        <v>0</v>
      </c>
      <c r="M77" s="31">
        <v>4.6126573999999998</v>
      </c>
    </row>
    <row r="78" spans="1:13" x14ac:dyDescent="0.15">
      <c r="A78" s="31" t="s">
        <v>94</v>
      </c>
      <c r="B78" s="31" t="s">
        <v>47</v>
      </c>
      <c r="C78" s="31" t="s">
        <v>108</v>
      </c>
      <c r="D78" s="31" t="s">
        <v>116</v>
      </c>
      <c r="E78" s="31">
        <v>-10</v>
      </c>
      <c r="F78" s="31">
        <v>-5</v>
      </c>
      <c r="G78" s="31">
        <v>5.4399999999999997E-2</v>
      </c>
      <c r="H78" s="31">
        <v>1.3299999999999999E-2</v>
      </c>
      <c r="I78" s="31">
        <v>41.1</v>
      </c>
      <c r="J78" s="31">
        <v>1.65</v>
      </c>
      <c r="K78" s="31">
        <v>-1.45675</v>
      </c>
      <c r="L78" s="31">
        <v>0</v>
      </c>
      <c r="M78" s="31">
        <v>41.29325</v>
      </c>
    </row>
    <row r="79" spans="1:13" x14ac:dyDescent="0.15">
      <c r="A79" s="31" t="s">
        <v>94</v>
      </c>
      <c r="B79" s="31" t="s">
        <v>47</v>
      </c>
      <c r="C79" s="31" t="s">
        <v>108</v>
      </c>
      <c r="D79" s="31" t="s">
        <v>474</v>
      </c>
      <c r="E79" s="31">
        <v>0</v>
      </c>
      <c r="F79" s="31">
        <v>-2</v>
      </c>
      <c r="G79" s="31" t="s">
        <v>112</v>
      </c>
      <c r="H79" s="31">
        <v>0.69</v>
      </c>
      <c r="I79" s="31">
        <v>18</v>
      </c>
      <c r="J79" s="31">
        <v>0</v>
      </c>
      <c r="K79" s="31">
        <v>-0.54749559999999997</v>
      </c>
      <c r="L79" s="31">
        <v>0</v>
      </c>
      <c r="M79" s="31">
        <v>17.452504399999999</v>
      </c>
    </row>
    <row r="80" spans="1:13" x14ac:dyDescent="0.15">
      <c r="A80" s="31" t="s">
        <v>94</v>
      </c>
      <c r="B80" s="31" t="s">
        <v>47</v>
      </c>
      <c r="C80" s="31" t="s">
        <v>83</v>
      </c>
      <c r="I80" s="31">
        <v>209.1</v>
      </c>
      <c r="J80" s="31">
        <v>-183.28</v>
      </c>
      <c r="K80" s="31">
        <v>-14.2137685</v>
      </c>
      <c r="L80" s="31">
        <v>0</v>
      </c>
      <c r="M80" s="31">
        <v>11.6062315</v>
      </c>
    </row>
    <row r="81" spans="1:17" x14ac:dyDescent="0.15">
      <c r="A81" s="31" t="s">
        <v>94</v>
      </c>
      <c r="B81" s="31" t="s">
        <v>47</v>
      </c>
      <c r="C81" s="31" t="s">
        <v>117</v>
      </c>
      <c r="D81" s="31" t="s">
        <v>68</v>
      </c>
      <c r="E81" s="31">
        <v>124281.7744351</v>
      </c>
      <c r="F81" s="31">
        <v>162204.4306666</v>
      </c>
      <c r="G81" s="31">
        <v>1</v>
      </c>
      <c r="H81" s="31">
        <v>1</v>
      </c>
      <c r="I81" s="31">
        <v>0</v>
      </c>
      <c r="J81" s="31">
        <v>0</v>
      </c>
      <c r="K81" s="31">
        <v>0</v>
      </c>
      <c r="L81" s="31">
        <v>0</v>
      </c>
      <c r="M81" s="31">
        <v>0</v>
      </c>
    </row>
    <row r="82" spans="1:17" x14ac:dyDescent="0.15">
      <c r="A82" s="31" t="s">
        <v>94</v>
      </c>
      <c r="B82" s="31" t="s">
        <v>47</v>
      </c>
      <c r="C82" s="31" t="s">
        <v>83</v>
      </c>
      <c r="I82" s="31">
        <v>0</v>
      </c>
      <c r="J82" s="31">
        <v>0</v>
      </c>
      <c r="K82" s="31">
        <v>0</v>
      </c>
      <c r="L82" s="31">
        <v>0</v>
      </c>
      <c r="M82" s="31">
        <v>0</v>
      </c>
    </row>
    <row r="83" spans="1:17" x14ac:dyDescent="0.15">
      <c r="A83" s="31" t="s">
        <v>94</v>
      </c>
      <c r="B83" s="31" t="s">
        <v>47</v>
      </c>
      <c r="C83" s="31" t="s">
        <v>118</v>
      </c>
      <c r="I83" s="31">
        <v>-41034.480000000003</v>
      </c>
      <c r="J83" s="31">
        <v>515.05999999999995</v>
      </c>
      <c r="K83" s="31">
        <v>-25.2137685</v>
      </c>
      <c r="L83" s="31">
        <v>78.25</v>
      </c>
      <c r="M83" s="31">
        <v>-40466.383768500003</v>
      </c>
    </row>
    <row r="84" spans="1:17" x14ac:dyDescent="0.15">
      <c r="A84" s="31" t="s">
        <v>94</v>
      </c>
      <c r="B84" s="31" t="s">
        <v>47</v>
      </c>
      <c r="C84" s="31" t="s">
        <v>119</v>
      </c>
      <c r="M84" s="31">
        <v>176.22</v>
      </c>
    </row>
    <row r="85" spans="1:17" x14ac:dyDescent="0.15">
      <c r="A85" s="31" t="s">
        <v>120</v>
      </c>
      <c r="M85" s="31">
        <v>-40290.163768500002</v>
      </c>
    </row>
    <row r="86" spans="1:17" x14ac:dyDescent="0.15">
      <c r="A86" s="31" t="s">
        <v>121</v>
      </c>
      <c r="B86" s="31" t="s">
        <v>44</v>
      </c>
      <c r="C86" s="31" t="s">
        <v>95</v>
      </c>
      <c r="D86" s="31" t="s">
        <v>96</v>
      </c>
      <c r="E86" s="31" t="s">
        <v>122</v>
      </c>
      <c r="F86" s="31" t="s">
        <v>123</v>
      </c>
      <c r="G86" s="31" t="s">
        <v>124</v>
      </c>
      <c r="H86" s="31" t="s">
        <v>125</v>
      </c>
      <c r="I86" s="31" t="s">
        <v>126</v>
      </c>
      <c r="J86" s="31" t="s">
        <v>127</v>
      </c>
      <c r="K86" s="31" t="s">
        <v>128</v>
      </c>
      <c r="L86" s="31" t="s">
        <v>129</v>
      </c>
      <c r="M86" s="31" t="s">
        <v>130</v>
      </c>
      <c r="N86" s="31" t="s">
        <v>131</v>
      </c>
      <c r="O86" s="31" t="s">
        <v>132</v>
      </c>
      <c r="P86" s="31" t="s">
        <v>83</v>
      </c>
      <c r="Q86" s="31" t="s">
        <v>106</v>
      </c>
    </row>
    <row r="87" spans="1:17" x14ac:dyDescent="0.15">
      <c r="A87" s="31" t="s">
        <v>121</v>
      </c>
      <c r="B87" s="31" t="s">
        <v>47</v>
      </c>
      <c r="C87" s="31" t="s">
        <v>107</v>
      </c>
      <c r="D87" s="31" t="s">
        <v>1</v>
      </c>
      <c r="E87" s="31">
        <v>0</v>
      </c>
      <c r="F87" s="31">
        <v>0</v>
      </c>
      <c r="G87" s="31">
        <v>0</v>
      </c>
      <c r="H87" s="31">
        <v>0</v>
      </c>
      <c r="I87" s="31">
        <v>0</v>
      </c>
      <c r="J87" s="31">
        <v>0</v>
      </c>
      <c r="K87" s="31">
        <v>13044.3</v>
      </c>
      <c r="L87" s="31">
        <v>0</v>
      </c>
      <c r="M87" s="31">
        <v>0</v>
      </c>
      <c r="N87" s="31">
        <v>0</v>
      </c>
      <c r="O87" s="31">
        <v>13044.3</v>
      </c>
      <c r="P87" s="31">
        <v>13044.3</v>
      </c>
    </row>
    <row r="88" spans="1:17" x14ac:dyDescent="0.15">
      <c r="A88" s="31" t="s">
        <v>121</v>
      </c>
      <c r="B88" s="31" t="s">
        <v>47</v>
      </c>
      <c r="C88" s="31" t="s">
        <v>107</v>
      </c>
      <c r="D88" s="31" t="s">
        <v>12</v>
      </c>
      <c r="E88" s="31">
        <v>0</v>
      </c>
      <c r="F88" s="31">
        <v>0</v>
      </c>
      <c r="G88" s="31">
        <v>0</v>
      </c>
      <c r="H88" s="31">
        <v>0</v>
      </c>
      <c r="I88" s="31">
        <v>0</v>
      </c>
      <c r="J88" s="31">
        <v>0</v>
      </c>
      <c r="K88" s="31">
        <v>35580.807999999997</v>
      </c>
      <c r="L88" s="31">
        <v>-95.25</v>
      </c>
      <c r="M88" s="31">
        <v>0</v>
      </c>
      <c r="N88" s="31">
        <v>0</v>
      </c>
      <c r="O88" s="31">
        <v>35485.557999999997</v>
      </c>
      <c r="P88" s="31">
        <v>35485.557999999997</v>
      </c>
    </row>
    <row r="89" spans="1:17" x14ac:dyDescent="0.15">
      <c r="A89" s="31" t="s">
        <v>121</v>
      </c>
      <c r="B89" s="31" t="s">
        <v>47</v>
      </c>
      <c r="C89" s="31" t="s">
        <v>107</v>
      </c>
      <c r="D89" s="31" t="s">
        <v>2</v>
      </c>
      <c r="E89" s="31">
        <v>0</v>
      </c>
      <c r="F89" s="31">
        <v>0</v>
      </c>
      <c r="G89" s="31">
        <v>0</v>
      </c>
      <c r="H89" s="31">
        <v>0</v>
      </c>
      <c r="I89" s="31">
        <v>0</v>
      </c>
      <c r="J89" s="31">
        <v>0</v>
      </c>
      <c r="K89" s="31">
        <v>104.08</v>
      </c>
      <c r="L89" s="31">
        <v>-5507.1750000000002</v>
      </c>
      <c r="M89" s="31">
        <v>0</v>
      </c>
      <c r="N89" s="31">
        <v>0</v>
      </c>
      <c r="O89" s="31">
        <v>-5403.0950000000003</v>
      </c>
      <c r="P89" s="31">
        <v>-5403.0950000000003</v>
      </c>
    </row>
    <row r="90" spans="1:17" x14ac:dyDescent="0.15">
      <c r="A90" s="31" t="s">
        <v>121</v>
      </c>
      <c r="B90" s="31" t="s">
        <v>47</v>
      </c>
      <c r="C90" s="31" t="s">
        <v>107</v>
      </c>
      <c r="D90" s="31" t="s">
        <v>42</v>
      </c>
      <c r="E90" s="31">
        <v>0</v>
      </c>
      <c r="F90" s="31">
        <v>0</v>
      </c>
      <c r="G90" s="31">
        <v>0</v>
      </c>
      <c r="H90" s="31">
        <v>0</v>
      </c>
      <c r="I90" s="31">
        <v>0</v>
      </c>
      <c r="J90" s="31">
        <v>0</v>
      </c>
      <c r="K90" s="31">
        <v>0</v>
      </c>
      <c r="L90" s="31">
        <v>-1238</v>
      </c>
      <c r="M90" s="31">
        <v>0</v>
      </c>
      <c r="N90" s="31">
        <v>0</v>
      </c>
      <c r="O90" s="31">
        <v>-1238</v>
      </c>
      <c r="P90" s="31">
        <v>-1238</v>
      </c>
    </row>
    <row r="91" spans="1:17" x14ac:dyDescent="0.15">
      <c r="A91" s="31" t="s">
        <v>121</v>
      </c>
      <c r="B91" s="31" t="s">
        <v>47</v>
      </c>
      <c r="C91" s="31" t="s">
        <v>107</v>
      </c>
      <c r="D91" s="31" t="s">
        <v>10</v>
      </c>
      <c r="E91" s="31">
        <v>0</v>
      </c>
      <c r="F91" s="31">
        <v>0</v>
      </c>
      <c r="G91" s="31">
        <v>0</v>
      </c>
      <c r="H91" s="31">
        <v>0</v>
      </c>
      <c r="I91" s="31">
        <v>0</v>
      </c>
      <c r="J91" s="31">
        <v>0</v>
      </c>
      <c r="K91" s="31">
        <v>0</v>
      </c>
      <c r="L91" s="31">
        <v>-18639.109</v>
      </c>
      <c r="M91" s="31">
        <v>0</v>
      </c>
      <c r="N91" s="31">
        <v>0</v>
      </c>
      <c r="O91" s="31">
        <v>-18639.109</v>
      </c>
      <c r="P91" s="31">
        <v>-18639.109</v>
      </c>
    </row>
    <row r="92" spans="1:17" x14ac:dyDescent="0.15">
      <c r="A92" s="31" t="s">
        <v>121</v>
      </c>
      <c r="B92" s="31" t="s">
        <v>47</v>
      </c>
      <c r="C92" s="31" t="s">
        <v>107</v>
      </c>
      <c r="D92" s="31" t="s">
        <v>19</v>
      </c>
      <c r="E92" s="31">
        <v>0</v>
      </c>
      <c r="F92" s="31">
        <v>0</v>
      </c>
      <c r="G92" s="31">
        <v>0</v>
      </c>
      <c r="H92" s="31">
        <v>0</v>
      </c>
      <c r="I92" s="31">
        <v>0</v>
      </c>
      <c r="J92" s="31">
        <v>0</v>
      </c>
      <c r="K92" s="31">
        <v>5250.93</v>
      </c>
      <c r="L92" s="31">
        <v>0</v>
      </c>
      <c r="M92" s="31">
        <v>0</v>
      </c>
      <c r="N92" s="31">
        <v>0</v>
      </c>
      <c r="O92" s="31">
        <v>5250.93</v>
      </c>
      <c r="P92" s="31">
        <v>5250.93</v>
      </c>
    </row>
    <row r="93" spans="1:17" x14ac:dyDescent="0.15">
      <c r="A93" s="31" t="s">
        <v>121</v>
      </c>
      <c r="B93" s="31" t="s">
        <v>47</v>
      </c>
      <c r="C93" s="31" t="s">
        <v>107</v>
      </c>
      <c r="D93" s="31" t="s">
        <v>16</v>
      </c>
      <c r="E93" s="31">
        <v>0</v>
      </c>
      <c r="F93" s="31">
        <v>0</v>
      </c>
      <c r="G93" s="31">
        <v>0</v>
      </c>
      <c r="H93" s="31">
        <v>0</v>
      </c>
      <c r="I93" s="31">
        <v>0</v>
      </c>
      <c r="J93" s="31">
        <v>0</v>
      </c>
      <c r="K93" s="31">
        <v>246.77500000000001</v>
      </c>
      <c r="L93" s="31">
        <v>-11145.3</v>
      </c>
      <c r="M93" s="31">
        <v>0</v>
      </c>
      <c r="N93" s="31">
        <v>0</v>
      </c>
      <c r="O93" s="31">
        <v>-10898.525</v>
      </c>
      <c r="P93" s="31">
        <v>-10898.525</v>
      </c>
    </row>
    <row r="94" spans="1:17" x14ac:dyDescent="0.15">
      <c r="A94" s="31" t="s">
        <v>121</v>
      </c>
      <c r="B94" s="31" t="s">
        <v>47</v>
      </c>
      <c r="C94" s="31" t="s">
        <v>107</v>
      </c>
      <c r="D94" s="31" t="s">
        <v>18</v>
      </c>
      <c r="E94" s="31">
        <v>0</v>
      </c>
      <c r="F94" s="31">
        <v>0</v>
      </c>
      <c r="G94" s="31">
        <v>0</v>
      </c>
      <c r="H94" s="31">
        <v>0</v>
      </c>
      <c r="I94" s="31">
        <v>0</v>
      </c>
      <c r="J94" s="31">
        <v>0</v>
      </c>
      <c r="K94" s="31">
        <v>1403.25</v>
      </c>
      <c r="L94" s="31">
        <v>-2099.0100000000002</v>
      </c>
      <c r="M94" s="31">
        <v>0</v>
      </c>
      <c r="N94" s="31">
        <v>0</v>
      </c>
      <c r="O94" s="31">
        <v>-695.76</v>
      </c>
      <c r="P94" s="31">
        <v>-695.76</v>
      </c>
    </row>
    <row r="95" spans="1:17" x14ac:dyDescent="0.15">
      <c r="A95" s="31" t="s">
        <v>121</v>
      </c>
      <c r="B95" s="31" t="s">
        <v>47</v>
      </c>
      <c r="C95" s="31" t="s">
        <v>107</v>
      </c>
      <c r="D95" s="31" t="s">
        <v>24</v>
      </c>
      <c r="E95" s="31">
        <v>0</v>
      </c>
      <c r="F95" s="31">
        <v>0</v>
      </c>
      <c r="G95" s="31">
        <v>0</v>
      </c>
      <c r="H95" s="31">
        <v>0</v>
      </c>
      <c r="I95" s="31">
        <v>0</v>
      </c>
      <c r="J95" s="31">
        <v>0</v>
      </c>
      <c r="K95" s="31">
        <v>0</v>
      </c>
      <c r="L95" s="31">
        <v>-9680.2199999999993</v>
      </c>
      <c r="M95" s="31">
        <v>0</v>
      </c>
      <c r="N95" s="31">
        <v>0</v>
      </c>
      <c r="O95" s="31">
        <v>-9680.2199999999993</v>
      </c>
      <c r="P95" s="31">
        <v>-9680.2199999999993</v>
      </c>
    </row>
    <row r="96" spans="1:17" x14ac:dyDescent="0.15">
      <c r="A96" s="31" t="s">
        <v>121</v>
      </c>
      <c r="B96" s="31" t="s">
        <v>47</v>
      </c>
      <c r="C96" s="31" t="s">
        <v>107</v>
      </c>
      <c r="D96" s="31" t="s">
        <v>14</v>
      </c>
      <c r="E96" s="31">
        <v>0</v>
      </c>
      <c r="F96" s="31">
        <v>0</v>
      </c>
      <c r="G96" s="31">
        <v>0</v>
      </c>
      <c r="H96" s="31">
        <v>0</v>
      </c>
      <c r="I96" s="31">
        <v>0</v>
      </c>
      <c r="J96" s="31">
        <v>0</v>
      </c>
      <c r="K96" s="31">
        <v>1970.0650000000001</v>
      </c>
      <c r="L96" s="31">
        <v>-417.7</v>
      </c>
      <c r="M96" s="31">
        <v>0</v>
      </c>
      <c r="N96" s="31">
        <v>0</v>
      </c>
      <c r="O96" s="31">
        <v>1552.365</v>
      </c>
      <c r="P96" s="31">
        <v>1552.365</v>
      </c>
    </row>
    <row r="97" spans="1:16" x14ac:dyDescent="0.15">
      <c r="A97" s="31" t="s">
        <v>121</v>
      </c>
      <c r="B97" s="31" t="s">
        <v>47</v>
      </c>
      <c r="C97" s="31" t="s">
        <v>107</v>
      </c>
      <c r="D97" s="31" t="s">
        <v>5</v>
      </c>
      <c r="E97" s="31">
        <v>0</v>
      </c>
      <c r="F97" s="31">
        <v>0</v>
      </c>
      <c r="G97" s="31">
        <v>0</v>
      </c>
      <c r="H97" s="31">
        <v>0</v>
      </c>
      <c r="I97" s="31">
        <v>0</v>
      </c>
      <c r="J97" s="31">
        <v>0</v>
      </c>
      <c r="K97" s="31">
        <v>571.79999999999995</v>
      </c>
      <c r="L97" s="31">
        <v>-243.85</v>
      </c>
      <c r="M97" s="31">
        <v>0</v>
      </c>
      <c r="N97" s="31">
        <v>0</v>
      </c>
      <c r="O97" s="31">
        <v>327.95</v>
      </c>
      <c r="P97" s="31">
        <v>327.95</v>
      </c>
    </row>
    <row r="98" spans="1:16" x14ac:dyDescent="0.15">
      <c r="A98" s="31" t="s">
        <v>121</v>
      </c>
      <c r="B98" s="31" t="s">
        <v>47</v>
      </c>
      <c r="C98" s="31" t="s">
        <v>107</v>
      </c>
      <c r="D98" s="31" t="s">
        <v>7</v>
      </c>
      <c r="E98" s="31">
        <v>0</v>
      </c>
      <c r="F98" s="31">
        <v>0</v>
      </c>
      <c r="G98" s="31">
        <v>0</v>
      </c>
      <c r="H98" s="31">
        <v>0</v>
      </c>
      <c r="I98" s="31">
        <v>0</v>
      </c>
      <c r="J98" s="31">
        <v>0</v>
      </c>
      <c r="K98" s="31">
        <v>1065.1600000000001</v>
      </c>
      <c r="L98" s="31">
        <v>-584.91999999999996</v>
      </c>
      <c r="M98" s="31">
        <v>0</v>
      </c>
      <c r="N98" s="31">
        <v>0</v>
      </c>
      <c r="O98" s="31">
        <v>480.24</v>
      </c>
      <c r="P98" s="31">
        <v>480.24</v>
      </c>
    </row>
    <row r="99" spans="1:16" x14ac:dyDescent="0.15">
      <c r="A99" s="31" t="s">
        <v>121</v>
      </c>
      <c r="B99" s="31" t="s">
        <v>47</v>
      </c>
      <c r="C99" s="31" t="s">
        <v>107</v>
      </c>
      <c r="D99" s="31" t="s">
        <v>22</v>
      </c>
      <c r="E99" s="31">
        <v>0</v>
      </c>
      <c r="F99" s="31">
        <v>0</v>
      </c>
      <c r="G99" s="31">
        <v>0</v>
      </c>
      <c r="H99" s="31">
        <v>0</v>
      </c>
      <c r="I99" s="31">
        <v>0</v>
      </c>
      <c r="J99" s="31">
        <v>0</v>
      </c>
      <c r="K99" s="31">
        <v>0</v>
      </c>
      <c r="L99" s="31">
        <v>-4296.8</v>
      </c>
      <c r="M99" s="31">
        <v>0</v>
      </c>
      <c r="N99" s="31">
        <v>0</v>
      </c>
      <c r="O99" s="31">
        <v>-4296.8</v>
      </c>
      <c r="P99" s="31">
        <v>-4296.8</v>
      </c>
    </row>
    <row r="100" spans="1:16" x14ac:dyDescent="0.15">
      <c r="A100" s="31" t="s">
        <v>121</v>
      </c>
      <c r="B100" s="31" t="s">
        <v>47</v>
      </c>
      <c r="C100" s="31" t="s">
        <v>107</v>
      </c>
      <c r="D100" s="31" t="s">
        <v>6</v>
      </c>
      <c r="E100" s="31">
        <v>0</v>
      </c>
      <c r="F100" s="31">
        <v>0</v>
      </c>
      <c r="G100" s="31">
        <v>0</v>
      </c>
      <c r="H100" s="31">
        <v>0</v>
      </c>
      <c r="I100" s="31">
        <v>0</v>
      </c>
      <c r="J100" s="31">
        <v>0</v>
      </c>
      <c r="K100" s="31">
        <v>2549.44</v>
      </c>
      <c r="L100" s="31">
        <v>-58</v>
      </c>
      <c r="M100" s="31">
        <v>0</v>
      </c>
      <c r="N100" s="31">
        <v>0</v>
      </c>
      <c r="O100" s="31">
        <v>2491.44</v>
      </c>
      <c r="P100" s="31">
        <v>2491.44</v>
      </c>
    </row>
    <row r="101" spans="1:16" x14ac:dyDescent="0.15">
      <c r="A101" s="31" t="s">
        <v>121</v>
      </c>
      <c r="B101" s="31" t="s">
        <v>47</v>
      </c>
      <c r="C101" s="31" t="s">
        <v>107</v>
      </c>
      <c r="D101" s="31" t="s">
        <v>40</v>
      </c>
      <c r="E101" s="31">
        <v>0</v>
      </c>
      <c r="F101" s="31">
        <v>0</v>
      </c>
      <c r="G101" s="31">
        <v>0</v>
      </c>
      <c r="H101" s="31">
        <v>0</v>
      </c>
      <c r="I101" s="31">
        <v>0</v>
      </c>
      <c r="J101" s="31">
        <v>0</v>
      </c>
      <c r="K101" s="31">
        <v>0</v>
      </c>
      <c r="L101" s="31">
        <v>-7062.06</v>
      </c>
      <c r="M101" s="31">
        <v>0</v>
      </c>
      <c r="N101" s="31">
        <v>0</v>
      </c>
      <c r="O101" s="31">
        <v>-7062.06</v>
      </c>
      <c r="P101" s="31">
        <v>-7062.06</v>
      </c>
    </row>
    <row r="102" spans="1:16" x14ac:dyDescent="0.15">
      <c r="A102" s="31" t="s">
        <v>121</v>
      </c>
      <c r="B102" s="31" t="s">
        <v>47</v>
      </c>
      <c r="C102" s="31" t="s">
        <v>107</v>
      </c>
      <c r="D102" s="31" t="s">
        <v>8</v>
      </c>
      <c r="E102" s="31">
        <v>0</v>
      </c>
      <c r="F102" s="31">
        <v>0</v>
      </c>
      <c r="G102" s="31">
        <v>0</v>
      </c>
      <c r="H102" s="31">
        <v>0</v>
      </c>
      <c r="I102" s="31">
        <v>0</v>
      </c>
      <c r="J102" s="31">
        <v>0</v>
      </c>
      <c r="K102" s="31">
        <v>1147.32</v>
      </c>
      <c r="L102" s="31">
        <v>-243.39</v>
      </c>
      <c r="M102" s="31">
        <v>0</v>
      </c>
      <c r="N102" s="31">
        <v>0</v>
      </c>
      <c r="O102" s="31">
        <v>903.93</v>
      </c>
      <c r="P102" s="31">
        <v>903.93</v>
      </c>
    </row>
    <row r="103" spans="1:16" x14ac:dyDescent="0.15">
      <c r="A103" s="31" t="s">
        <v>121</v>
      </c>
      <c r="B103" s="31" t="s">
        <v>47</v>
      </c>
      <c r="C103" s="31" t="s">
        <v>107</v>
      </c>
      <c r="D103" s="31" t="s">
        <v>9</v>
      </c>
      <c r="E103" s="31">
        <v>0</v>
      </c>
      <c r="F103" s="31">
        <v>0</v>
      </c>
      <c r="G103" s="31">
        <v>0</v>
      </c>
      <c r="H103" s="31">
        <v>0</v>
      </c>
      <c r="I103" s="31">
        <v>0</v>
      </c>
      <c r="J103" s="31">
        <v>0</v>
      </c>
      <c r="K103" s="31">
        <v>2610.5</v>
      </c>
      <c r="L103" s="31">
        <v>0</v>
      </c>
      <c r="M103" s="31">
        <v>0</v>
      </c>
      <c r="N103" s="31">
        <v>0</v>
      </c>
      <c r="O103" s="31">
        <v>2610.5</v>
      </c>
      <c r="P103" s="31">
        <v>2610.5</v>
      </c>
    </row>
    <row r="104" spans="1:16" x14ac:dyDescent="0.15">
      <c r="A104" s="31" t="s">
        <v>121</v>
      </c>
      <c r="B104" s="31" t="s">
        <v>47</v>
      </c>
      <c r="C104" s="31" t="s">
        <v>107</v>
      </c>
      <c r="D104" s="31" t="s">
        <v>25</v>
      </c>
      <c r="E104" s="31">
        <v>0</v>
      </c>
      <c r="F104" s="31">
        <v>0</v>
      </c>
      <c r="G104" s="31">
        <v>0</v>
      </c>
      <c r="H104" s="31">
        <v>0</v>
      </c>
      <c r="I104" s="31">
        <v>0</v>
      </c>
      <c r="J104" s="31">
        <v>0</v>
      </c>
      <c r="K104" s="31">
        <v>325.5</v>
      </c>
      <c r="L104" s="31">
        <v>0</v>
      </c>
      <c r="M104" s="31">
        <v>0</v>
      </c>
      <c r="N104" s="31">
        <v>0</v>
      </c>
      <c r="O104" s="31">
        <v>325.5</v>
      </c>
      <c r="P104" s="31">
        <v>325.5</v>
      </c>
    </row>
    <row r="105" spans="1:16" x14ac:dyDescent="0.15">
      <c r="A105" s="31" t="s">
        <v>121</v>
      </c>
      <c r="B105" s="31" t="s">
        <v>47</v>
      </c>
      <c r="C105" s="31" t="s">
        <v>107</v>
      </c>
      <c r="D105" s="31" t="s">
        <v>4</v>
      </c>
      <c r="E105" s="31">
        <v>0</v>
      </c>
      <c r="F105" s="31">
        <v>0</v>
      </c>
      <c r="G105" s="31">
        <v>0</v>
      </c>
      <c r="H105" s="31">
        <v>0</v>
      </c>
      <c r="I105" s="31">
        <v>0</v>
      </c>
      <c r="J105" s="31">
        <v>0</v>
      </c>
      <c r="K105" s="31">
        <v>16043.05</v>
      </c>
      <c r="L105" s="31">
        <v>0</v>
      </c>
      <c r="M105" s="31">
        <v>0</v>
      </c>
      <c r="N105" s="31">
        <v>0</v>
      </c>
      <c r="O105" s="31">
        <v>16043.05</v>
      </c>
      <c r="P105" s="31">
        <v>16043.05</v>
      </c>
    </row>
    <row r="106" spans="1:16" x14ac:dyDescent="0.15">
      <c r="A106" s="31" t="s">
        <v>121</v>
      </c>
      <c r="B106" s="31" t="s">
        <v>47</v>
      </c>
      <c r="C106" s="31" t="s">
        <v>107</v>
      </c>
      <c r="D106" s="31" t="s">
        <v>3</v>
      </c>
      <c r="E106" s="31">
        <v>0</v>
      </c>
      <c r="F106" s="31">
        <v>0</v>
      </c>
      <c r="G106" s="31">
        <v>0</v>
      </c>
      <c r="H106" s="31">
        <v>0</v>
      </c>
      <c r="I106" s="31">
        <v>0</v>
      </c>
      <c r="J106" s="31">
        <v>0</v>
      </c>
      <c r="K106" s="31">
        <v>7338.45</v>
      </c>
      <c r="L106" s="31">
        <v>0</v>
      </c>
      <c r="M106" s="31">
        <v>0</v>
      </c>
      <c r="N106" s="31">
        <v>0</v>
      </c>
      <c r="O106" s="31">
        <v>7338.45</v>
      </c>
      <c r="P106" s="31">
        <v>7338.45</v>
      </c>
    </row>
    <row r="107" spans="1:16" x14ac:dyDescent="0.15">
      <c r="A107" s="31" t="s">
        <v>121</v>
      </c>
      <c r="B107" s="31" t="s">
        <v>47</v>
      </c>
      <c r="C107" s="31" t="s">
        <v>107</v>
      </c>
      <c r="D107" s="31" t="s">
        <v>23</v>
      </c>
      <c r="E107" s="31">
        <v>0</v>
      </c>
      <c r="F107" s="31">
        <v>0</v>
      </c>
      <c r="G107" s="31">
        <v>0</v>
      </c>
      <c r="H107" s="31">
        <v>0</v>
      </c>
      <c r="I107" s="31">
        <v>0</v>
      </c>
      <c r="J107" s="31">
        <v>0</v>
      </c>
      <c r="K107" s="31">
        <v>3039.5</v>
      </c>
      <c r="L107" s="31">
        <v>-248.5</v>
      </c>
      <c r="M107" s="31">
        <v>0</v>
      </c>
      <c r="N107" s="31">
        <v>0</v>
      </c>
      <c r="O107" s="31">
        <v>2791</v>
      </c>
      <c r="P107" s="31">
        <v>2791</v>
      </c>
    </row>
    <row r="108" spans="1:16" x14ac:dyDescent="0.15">
      <c r="A108" s="31" t="s">
        <v>121</v>
      </c>
      <c r="B108" s="31" t="s">
        <v>47</v>
      </c>
      <c r="C108" s="31" t="s">
        <v>107</v>
      </c>
      <c r="D108" s="31" t="s">
        <v>13</v>
      </c>
      <c r="E108" s="31">
        <v>0</v>
      </c>
      <c r="F108" s="31">
        <v>0</v>
      </c>
      <c r="G108" s="31">
        <v>0</v>
      </c>
      <c r="H108" s="31">
        <v>0</v>
      </c>
      <c r="I108" s="31">
        <v>0</v>
      </c>
      <c r="J108" s="31">
        <v>0</v>
      </c>
      <c r="K108" s="31">
        <v>0</v>
      </c>
      <c r="L108" s="31">
        <v>-25578.37</v>
      </c>
      <c r="M108" s="31">
        <v>0</v>
      </c>
      <c r="N108" s="31">
        <v>0</v>
      </c>
      <c r="O108" s="31">
        <v>-25578.37</v>
      </c>
      <c r="P108" s="31">
        <v>-25578.37</v>
      </c>
    </row>
    <row r="109" spans="1:16" x14ac:dyDescent="0.15">
      <c r="A109" s="31" t="s">
        <v>121</v>
      </c>
      <c r="B109" s="31" t="s">
        <v>47</v>
      </c>
      <c r="C109" s="31" t="s">
        <v>107</v>
      </c>
      <c r="D109" s="31" t="s">
        <v>20</v>
      </c>
      <c r="E109" s="31">
        <v>0</v>
      </c>
      <c r="F109" s="31">
        <v>0</v>
      </c>
      <c r="G109" s="31">
        <v>0</v>
      </c>
      <c r="H109" s="31">
        <v>0</v>
      </c>
      <c r="I109" s="31">
        <v>0</v>
      </c>
      <c r="J109" s="31">
        <v>0</v>
      </c>
      <c r="K109" s="31">
        <v>841.65</v>
      </c>
      <c r="L109" s="31">
        <v>0</v>
      </c>
      <c r="M109" s="31">
        <v>0</v>
      </c>
      <c r="N109" s="31">
        <v>0</v>
      </c>
      <c r="O109" s="31">
        <v>841.65</v>
      </c>
      <c r="P109" s="31">
        <v>841.65</v>
      </c>
    </row>
    <row r="110" spans="1:16" x14ac:dyDescent="0.15">
      <c r="A110" s="31" t="s">
        <v>121</v>
      </c>
      <c r="B110" s="31" t="s">
        <v>47</v>
      </c>
      <c r="C110" s="31" t="s">
        <v>107</v>
      </c>
      <c r="D110" s="31" t="s">
        <v>39</v>
      </c>
      <c r="E110" s="31">
        <v>0</v>
      </c>
      <c r="F110" s="31">
        <v>0</v>
      </c>
      <c r="G110" s="31">
        <v>0</v>
      </c>
      <c r="H110" s="31">
        <v>0</v>
      </c>
      <c r="I110" s="31">
        <v>0</v>
      </c>
      <c r="J110" s="31">
        <v>0</v>
      </c>
      <c r="K110" s="31">
        <v>0.5</v>
      </c>
      <c r="L110" s="31">
        <v>-3482.97</v>
      </c>
      <c r="M110" s="31">
        <v>0</v>
      </c>
      <c r="N110" s="31">
        <v>0</v>
      </c>
      <c r="O110" s="31">
        <v>-3482.47</v>
      </c>
      <c r="P110" s="31">
        <v>-3482.47</v>
      </c>
    </row>
    <row r="111" spans="1:16" x14ac:dyDescent="0.15">
      <c r="A111" s="31" t="s">
        <v>121</v>
      </c>
      <c r="B111" s="31" t="s">
        <v>47</v>
      </c>
      <c r="C111" s="31" t="s">
        <v>107</v>
      </c>
      <c r="D111" s="31" t="s">
        <v>11</v>
      </c>
      <c r="E111" s="31">
        <v>0</v>
      </c>
      <c r="F111" s="31">
        <v>0</v>
      </c>
      <c r="G111" s="31">
        <v>0</v>
      </c>
      <c r="H111" s="31">
        <v>0</v>
      </c>
      <c r="I111" s="31">
        <v>0</v>
      </c>
      <c r="J111" s="31">
        <v>0</v>
      </c>
      <c r="K111" s="31">
        <v>14269.15</v>
      </c>
      <c r="L111" s="31">
        <v>0</v>
      </c>
      <c r="M111" s="31">
        <v>0</v>
      </c>
      <c r="N111" s="31">
        <v>0</v>
      </c>
      <c r="O111" s="31">
        <v>14269.15</v>
      </c>
      <c r="P111" s="31">
        <v>14269.15</v>
      </c>
    </row>
    <row r="112" spans="1:16" x14ac:dyDescent="0.15">
      <c r="A112" s="31" t="s">
        <v>121</v>
      </c>
      <c r="B112" s="31" t="s">
        <v>47</v>
      </c>
      <c r="C112" s="31" t="s">
        <v>107</v>
      </c>
      <c r="D112" s="31" t="s">
        <v>21</v>
      </c>
      <c r="E112" s="31">
        <v>0</v>
      </c>
      <c r="F112" s="31">
        <v>0</v>
      </c>
      <c r="G112" s="31">
        <v>0</v>
      </c>
      <c r="H112" s="31">
        <v>0</v>
      </c>
      <c r="I112" s="31">
        <v>0</v>
      </c>
      <c r="J112" s="31">
        <v>0</v>
      </c>
      <c r="K112" s="31">
        <v>6951.4</v>
      </c>
      <c r="L112" s="31">
        <v>-22.3</v>
      </c>
      <c r="M112" s="31">
        <v>0</v>
      </c>
      <c r="N112" s="31">
        <v>0</v>
      </c>
      <c r="O112" s="31">
        <v>6929.1</v>
      </c>
      <c r="P112" s="31">
        <v>6929.1</v>
      </c>
    </row>
    <row r="113" spans="1:16" x14ac:dyDescent="0.15">
      <c r="A113" s="31" t="s">
        <v>121</v>
      </c>
      <c r="B113" s="31" t="s">
        <v>47</v>
      </c>
      <c r="C113" s="31" t="s">
        <v>107</v>
      </c>
      <c r="D113" s="31" t="s">
        <v>15</v>
      </c>
      <c r="E113" s="31">
        <v>0</v>
      </c>
      <c r="F113" s="31">
        <v>0</v>
      </c>
      <c r="G113" s="31">
        <v>0</v>
      </c>
      <c r="H113" s="31">
        <v>0</v>
      </c>
      <c r="I113" s="31">
        <v>0</v>
      </c>
      <c r="J113" s="31">
        <v>0</v>
      </c>
      <c r="K113" s="31">
        <v>12713.1</v>
      </c>
      <c r="L113" s="31">
        <v>0</v>
      </c>
      <c r="M113" s="31">
        <v>0</v>
      </c>
      <c r="N113" s="31">
        <v>0</v>
      </c>
      <c r="O113" s="31">
        <v>12713.1</v>
      </c>
      <c r="P113" s="31">
        <v>12713.1</v>
      </c>
    </row>
    <row r="114" spans="1:16" x14ac:dyDescent="0.15">
      <c r="A114" s="31" t="s">
        <v>121</v>
      </c>
      <c r="B114" s="31" t="s">
        <v>47</v>
      </c>
      <c r="C114" s="31" t="s">
        <v>107</v>
      </c>
      <c r="D114" s="31" t="s">
        <v>17</v>
      </c>
      <c r="E114" s="31">
        <v>0</v>
      </c>
      <c r="F114" s="31">
        <v>0</v>
      </c>
      <c r="G114" s="31">
        <v>0</v>
      </c>
      <c r="H114" s="31">
        <v>0</v>
      </c>
      <c r="I114" s="31">
        <v>0</v>
      </c>
      <c r="J114" s="31">
        <v>0</v>
      </c>
      <c r="K114" s="31">
        <v>5725.95</v>
      </c>
      <c r="L114" s="31">
        <v>-4857.87</v>
      </c>
      <c r="M114" s="31">
        <v>0</v>
      </c>
      <c r="N114" s="31">
        <v>0</v>
      </c>
      <c r="O114" s="31">
        <v>868.08</v>
      </c>
      <c r="P114" s="31">
        <v>868.08</v>
      </c>
    </row>
    <row r="115" spans="1:16" x14ac:dyDescent="0.15">
      <c r="A115" s="31" t="s">
        <v>121</v>
      </c>
      <c r="B115" s="31" t="s">
        <v>47</v>
      </c>
      <c r="C115" s="31" t="s">
        <v>107</v>
      </c>
      <c r="D115" s="31" t="s">
        <v>41</v>
      </c>
      <c r="E115" s="31">
        <v>0</v>
      </c>
      <c r="F115" s="31">
        <v>0</v>
      </c>
      <c r="G115" s="31">
        <v>0</v>
      </c>
      <c r="H115" s="31">
        <v>0</v>
      </c>
      <c r="I115" s="31">
        <v>0</v>
      </c>
      <c r="J115" s="31">
        <v>0</v>
      </c>
      <c r="K115" s="31">
        <v>0</v>
      </c>
      <c r="L115" s="31">
        <v>-6235.27</v>
      </c>
      <c r="M115" s="31">
        <v>0</v>
      </c>
      <c r="N115" s="31">
        <v>0</v>
      </c>
      <c r="O115" s="31">
        <v>-6235.27</v>
      </c>
      <c r="P115" s="31">
        <v>-6235.27</v>
      </c>
    </row>
    <row r="116" spans="1:16" x14ac:dyDescent="0.15">
      <c r="A116" s="31" t="s">
        <v>121</v>
      </c>
      <c r="B116" s="31" t="s">
        <v>47</v>
      </c>
      <c r="C116" s="31" t="s">
        <v>83</v>
      </c>
      <c r="E116" s="31">
        <v>0</v>
      </c>
      <c r="F116" s="31">
        <v>0</v>
      </c>
      <c r="G116" s="31">
        <v>0</v>
      </c>
      <c r="H116" s="31">
        <v>0</v>
      </c>
      <c r="I116" s="31">
        <v>0</v>
      </c>
      <c r="J116" s="31">
        <v>0</v>
      </c>
      <c r="K116" s="31">
        <v>132792.67800000001</v>
      </c>
      <c r="L116" s="31">
        <v>-101736.064</v>
      </c>
      <c r="M116" s="31">
        <v>0</v>
      </c>
      <c r="N116" s="31">
        <v>0</v>
      </c>
      <c r="O116" s="31">
        <v>31056.614000000001</v>
      </c>
      <c r="P116" s="31">
        <v>31056.614000000001</v>
      </c>
    </row>
    <row r="117" spans="1:16" x14ac:dyDescent="0.15">
      <c r="A117" s="31" t="s">
        <v>121</v>
      </c>
      <c r="B117" s="31" t="s">
        <v>47</v>
      </c>
      <c r="C117" s="31" t="s">
        <v>108</v>
      </c>
      <c r="D117" s="31" t="s">
        <v>109</v>
      </c>
      <c r="E117" s="31">
        <v>0</v>
      </c>
      <c r="F117" s="31">
        <v>0</v>
      </c>
      <c r="G117" s="31">
        <v>0</v>
      </c>
      <c r="H117" s="31">
        <v>0</v>
      </c>
      <c r="I117" s="31">
        <v>0</v>
      </c>
      <c r="J117" s="31">
        <v>0</v>
      </c>
      <c r="K117" s="31">
        <v>261.97851200000002</v>
      </c>
      <c r="L117" s="31">
        <v>0</v>
      </c>
      <c r="M117" s="31">
        <v>0</v>
      </c>
      <c r="N117" s="31">
        <v>0</v>
      </c>
      <c r="O117" s="31">
        <v>261.97851200000002</v>
      </c>
      <c r="P117" s="31">
        <v>261.97851200000002</v>
      </c>
    </row>
    <row r="118" spans="1:16" x14ac:dyDescent="0.15">
      <c r="A118" s="31" t="s">
        <v>121</v>
      </c>
      <c r="B118" s="31" t="s">
        <v>47</v>
      </c>
      <c r="C118" s="31" t="s">
        <v>108</v>
      </c>
      <c r="D118" s="31" t="s">
        <v>468</v>
      </c>
      <c r="E118" s="31">
        <v>0</v>
      </c>
      <c r="F118" s="31">
        <v>0</v>
      </c>
      <c r="G118" s="31">
        <v>0</v>
      </c>
      <c r="H118" s="31">
        <v>0</v>
      </c>
      <c r="I118" s="31">
        <v>0</v>
      </c>
      <c r="J118" s="31">
        <v>0</v>
      </c>
      <c r="K118" s="31">
        <v>0</v>
      </c>
      <c r="L118" s="31">
        <v>-15.544129999999999</v>
      </c>
      <c r="M118" s="31">
        <v>0</v>
      </c>
      <c r="N118" s="31">
        <v>0</v>
      </c>
      <c r="O118" s="31">
        <v>-15.544129999999999</v>
      </c>
      <c r="P118" s="31">
        <v>-15.544129999999999</v>
      </c>
    </row>
    <row r="119" spans="1:16" x14ac:dyDescent="0.15">
      <c r="A119" s="31" t="s">
        <v>121</v>
      </c>
      <c r="B119" s="31" t="s">
        <v>47</v>
      </c>
      <c r="C119" s="31" t="s">
        <v>108</v>
      </c>
      <c r="D119" s="31" t="s">
        <v>110</v>
      </c>
      <c r="E119" s="31">
        <v>0</v>
      </c>
      <c r="F119" s="31">
        <v>0</v>
      </c>
      <c r="G119" s="31">
        <v>0</v>
      </c>
      <c r="H119" s="31">
        <v>0</v>
      </c>
      <c r="I119" s="31">
        <v>0</v>
      </c>
      <c r="J119" s="31">
        <v>0</v>
      </c>
      <c r="K119" s="31">
        <v>0</v>
      </c>
      <c r="L119" s="31">
        <v>-403.71442100000002</v>
      </c>
      <c r="M119" s="31">
        <v>0</v>
      </c>
      <c r="N119" s="31">
        <v>0</v>
      </c>
      <c r="O119" s="31">
        <v>-403.71442100000002</v>
      </c>
      <c r="P119" s="31">
        <v>-403.71442100000002</v>
      </c>
    </row>
    <row r="120" spans="1:16" x14ac:dyDescent="0.15">
      <c r="A120" s="31" t="s">
        <v>121</v>
      </c>
      <c r="B120" s="31" t="s">
        <v>47</v>
      </c>
      <c r="C120" s="31" t="s">
        <v>108</v>
      </c>
      <c r="D120" s="31" t="s">
        <v>111</v>
      </c>
      <c r="E120" s="31">
        <v>0</v>
      </c>
      <c r="F120" s="31">
        <v>909.26533600000005</v>
      </c>
      <c r="G120" s="31">
        <v>0</v>
      </c>
      <c r="H120" s="31">
        <v>0</v>
      </c>
      <c r="I120" s="31">
        <v>0</v>
      </c>
      <c r="J120" s="31">
        <v>909.26533600000005</v>
      </c>
      <c r="K120" s="31">
        <v>0</v>
      </c>
      <c r="L120" s="31">
        <v>0</v>
      </c>
      <c r="M120" s="31">
        <v>0</v>
      </c>
      <c r="N120" s="31">
        <v>0</v>
      </c>
      <c r="O120" s="31">
        <v>0</v>
      </c>
      <c r="P120" s="31">
        <v>909.26533600000005</v>
      </c>
    </row>
    <row r="121" spans="1:16" x14ac:dyDescent="0.15">
      <c r="A121" s="31" t="s">
        <v>121</v>
      </c>
      <c r="B121" s="31" t="s">
        <v>47</v>
      </c>
      <c r="C121" s="31" t="s">
        <v>108</v>
      </c>
      <c r="D121" s="31" t="s">
        <v>469</v>
      </c>
      <c r="E121" s="31">
        <v>0</v>
      </c>
      <c r="F121" s="31">
        <v>0</v>
      </c>
      <c r="G121" s="31">
        <v>0</v>
      </c>
      <c r="H121" s="31">
        <v>0</v>
      </c>
      <c r="I121" s="31">
        <v>0</v>
      </c>
      <c r="J121" s="31">
        <v>0</v>
      </c>
      <c r="K121" s="31">
        <v>0</v>
      </c>
      <c r="L121" s="31">
        <v>-0.550203</v>
      </c>
      <c r="M121" s="31">
        <v>0</v>
      </c>
      <c r="N121" s="31">
        <v>0</v>
      </c>
      <c r="O121" s="31">
        <v>-0.550203</v>
      </c>
      <c r="P121" s="31">
        <v>-0.550203</v>
      </c>
    </row>
    <row r="122" spans="1:16" x14ac:dyDescent="0.15">
      <c r="A122" s="31" t="s">
        <v>121</v>
      </c>
      <c r="B122" s="31" t="s">
        <v>47</v>
      </c>
      <c r="C122" s="31" t="s">
        <v>108</v>
      </c>
      <c r="D122" s="31" t="s">
        <v>470</v>
      </c>
      <c r="E122" s="31">
        <v>0</v>
      </c>
      <c r="F122" s="31">
        <v>0</v>
      </c>
      <c r="G122" s="31">
        <v>0</v>
      </c>
      <c r="H122" s="31">
        <v>0</v>
      </c>
      <c r="I122" s="31">
        <v>0</v>
      </c>
      <c r="J122" s="31">
        <v>0</v>
      </c>
      <c r="K122" s="31">
        <v>0</v>
      </c>
      <c r="L122" s="31">
        <v>-42.754176000000001</v>
      </c>
      <c r="M122" s="31">
        <v>0</v>
      </c>
      <c r="N122" s="31">
        <v>0</v>
      </c>
      <c r="O122" s="31">
        <v>-42.754176000000001</v>
      </c>
      <c r="P122" s="31">
        <v>-42.754176000000001</v>
      </c>
    </row>
    <row r="123" spans="1:16" x14ac:dyDescent="0.15">
      <c r="A123" s="31" t="s">
        <v>121</v>
      </c>
      <c r="B123" s="31" t="s">
        <v>47</v>
      </c>
      <c r="C123" s="31" t="s">
        <v>108</v>
      </c>
      <c r="D123" s="31" t="s">
        <v>113</v>
      </c>
      <c r="E123" s="31">
        <v>0</v>
      </c>
      <c r="F123" s="31">
        <v>0</v>
      </c>
      <c r="G123" s="31">
        <v>0</v>
      </c>
      <c r="H123" s="31">
        <v>0</v>
      </c>
      <c r="I123" s="31">
        <v>0</v>
      </c>
      <c r="J123" s="31">
        <v>0</v>
      </c>
      <c r="K123" s="31">
        <v>11.632882</v>
      </c>
      <c r="L123" s="31">
        <v>0</v>
      </c>
      <c r="M123" s="31">
        <v>0</v>
      </c>
      <c r="N123" s="31">
        <v>0</v>
      </c>
      <c r="O123" s="31">
        <v>11.632882</v>
      </c>
      <c r="P123" s="31">
        <v>11.632882</v>
      </c>
    </row>
    <row r="124" spans="1:16" x14ac:dyDescent="0.15">
      <c r="A124" s="31" t="s">
        <v>121</v>
      </c>
      <c r="B124" s="31" t="s">
        <v>47</v>
      </c>
      <c r="C124" s="31" t="s">
        <v>108</v>
      </c>
      <c r="D124" s="31" t="s">
        <v>114</v>
      </c>
      <c r="E124" s="31">
        <v>0</v>
      </c>
      <c r="F124" s="31">
        <v>0</v>
      </c>
      <c r="G124" s="31">
        <v>0</v>
      </c>
      <c r="H124" s="31">
        <v>0</v>
      </c>
      <c r="I124" s="31">
        <v>0</v>
      </c>
      <c r="J124" s="31">
        <v>0</v>
      </c>
      <c r="K124" s="31">
        <v>10.966552999999999</v>
      </c>
      <c r="L124" s="31">
        <v>0</v>
      </c>
      <c r="M124" s="31">
        <v>0</v>
      </c>
      <c r="N124" s="31">
        <v>0</v>
      </c>
      <c r="O124" s="31">
        <v>10.966552999999999</v>
      </c>
      <c r="P124" s="31">
        <v>10.966552999999999</v>
      </c>
    </row>
    <row r="125" spans="1:16" x14ac:dyDescent="0.15">
      <c r="A125" s="31" t="s">
        <v>121</v>
      </c>
      <c r="B125" s="31" t="s">
        <v>47</v>
      </c>
      <c r="C125" s="31" t="s">
        <v>108</v>
      </c>
      <c r="D125" s="31" t="s">
        <v>115</v>
      </c>
      <c r="E125" s="31">
        <v>0</v>
      </c>
      <c r="F125" s="31">
        <v>0</v>
      </c>
      <c r="G125" s="31">
        <v>0</v>
      </c>
      <c r="H125" s="31">
        <v>0</v>
      </c>
      <c r="I125" s="31">
        <v>0</v>
      </c>
      <c r="J125" s="31">
        <v>0</v>
      </c>
      <c r="K125" s="31">
        <v>0</v>
      </c>
      <c r="L125" s="31">
        <v>-166.36802499999999</v>
      </c>
      <c r="M125" s="31">
        <v>0</v>
      </c>
      <c r="N125" s="31">
        <v>0</v>
      </c>
      <c r="O125" s="31">
        <v>-166.36802499999999</v>
      </c>
      <c r="P125" s="31">
        <v>-166.36802499999999</v>
      </c>
    </row>
    <row r="126" spans="1:16" x14ac:dyDescent="0.15">
      <c r="A126" s="31" t="s">
        <v>121</v>
      </c>
      <c r="B126" s="31" t="s">
        <v>47</v>
      </c>
      <c r="C126" s="31" t="s">
        <v>108</v>
      </c>
      <c r="D126" s="31" t="s">
        <v>471</v>
      </c>
      <c r="E126" s="31">
        <v>0</v>
      </c>
      <c r="F126" s="31">
        <v>0</v>
      </c>
      <c r="G126" s="31">
        <v>0</v>
      </c>
      <c r="H126" s="31">
        <v>0</v>
      </c>
      <c r="I126" s="31">
        <v>0</v>
      </c>
      <c r="J126" s="31">
        <v>0</v>
      </c>
      <c r="K126" s="31">
        <v>0</v>
      </c>
      <c r="L126" s="31">
        <v>-44.244497000000003</v>
      </c>
      <c r="M126" s="31">
        <v>0</v>
      </c>
      <c r="N126" s="31">
        <v>0</v>
      </c>
      <c r="O126" s="31">
        <v>-44.244497000000003</v>
      </c>
      <c r="P126" s="31">
        <v>-44.244497000000003</v>
      </c>
    </row>
    <row r="127" spans="1:16" x14ac:dyDescent="0.15">
      <c r="A127" s="31" t="s">
        <v>121</v>
      </c>
      <c r="B127" s="31" t="s">
        <v>47</v>
      </c>
      <c r="C127" s="31" t="s">
        <v>108</v>
      </c>
      <c r="D127" s="31" t="s">
        <v>472</v>
      </c>
      <c r="E127" s="31">
        <v>0</v>
      </c>
      <c r="F127" s="31">
        <v>0</v>
      </c>
      <c r="G127" s="31">
        <v>0</v>
      </c>
      <c r="H127" s="31">
        <v>0</v>
      </c>
      <c r="I127" s="31">
        <v>0</v>
      </c>
      <c r="J127" s="31">
        <v>0</v>
      </c>
      <c r="K127" s="31">
        <v>105.21211700000001</v>
      </c>
      <c r="L127" s="31">
        <v>0</v>
      </c>
      <c r="M127" s="31">
        <v>0</v>
      </c>
      <c r="N127" s="31">
        <v>0</v>
      </c>
      <c r="O127" s="31">
        <v>105.21211700000001</v>
      </c>
      <c r="P127" s="31">
        <v>105.21211700000001</v>
      </c>
    </row>
    <row r="128" spans="1:16" x14ac:dyDescent="0.15">
      <c r="A128" s="31" t="s">
        <v>121</v>
      </c>
      <c r="B128" s="31" t="s">
        <v>47</v>
      </c>
      <c r="C128" s="31" t="s">
        <v>108</v>
      </c>
      <c r="D128" s="31" t="s">
        <v>473</v>
      </c>
      <c r="E128" s="31">
        <v>0</v>
      </c>
      <c r="F128" s="31">
        <v>0</v>
      </c>
      <c r="G128" s="31">
        <v>0</v>
      </c>
      <c r="H128" s="31">
        <v>0</v>
      </c>
      <c r="I128" s="31">
        <v>0</v>
      </c>
      <c r="J128" s="31">
        <v>0</v>
      </c>
      <c r="K128" s="31">
        <v>4.6126569999999996</v>
      </c>
      <c r="L128" s="31">
        <v>0</v>
      </c>
      <c r="M128" s="31">
        <v>0</v>
      </c>
      <c r="N128" s="31">
        <v>0</v>
      </c>
      <c r="O128" s="31">
        <v>4.6126569999999996</v>
      </c>
      <c r="P128" s="31">
        <v>4.6126569999999996</v>
      </c>
    </row>
    <row r="129" spans="1:16" x14ac:dyDescent="0.15">
      <c r="A129" s="31" t="s">
        <v>121</v>
      </c>
      <c r="B129" s="31" t="s">
        <v>47</v>
      </c>
      <c r="C129" s="31" t="s">
        <v>108</v>
      </c>
      <c r="D129" s="31" t="s">
        <v>116</v>
      </c>
      <c r="E129" s="31">
        <v>0</v>
      </c>
      <c r="F129" s="31">
        <v>58.461698779999999</v>
      </c>
      <c r="G129" s="31">
        <v>0</v>
      </c>
      <c r="H129" s="31">
        <v>0</v>
      </c>
      <c r="I129" s="31">
        <v>0</v>
      </c>
      <c r="J129" s="31">
        <v>58.461698779999999</v>
      </c>
      <c r="K129" s="31">
        <v>58.027337000000003</v>
      </c>
      <c r="L129" s="31">
        <v>0</v>
      </c>
      <c r="M129" s="31">
        <v>0</v>
      </c>
      <c r="N129" s="31">
        <v>0</v>
      </c>
      <c r="O129" s="31">
        <v>58.027337000000003</v>
      </c>
      <c r="P129" s="31">
        <v>116.48903577999999</v>
      </c>
    </row>
    <row r="130" spans="1:16" x14ac:dyDescent="0.15">
      <c r="A130" s="31" t="s">
        <v>121</v>
      </c>
      <c r="B130" s="31" t="s">
        <v>47</v>
      </c>
      <c r="C130" s="31" t="s">
        <v>108</v>
      </c>
      <c r="D130" s="31" t="s">
        <v>474</v>
      </c>
      <c r="E130" s="31">
        <v>0</v>
      </c>
      <c r="F130" s="31">
        <v>0</v>
      </c>
      <c r="G130" s="31">
        <v>0</v>
      </c>
      <c r="H130" s="31">
        <v>0</v>
      </c>
      <c r="I130" s="31">
        <v>0</v>
      </c>
      <c r="J130" s="31">
        <v>0</v>
      </c>
      <c r="K130" s="31">
        <v>17.452504000000001</v>
      </c>
      <c r="L130" s="31">
        <v>0</v>
      </c>
      <c r="M130" s="31">
        <v>0</v>
      </c>
      <c r="N130" s="31">
        <v>0</v>
      </c>
      <c r="O130" s="31">
        <v>17.452504000000001</v>
      </c>
      <c r="P130" s="31">
        <v>17.452504000000001</v>
      </c>
    </row>
    <row r="131" spans="1:16" x14ac:dyDescent="0.15">
      <c r="A131" s="31" t="s">
        <v>121</v>
      </c>
      <c r="B131" s="31" t="s">
        <v>47</v>
      </c>
      <c r="C131" s="31" t="s">
        <v>83</v>
      </c>
      <c r="E131" s="31">
        <v>0</v>
      </c>
      <c r="F131" s="31">
        <v>967.72703478000005</v>
      </c>
      <c r="G131" s="31">
        <v>0</v>
      </c>
      <c r="H131" s="31">
        <v>0</v>
      </c>
      <c r="I131" s="31">
        <v>0</v>
      </c>
      <c r="J131" s="31">
        <v>967.72703478000005</v>
      </c>
      <c r="K131" s="31">
        <v>469.88256200000001</v>
      </c>
      <c r="L131" s="31">
        <v>-673.17545199999995</v>
      </c>
      <c r="M131" s="31">
        <v>0</v>
      </c>
      <c r="N131" s="31">
        <v>0</v>
      </c>
      <c r="O131" s="31">
        <v>-203.29289</v>
      </c>
      <c r="P131" s="31">
        <v>764.43414478</v>
      </c>
    </row>
    <row r="132" spans="1:16" x14ac:dyDescent="0.15">
      <c r="A132" s="31" t="s">
        <v>121</v>
      </c>
      <c r="B132" s="31" t="s">
        <v>47</v>
      </c>
      <c r="C132" s="31" t="s">
        <v>118</v>
      </c>
      <c r="E132" s="31">
        <v>0</v>
      </c>
      <c r="F132" s="31">
        <v>967.72703478000005</v>
      </c>
      <c r="G132" s="31">
        <v>0</v>
      </c>
      <c r="H132" s="31">
        <v>0</v>
      </c>
      <c r="I132" s="31">
        <v>0</v>
      </c>
      <c r="J132" s="31">
        <v>967.72703478000005</v>
      </c>
      <c r="K132" s="31">
        <v>133262.560562</v>
      </c>
      <c r="L132" s="31">
        <v>-102409.23945199999</v>
      </c>
      <c r="M132" s="31">
        <v>0</v>
      </c>
      <c r="N132" s="31">
        <v>0</v>
      </c>
      <c r="O132" s="31">
        <v>30853.321110000001</v>
      </c>
      <c r="P132" s="31">
        <v>31821.048144780001</v>
      </c>
    </row>
    <row r="133" spans="1:16" x14ac:dyDescent="0.15">
      <c r="A133" s="31" t="s">
        <v>133</v>
      </c>
      <c r="B133" s="31" t="s">
        <v>44</v>
      </c>
      <c r="C133" s="31" t="s">
        <v>134</v>
      </c>
      <c r="D133" s="31" t="s">
        <v>135</v>
      </c>
      <c r="E133" s="31" t="s">
        <v>83</v>
      </c>
      <c r="F133" s="31" t="s">
        <v>136</v>
      </c>
      <c r="G133" s="31" t="s">
        <v>137</v>
      </c>
    </row>
    <row r="134" spans="1:16" x14ac:dyDescent="0.15">
      <c r="A134" s="31" t="s">
        <v>133</v>
      </c>
      <c r="B134" s="31" t="s">
        <v>47</v>
      </c>
      <c r="C134" s="31" t="s">
        <v>138</v>
      </c>
      <c r="D134" s="31" t="s">
        <v>139</v>
      </c>
      <c r="E134" s="31">
        <v>124281.7744351</v>
      </c>
      <c r="F134" s="31">
        <v>124281.7744351</v>
      </c>
      <c r="G134" s="31">
        <v>0</v>
      </c>
    </row>
    <row r="135" spans="1:16" x14ac:dyDescent="0.15">
      <c r="A135" s="31" t="s">
        <v>133</v>
      </c>
      <c r="B135" s="31" t="s">
        <v>47</v>
      </c>
      <c r="C135" s="31" t="s">
        <v>92</v>
      </c>
      <c r="D135" s="31" t="s">
        <v>139</v>
      </c>
      <c r="E135" s="31">
        <v>-25.2137685</v>
      </c>
      <c r="F135" s="31">
        <v>-25.2137685</v>
      </c>
      <c r="G135" s="31">
        <v>0</v>
      </c>
    </row>
    <row r="136" spans="1:16" x14ac:dyDescent="0.15">
      <c r="A136" s="31" t="s">
        <v>133</v>
      </c>
      <c r="B136" s="31" t="s">
        <v>47</v>
      </c>
      <c r="C136" s="31" t="s">
        <v>475</v>
      </c>
      <c r="D136" s="31" t="s">
        <v>139</v>
      </c>
      <c r="E136" s="31">
        <v>100000</v>
      </c>
      <c r="F136" s="31">
        <v>100000</v>
      </c>
      <c r="G136" s="31">
        <v>0</v>
      </c>
    </row>
    <row r="137" spans="1:16" x14ac:dyDescent="0.15">
      <c r="A137" s="31" t="s">
        <v>133</v>
      </c>
      <c r="B137" s="31" t="s">
        <v>47</v>
      </c>
      <c r="C137" s="31" t="s">
        <v>88</v>
      </c>
      <c r="D137" s="31" t="s">
        <v>139</v>
      </c>
      <c r="E137" s="31">
        <v>8.6</v>
      </c>
      <c r="F137" s="31">
        <v>8.6</v>
      </c>
      <c r="G137" s="31">
        <v>0</v>
      </c>
    </row>
    <row r="138" spans="1:16" x14ac:dyDescent="0.15">
      <c r="A138" s="31" t="s">
        <v>133</v>
      </c>
      <c r="B138" s="31" t="s">
        <v>47</v>
      </c>
      <c r="C138" s="31" t="s">
        <v>119</v>
      </c>
      <c r="D138" s="31" t="s">
        <v>139</v>
      </c>
      <c r="E138" s="31">
        <v>176.22</v>
      </c>
      <c r="F138" s="31">
        <v>176.22</v>
      </c>
      <c r="G138" s="31">
        <v>0</v>
      </c>
    </row>
    <row r="139" spans="1:16" x14ac:dyDescent="0.15">
      <c r="A139" s="31" t="s">
        <v>133</v>
      </c>
      <c r="B139" s="31" t="s">
        <v>47</v>
      </c>
      <c r="C139" s="31" t="s">
        <v>140</v>
      </c>
      <c r="D139" s="31" t="s">
        <v>139</v>
      </c>
      <c r="E139" s="31">
        <v>1435</v>
      </c>
      <c r="F139" s="31">
        <v>1435</v>
      </c>
      <c r="G139" s="31">
        <v>0</v>
      </c>
    </row>
    <row r="140" spans="1:16" x14ac:dyDescent="0.15">
      <c r="A140" s="31" t="s">
        <v>133</v>
      </c>
      <c r="B140" s="31" t="s">
        <v>47</v>
      </c>
      <c r="C140" s="31" t="s">
        <v>141</v>
      </c>
      <c r="D140" s="31" t="s">
        <v>139</v>
      </c>
      <c r="E140" s="31">
        <v>-63741.599999999999</v>
      </c>
      <c r="F140" s="31">
        <v>-63741.599999999999</v>
      </c>
      <c r="G140" s="31">
        <v>0</v>
      </c>
    </row>
    <row r="141" spans="1:16" x14ac:dyDescent="0.15">
      <c r="A141" s="31" t="s">
        <v>133</v>
      </c>
      <c r="B141" s="31" t="s">
        <v>47</v>
      </c>
      <c r="C141" s="31" t="s">
        <v>142</v>
      </c>
      <c r="D141" s="31" t="s">
        <v>139</v>
      </c>
      <c r="E141" s="31">
        <v>69.650000000000006</v>
      </c>
      <c r="F141" s="31">
        <v>69.650000000000006</v>
      </c>
      <c r="G141" s="31">
        <v>0</v>
      </c>
    </row>
    <row r="142" spans="1:16" x14ac:dyDescent="0.15">
      <c r="A142" s="31" t="s">
        <v>133</v>
      </c>
      <c r="B142" s="31" t="s">
        <v>47</v>
      </c>
      <c r="C142" s="31" t="s">
        <v>143</v>
      </c>
      <c r="D142" s="31" t="s">
        <v>139</v>
      </c>
      <c r="E142" s="31">
        <v>162204.4306666</v>
      </c>
      <c r="F142" s="31">
        <v>162204.4306666</v>
      </c>
      <c r="G142" s="31">
        <v>0</v>
      </c>
    </row>
    <row r="143" spans="1:16" x14ac:dyDescent="0.15">
      <c r="A143" s="31" t="s">
        <v>133</v>
      </c>
      <c r="B143" s="31" t="s">
        <v>47</v>
      </c>
      <c r="C143" s="31" t="s">
        <v>144</v>
      </c>
      <c r="D143" s="31" t="s">
        <v>139</v>
      </c>
      <c r="E143" s="31">
        <v>183688.57066659999</v>
      </c>
      <c r="F143" s="31">
        <v>183688.57066659999</v>
      </c>
      <c r="G143" s="31">
        <v>0</v>
      </c>
    </row>
    <row r="144" spans="1:16" x14ac:dyDescent="0.15">
      <c r="A144" s="31" t="s">
        <v>133</v>
      </c>
      <c r="B144" s="31" t="s">
        <v>47</v>
      </c>
      <c r="C144" s="31" t="s">
        <v>145</v>
      </c>
      <c r="D144" s="31" t="s">
        <v>139</v>
      </c>
      <c r="E144" s="31">
        <v>16572</v>
      </c>
      <c r="F144" s="31">
        <v>16572</v>
      </c>
      <c r="G144" s="31">
        <v>0</v>
      </c>
    </row>
    <row r="145" spans="1:14" x14ac:dyDescent="0.15">
      <c r="A145" s="31" t="s">
        <v>133</v>
      </c>
      <c r="B145" s="31" t="s">
        <v>47</v>
      </c>
      <c r="C145" s="31" t="s">
        <v>146</v>
      </c>
      <c r="D145" s="31" t="s">
        <v>139</v>
      </c>
      <c r="E145" s="31">
        <v>34093</v>
      </c>
      <c r="F145" s="31">
        <v>34093</v>
      </c>
      <c r="G145" s="31">
        <v>0</v>
      </c>
    </row>
    <row r="146" spans="1:14" x14ac:dyDescent="0.15">
      <c r="A146" s="31" t="s">
        <v>133</v>
      </c>
      <c r="B146" s="31" t="s">
        <v>47</v>
      </c>
      <c r="C146" s="31" t="s">
        <v>147</v>
      </c>
      <c r="D146" s="31" t="s">
        <v>139</v>
      </c>
      <c r="E146" s="31">
        <v>50665</v>
      </c>
      <c r="F146" s="31">
        <v>50665</v>
      </c>
      <c r="G146" s="31">
        <v>0</v>
      </c>
    </row>
    <row r="147" spans="1:14" x14ac:dyDescent="0.15">
      <c r="A147" s="31" t="s">
        <v>133</v>
      </c>
      <c r="B147" s="31" t="s">
        <v>47</v>
      </c>
      <c r="C147" s="31" t="s">
        <v>148</v>
      </c>
      <c r="D147" s="31" t="s">
        <v>139</v>
      </c>
      <c r="E147" s="31">
        <v>50665</v>
      </c>
      <c r="F147" s="31">
        <v>50665</v>
      </c>
      <c r="G147" s="31">
        <v>0</v>
      </c>
    </row>
    <row r="148" spans="1:14" x14ac:dyDescent="0.15">
      <c r="A148" s="31" t="s">
        <v>133</v>
      </c>
      <c r="B148" s="31" t="s">
        <v>47</v>
      </c>
      <c r="C148" s="31" t="s">
        <v>149</v>
      </c>
      <c r="D148" s="31" t="s">
        <v>139</v>
      </c>
      <c r="E148" s="31">
        <v>234353.57066659999</v>
      </c>
      <c r="F148" s="31">
        <v>234353.57066659999</v>
      </c>
      <c r="G148" s="31">
        <v>0</v>
      </c>
    </row>
    <row r="149" spans="1:14" x14ac:dyDescent="0.15">
      <c r="A149" s="31" t="s">
        <v>150</v>
      </c>
      <c r="B149" s="31" t="s">
        <v>44</v>
      </c>
      <c r="C149" s="31" t="s">
        <v>151</v>
      </c>
      <c r="D149" s="31" t="s">
        <v>95</v>
      </c>
      <c r="E149" s="31" t="s">
        <v>135</v>
      </c>
      <c r="F149" s="31" t="s">
        <v>96</v>
      </c>
      <c r="G149" s="31" t="s">
        <v>152</v>
      </c>
      <c r="H149" s="31" t="s">
        <v>153</v>
      </c>
      <c r="I149" s="31" t="s">
        <v>154</v>
      </c>
      <c r="J149" s="31" t="s">
        <v>155</v>
      </c>
      <c r="K149" s="31" t="s">
        <v>156</v>
      </c>
      <c r="L149" s="31" t="s">
        <v>157</v>
      </c>
      <c r="M149" s="31" t="s">
        <v>158</v>
      </c>
      <c r="N149" s="31" t="s">
        <v>106</v>
      </c>
    </row>
    <row r="150" spans="1:14" x14ac:dyDescent="0.15">
      <c r="A150" s="31" t="s">
        <v>150</v>
      </c>
      <c r="B150" s="31" t="s">
        <v>47</v>
      </c>
      <c r="C150" s="31" t="s">
        <v>159</v>
      </c>
      <c r="D150" s="31" t="s">
        <v>107</v>
      </c>
      <c r="E150" s="31" t="s">
        <v>68</v>
      </c>
      <c r="F150" s="31" t="s">
        <v>1</v>
      </c>
      <c r="G150" s="31">
        <v>370</v>
      </c>
      <c r="H150" s="31">
        <v>1</v>
      </c>
      <c r="I150" s="31">
        <v>136.935135135</v>
      </c>
      <c r="J150" s="31">
        <v>50666</v>
      </c>
      <c r="K150" s="31">
        <v>172.19</v>
      </c>
      <c r="L150" s="31">
        <v>63710.3</v>
      </c>
      <c r="M150" s="31">
        <v>13044.3</v>
      </c>
    </row>
    <row r="151" spans="1:14" x14ac:dyDescent="0.15">
      <c r="A151" s="31" t="s">
        <v>150</v>
      </c>
      <c r="B151" s="31" t="s">
        <v>47</v>
      </c>
      <c r="C151" s="31" t="s">
        <v>159</v>
      </c>
      <c r="D151" s="31" t="s">
        <v>107</v>
      </c>
      <c r="E151" s="31" t="s">
        <v>68</v>
      </c>
      <c r="F151" s="31" t="s">
        <v>12</v>
      </c>
      <c r="G151" s="31">
        <v>710</v>
      </c>
      <c r="H151" s="31">
        <v>1</v>
      </c>
      <c r="I151" s="31">
        <v>82.020340845000007</v>
      </c>
      <c r="J151" s="31">
        <v>58234.442000000003</v>
      </c>
      <c r="K151" s="31">
        <v>132</v>
      </c>
      <c r="L151" s="31">
        <v>93720</v>
      </c>
      <c r="M151" s="31">
        <v>35485.557999999997</v>
      </c>
    </row>
    <row r="152" spans="1:14" x14ac:dyDescent="0.15">
      <c r="A152" s="31" t="s">
        <v>150</v>
      </c>
      <c r="B152" s="31" t="s">
        <v>47</v>
      </c>
      <c r="C152" s="31" t="s">
        <v>159</v>
      </c>
      <c r="D152" s="31" t="s">
        <v>107</v>
      </c>
      <c r="E152" s="31" t="s">
        <v>68</v>
      </c>
      <c r="F152" s="31" t="s">
        <v>2</v>
      </c>
      <c r="G152" s="31">
        <v>35</v>
      </c>
      <c r="H152" s="31">
        <v>1</v>
      </c>
      <c r="I152" s="31">
        <v>3384.094142857</v>
      </c>
      <c r="J152" s="31">
        <v>118443.295</v>
      </c>
      <c r="K152" s="31">
        <v>3229.72</v>
      </c>
      <c r="L152" s="31">
        <v>113040.2</v>
      </c>
      <c r="M152" s="31">
        <v>-5403.0950000000003</v>
      </c>
    </row>
    <row r="153" spans="1:14" x14ac:dyDescent="0.15">
      <c r="A153" s="31" t="s">
        <v>150</v>
      </c>
      <c r="B153" s="31" t="s">
        <v>47</v>
      </c>
      <c r="C153" s="31" t="s">
        <v>159</v>
      </c>
      <c r="D153" s="31" t="s">
        <v>107</v>
      </c>
      <c r="E153" s="31" t="s">
        <v>68</v>
      </c>
      <c r="F153" s="31" t="s">
        <v>42</v>
      </c>
      <c r="G153" s="31">
        <v>100</v>
      </c>
      <c r="H153" s="31">
        <v>1</v>
      </c>
      <c r="I153" s="31">
        <v>97.02</v>
      </c>
      <c r="J153" s="31">
        <v>9702</v>
      </c>
      <c r="K153" s="31">
        <v>84.64</v>
      </c>
      <c r="L153" s="31">
        <v>8464</v>
      </c>
      <c r="M153" s="31">
        <v>-1238</v>
      </c>
    </row>
    <row r="154" spans="1:14" x14ac:dyDescent="0.15">
      <c r="A154" s="31" t="s">
        <v>150</v>
      </c>
      <c r="B154" s="31" t="s">
        <v>47</v>
      </c>
      <c r="C154" s="31" t="s">
        <v>159</v>
      </c>
      <c r="D154" s="31" t="s">
        <v>107</v>
      </c>
      <c r="E154" s="31" t="s">
        <v>68</v>
      </c>
      <c r="F154" s="31" t="s">
        <v>10</v>
      </c>
      <c r="G154" s="31">
        <v>220</v>
      </c>
      <c r="H154" s="31">
        <v>1</v>
      </c>
      <c r="I154" s="31">
        <v>213.02322272699999</v>
      </c>
      <c r="J154" s="31">
        <v>46865.108999999997</v>
      </c>
      <c r="K154" s="31">
        <v>128.30000000000001</v>
      </c>
      <c r="L154" s="31">
        <v>28226</v>
      </c>
      <c r="M154" s="31">
        <v>-18639.109</v>
      </c>
    </row>
    <row r="155" spans="1:14" x14ac:dyDescent="0.15">
      <c r="A155" s="31" t="s">
        <v>150</v>
      </c>
      <c r="B155" s="31" t="s">
        <v>47</v>
      </c>
      <c r="C155" s="31" t="s">
        <v>159</v>
      </c>
      <c r="D155" s="31" t="s">
        <v>107</v>
      </c>
      <c r="E155" s="31" t="s">
        <v>68</v>
      </c>
      <c r="F155" s="31" t="s">
        <v>19</v>
      </c>
      <c r="G155" s="31">
        <v>1060</v>
      </c>
      <c r="H155" s="31">
        <v>1</v>
      </c>
      <c r="I155" s="31">
        <v>43.976292452999999</v>
      </c>
      <c r="J155" s="31">
        <v>46614.87</v>
      </c>
      <c r="K155" s="31">
        <v>48.93</v>
      </c>
      <c r="L155" s="31">
        <v>51865.8</v>
      </c>
      <c r="M155" s="31">
        <v>5250.93</v>
      </c>
    </row>
    <row r="156" spans="1:14" x14ac:dyDescent="0.15">
      <c r="A156" s="31" t="s">
        <v>150</v>
      </c>
      <c r="B156" s="31" t="s">
        <v>47</v>
      </c>
      <c r="C156" s="31" t="s">
        <v>159</v>
      </c>
      <c r="D156" s="31" t="s">
        <v>107</v>
      </c>
      <c r="E156" s="31" t="s">
        <v>68</v>
      </c>
      <c r="F156" s="31" t="s">
        <v>16</v>
      </c>
      <c r="G156" s="31">
        <v>300</v>
      </c>
      <c r="H156" s="31">
        <v>1</v>
      </c>
      <c r="I156" s="31">
        <v>261.33841666699999</v>
      </c>
      <c r="J156" s="31">
        <v>78401.524999999994</v>
      </c>
      <c r="K156" s="31">
        <v>225.01</v>
      </c>
      <c r="L156" s="31">
        <v>67503</v>
      </c>
      <c r="M156" s="31">
        <v>-10898.525</v>
      </c>
    </row>
    <row r="157" spans="1:14" x14ac:dyDescent="0.15">
      <c r="A157" s="31" t="s">
        <v>150</v>
      </c>
      <c r="B157" s="31" t="s">
        <v>47</v>
      </c>
      <c r="C157" s="31" t="s">
        <v>159</v>
      </c>
      <c r="D157" s="31" t="s">
        <v>107</v>
      </c>
      <c r="E157" s="31" t="s">
        <v>68</v>
      </c>
      <c r="F157" s="31" t="s">
        <v>18</v>
      </c>
      <c r="G157" s="31">
        <v>1050</v>
      </c>
      <c r="H157" s="31">
        <v>1</v>
      </c>
      <c r="I157" s="31">
        <v>41.292628571000002</v>
      </c>
      <c r="J157" s="31">
        <v>43357.26</v>
      </c>
      <c r="K157" s="31">
        <v>40.630000000000003</v>
      </c>
      <c r="L157" s="31">
        <v>42661.5</v>
      </c>
      <c r="M157" s="31">
        <v>-695.76</v>
      </c>
    </row>
    <row r="158" spans="1:14" x14ac:dyDescent="0.15">
      <c r="A158" s="31" t="s">
        <v>150</v>
      </c>
      <c r="B158" s="31" t="s">
        <v>47</v>
      </c>
      <c r="C158" s="31" t="s">
        <v>159</v>
      </c>
      <c r="D158" s="31" t="s">
        <v>107</v>
      </c>
      <c r="E158" s="31" t="s">
        <v>68</v>
      </c>
      <c r="F158" s="31" t="s">
        <v>24</v>
      </c>
      <c r="G158" s="31">
        <v>1400</v>
      </c>
      <c r="H158" s="31">
        <v>1</v>
      </c>
      <c r="I158" s="31">
        <v>11.404442856999999</v>
      </c>
      <c r="J158" s="31">
        <v>15966.22</v>
      </c>
      <c r="K158" s="31">
        <v>4.49</v>
      </c>
      <c r="L158" s="31">
        <v>6286</v>
      </c>
      <c r="M158" s="31">
        <v>-9680.2199999999993</v>
      </c>
    </row>
    <row r="159" spans="1:14" x14ac:dyDescent="0.15">
      <c r="A159" s="31" t="s">
        <v>150</v>
      </c>
      <c r="B159" s="31" t="s">
        <v>47</v>
      </c>
      <c r="C159" s="31" t="s">
        <v>159</v>
      </c>
      <c r="D159" s="31" t="s">
        <v>107</v>
      </c>
      <c r="E159" s="31" t="s">
        <v>68</v>
      </c>
      <c r="F159" s="31" t="s">
        <v>14</v>
      </c>
      <c r="G159" s="31">
        <v>360</v>
      </c>
      <c r="H159" s="31">
        <v>1</v>
      </c>
      <c r="I159" s="31">
        <v>152.28787500000001</v>
      </c>
      <c r="J159" s="31">
        <v>54823.635000000002</v>
      </c>
      <c r="K159" s="31">
        <v>156.6</v>
      </c>
      <c r="L159" s="31">
        <v>56376</v>
      </c>
      <c r="M159" s="31">
        <v>1552.365</v>
      </c>
    </row>
    <row r="160" spans="1:14" x14ac:dyDescent="0.15">
      <c r="A160" s="31" t="s">
        <v>150</v>
      </c>
      <c r="B160" s="31" t="s">
        <v>47</v>
      </c>
      <c r="C160" s="31" t="s">
        <v>159</v>
      </c>
      <c r="D160" s="31" t="s">
        <v>107</v>
      </c>
      <c r="E160" s="31" t="s">
        <v>68</v>
      </c>
      <c r="F160" s="31" t="s">
        <v>5</v>
      </c>
      <c r="G160" s="31">
        <v>95</v>
      </c>
      <c r="H160" s="31">
        <v>1</v>
      </c>
      <c r="I160" s="31">
        <v>324.61789473699997</v>
      </c>
      <c r="J160" s="31">
        <v>30838.7</v>
      </c>
      <c r="K160" s="31">
        <v>328.07</v>
      </c>
      <c r="L160" s="31">
        <v>31166.65</v>
      </c>
      <c r="M160" s="31">
        <v>327.95</v>
      </c>
    </row>
    <row r="161" spans="1:13" x14ac:dyDescent="0.15">
      <c r="A161" s="31" t="s">
        <v>150</v>
      </c>
      <c r="B161" s="31" t="s">
        <v>47</v>
      </c>
      <c r="C161" s="31" t="s">
        <v>159</v>
      </c>
      <c r="D161" s="31" t="s">
        <v>107</v>
      </c>
      <c r="E161" s="31" t="s">
        <v>68</v>
      </c>
      <c r="F161" s="31" t="s">
        <v>7</v>
      </c>
      <c r="G161" s="31">
        <v>24</v>
      </c>
      <c r="H161" s="31">
        <v>1</v>
      </c>
      <c r="I161" s="31">
        <v>2751.47</v>
      </c>
      <c r="J161" s="31">
        <v>66035.28</v>
      </c>
      <c r="K161" s="31">
        <v>2771.48</v>
      </c>
      <c r="L161" s="31">
        <v>66515.520000000004</v>
      </c>
      <c r="M161" s="31">
        <v>480.24</v>
      </c>
    </row>
    <row r="162" spans="1:13" x14ac:dyDescent="0.15">
      <c r="A162" s="31" t="s">
        <v>150</v>
      </c>
      <c r="B162" s="31" t="s">
        <v>47</v>
      </c>
      <c r="C162" s="31" t="s">
        <v>159</v>
      </c>
      <c r="D162" s="31" t="s">
        <v>107</v>
      </c>
      <c r="E162" s="31" t="s">
        <v>68</v>
      </c>
      <c r="F162" s="31" t="s">
        <v>22</v>
      </c>
      <c r="G162" s="31">
        <v>800</v>
      </c>
      <c r="H162" s="31">
        <v>1</v>
      </c>
      <c r="I162" s="31">
        <v>9.9809999999999999</v>
      </c>
      <c r="J162" s="31">
        <v>7984.8</v>
      </c>
      <c r="K162" s="31">
        <v>4.6100000000000003</v>
      </c>
      <c r="L162" s="31">
        <v>3688</v>
      </c>
      <c r="M162" s="31">
        <v>-4296.8</v>
      </c>
    </row>
    <row r="163" spans="1:13" x14ac:dyDescent="0.15">
      <c r="A163" s="31" t="s">
        <v>150</v>
      </c>
      <c r="B163" s="31" t="s">
        <v>47</v>
      </c>
      <c r="C163" s="31" t="s">
        <v>159</v>
      </c>
      <c r="D163" s="31" t="s">
        <v>107</v>
      </c>
      <c r="E163" s="31" t="s">
        <v>68</v>
      </c>
      <c r="F163" s="31" t="s">
        <v>6</v>
      </c>
      <c r="G163" s="31">
        <v>250</v>
      </c>
      <c r="H163" s="31">
        <v>1</v>
      </c>
      <c r="I163" s="31">
        <v>157.35424</v>
      </c>
      <c r="J163" s="31">
        <v>39338.559999999998</v>
      </c>
      <c r="K163" s="31">
        <v>167.32</v>
      </c>
      <c r="L163" s="31">
        <v>41830</v>
      </c>
      <c r="M163" s="31">
        <v>2491.44</v>
      </c>
    </row>
    <row r="164" spans="1:13" x14ac:dyDescent="0.15">
      <c r="A164" s="31" t="s">
        <v>150</v>
      </c>
      <c r="B164" s="31" t="s">
        <v>47</v>
      </c>
      <c r="C164" s="31" t="s">
        <v>159</v>
      </c>
      <c r="D164" s="31" t="s">
        <v>107</v>
      </c>
      <c r="E164" s="31" t="s">
        <v>68</v>
      </c>
      <c r="F164" s="31" t="s">
        <v>40</v>
      </c>
      <c r="G164" s="31">
        <v>30</v>
      </c>
      <c r="H164" s="31">
        <v>1</v>
      </c>
      <c r="I164" s="31">
        <v>1288.712</v>
      </c>
      <c r="J164" s="31">
        <v>38661.360000000001</v>
      </c>
      <c r="K164" s="31">
        <v>1053.31</v>
      </c>
      <c r="L164" s="31">
        <v>31599.3</v>
      </c>
      <c r="M164" s="31">
        <v>-7062.06</v>
      </c>
    </row>
    <row r="165" spans="1:13" x14ac:dyDescent="0.15">
      <c r="A165" s="31" t="s">
        <v>150</v>
      </c>
      <c r="B165" s="31" t="s">
        <v>47</v>
      </c>
      <c r="C165" s="31" t="s">
        <v>159</v>
      </c>
      <c r="D165" s="31" t="s">
        <v>107</v>
      </c>
      <c r="E165" s="31" t="s">
        <v>68</v>
      </c>
      <c r="F165" s="31" t="s">
        <v>8</v>
      </c>
      <c r="G165" s="31">
        <v>50</v>
      </c>
      <c r="H165" s="31">
        <v>1</v>
      </c>
      <c r="I165" s="31">
        <v>296.19139999999999</v>
      </c>
      <c r="J165" s="31">
        <v>14809.57</v>
      </c>
      <c r="K165" s="31">
        <v>314.27</v>
      </c>
      <c r="L165" s="31">
        <v>15713.5</v>
      </c>
      <c r="M165" s="31">
        <v>903.93</v>
      </c>
    </row>
    <row r="166" spans="1:13" x14ac:dyDescent="0.15">
      <c r="A166" s="31" t="s">
        <v>150</v>
      </c>
      <c r="B166" s="31" t="s">
        <v>47</v>
      </c>
      <c r="C166" s="31" t="s">
        <v>159</v>
      </c>
      <c r="D166" s="31" t="s">
        <v>107</v>
      </c>
      <c r="E166" s="31" t="s">
        <v>68</v>
      </c>
      <c r="F166" s="31" t="s">
        <v>9</v>
      </c>
      <c r="G166" s="31">
        <v>130</v>
      </c>
      <c r="H166" s="31">
        <v>1</v>
      </c>
      <c r="I166" s="31">
        <v>130.35923076899999</v>
      </c>
      <c r="J166" s="31">
        <v>16946.7</v>
      </c>
      <c r="K166" s="31">
        <v>150.44</v>
      </c>
      <c r="L166" s="31">
        <v>19557.2</v>
      </c>
      <c r="M166" s="31">
        <v>2610.5</v>
      </c>
    </row>
    <row r="167" spans="1:13" x14ac:dyDescent="0.15">
      <c r="A167" s="31" t="s">
        <v>150</v>
      </c>
      <c r="B167" s="31" t="s">
        <v>47</v>
      </c>
      <c r="C167" s="31" t="s">
        <v>159</v>
      </c>
      <c r="D167" s="31" t="s">
        <v>107</v>
      </c>
      <c r="E167" s="31" t="s">
        <v>68</v>
      </c>
      <c r="F167" s="31" t="s">
        <v>25</v>
      </c>
      <c r="G167" s="31">
        <v>300</v>
      </c>
      <c r="H167" s="31">
        <v>1</v>
      </c>
      <c r="I167" s="31">
        <v>5.085</v>
      </c>
      <c r="J167" s="31">
        <v>1525.5</v>
      </c>
      <c r="K167" s="31">
        <v>6.17</v>
      </c>
      <c r="L167" s="31">
        <v>1851</v>
      </c>
      <c r="M167" s="31">
        <v>325.5</v>
      </c>
    </row>
    <row r="168" spans="1:13" x14ac:dyDescent="0.15">
      <c r="A168" s="31" t="s">
        <v>150</v>
      </c>
      <c r="B168" s="31" t="s">
        <v>47</v>
      </c>
      <c r="C168" s="31" t="s">
        <v>159</v>
      </c>
      <c r="D168" s="31" t="s">
        <v>107</v>
      </c>
      <c r="E168" s="31" t="s">
        <v>68</v>
      </c>
      <c r="F168" s="31" t="s">
        <v>4</v>
      </c>
      <c r="G168" s="31">
        <v>120</v>
      </c>
      <c r="H168" s="31">
        <v>1</v>
      </c>
      <c r="I168" s="31">
        <v>140.307916667</v>
      </c>
      <c r="J168" s="31">
        <v>16836.95</v>
      </c>
      <c r="K168" s="31">
        <v>274</v>
      </c>
      <c r="L168" s="31">
        <v>32880</v>
      </c>
      <c r="M168" s="31">
        <v>16043.05</v>
      </c>
    </row>
    <row r="169" spans="1:13" x14ac:dyDescent="0.15">
      <c r="A169" s="31" t="s">
        <v>150</v>
      </c>
      <c r="B169" s="31" t="s">
        <v>47</v>
      </c>
      <c r="C169" s="31" t="s">
        <v>159</v>
      </c>
      <c r="D169" s="31" t="s">
        <v>107</v>
      </c>
      <c r="E169" s="31" t="s">
        <v>68</v>
      </c>
      <c r="F169" s="31" t="s">
        <v>3</v>
      </c>
      <c r="G169" s="31">
        <v>45</v>
      </c>
      <c r="H169" s="31">
        <v>1</v>
      </c>
      <c r="I169" s="31">
        <v>359.53333333299997</v>
      </c>
      <c r="J169" s="31">
        <v>16179</v>
      </c>
      <c r="K169" s="31">
        <v>522.61</v>
      </c>
      <c r="L169" s="31">
        <v>23517.45</v>
      </c>
      <c r="M169" s="31">
        <v>7338.45</v>
      </c>
    </row>
    <row r="170" spans="1:13" x14ac:dyDescent="0.15">
      <c r="A170" s="31" t="s">
        <v>150</v>
      </c>
      <c r="B170" s="31" t="s">
        <v>47</v>
      </c>
      <c r="C170" s="31" t="s">
        <v>159</v>
      </c>
      <c r="D170" s="31" t="s">
        <v>107</v>
      </c>
      <c r="E170" s="31" t="s">
        <v>68</v>
      </c>
      <c r="F170" s="31" t="s">
        <v>23</v>
      </c>
      <c r="G170" s="31">
        <v>350</v>
      </c>
      <c r="H170" s="31">
        <v>1</v>
      </c>
      <c r="I170" s="31">
        <v>48.265714285999998</v>
      </c>
      <c r="J170" s="31">
        <v>16893</v>
      </c>
      <c r="K170" s="31">
        <v>56.24</v>
      </c>
      <c r="L170" s="31">
        <v>19684</v>
      </c>
      <c r="M170" s="31">
        <v>2791</v>
      </c>
    </row>
    <row r="171" spans="1:13" x14ac:dyDescent="0.15">
      <c r="A171" s="31" t="s">
        <v>150</v>
      </c>
      <c r="B171" s="31" t="s">
        <v>47</v>
      </c>
      <c r="C171" s="31" t="s">
        <v>159</v>
      </c>
      <c r="D171" s="31" t="s">
        <v>107</v>
      </c>
      <c r="E171" s="31" t="s">
        <v>68</v>
      </c>
      <c r="F171" s="31" t="s">
        <v>13</v>
      </c>
      <c r="G171" s="31">
        <v>4300</v>
      </c>
      <c r="H171" s="31">
        <v>1</v>
      </c>
      <c r="I171" s="31">
        <v>22.44845814</v>
      </c>
      <c r="J171" s="31">
        <v>96528.37</v>
      </c>
      <c r="K171" s="31">
        <v>16.5</v>
      </c>
      <c r="L171" s="31">
        <v>70950</v>
      </c>
      <c r="M171" s="31">
        <v>-25578.37</v>
      </c>
    </row>
    <row r="172" spans="1:13" x14ac:dyDescent="0.15">
      <c r="A172" s="31" t="s">
        <v>150</v>
      </c>
      <c r="B172" s="31" t="s">
        <v>47</v>
      </c>
      <c r="C172" s="31" t="s">
        <v>159</v>
      </c>
      <c r="D172" s="31" t="s">
        <v>107</v>
      </c>
      <c r="E172" s="31" t="s">
        <v>68</v>
      </c>
      <c r="F172" s="31" t="s">
        <v>20</v>
      </c>
      <c r="G172" s="31">
        <v>55</v>
      </c>
      <c r="H172" s="31">
        <v>1</v>
      </c>
      <c r="I172" s="31">
        <v>207.147272727</v>
      </c>
      <c r="J172" s="31">
        <v>11393.1</v>
      </c>
      <c r="K172" s="31">
        <v>222.45</v>
      </c>
      <c r="L172" s="31">
        <v>12234.75</v>
      </c>
      <c r="M172" s="31">
        <v>841.65</v>
      </c>
    </row>
    <row r="173" spans="1:13" x14ac:dyDescent="0.15">
      <c r="A173" s="31" t="s">
        <v>150</v>
      </c>
      <c r="B173" s="31" t="s">
        <v>47</v>
      </c>
      <c r="C173" s="31" t="s">
        <v>159</v>
      </c>
      <c r="D173" s="31" t="s">
        <v>107</v>
      </c>
      <c r="E173" s="31" t="s">
        <v>68</v>
      </c>
      <c r="F173" s="31" t="s">
        <v>39</v>
      </c>
      <c r="G173" s="31">
        <v>305</v>
      </c>
      <c r="H173" s="31">
        <v>1</v>
      </c>
      <c r="I173" s="31">
        <v>194.36793442600001</v>
      </c>
      <c r="J173" s="31">
        <v>59282.22</v>
      </c>
      <c r="K173" s="31">
        <v>182.95</v>
      </c>
      <c r="L173" s="31">
        <v>55799.75</v>
      </c>
      <c r="M173" s="31">
        <v>-3482.47</v>
      </c>
    </row>
    <row r="174" spans="1:13" x14ac:dyDescent="0.15">
      <c r="A174" s="31" t="s">
        <v>150</v>
      </c>
      <c r="B174" s="31" t="s">
        <v>47</v>
      </c>
      <c r="C174" s="31" t="s">
        <v>159</v>
      </c>
      <c r="D174" s="31" t="s">
        <v>107</v>
      </c>
      <c r="E174" s="31" t="s">
        <v>68</v>
      </c>
      <c r="F174" s="31" t="s">
        <v>11</v>
      </c>
      <c r="G174" s="31">
        <v>330</v>
      </c>
      <c r="H174" s="31">
        <v>1</v>
      </c>
      <c r="I174" s="31">
        <v>136.440151515</v>
      </c>
      <c r="J174" s="31">
        <v>45025.25</v>
      </c>
      <c r="K174" s="31">
        <v>179.68</v>
      </c>
      <c r="L174" s="31">
        <v>59294.400000000001</v>
      </c>
      <c r="M174" s="31">
        <v>14269.15</v>
      </c>
    </row>
    <row r="175" spans="1:13" x14ac:dyDescent="0.15">
      <c r="A175" s="31" t="s">
        <v>150</v>
      </c>
      <c r="B175" s="31" t="s">
        <v>47</v>
      </c>
      <c r="C175" s="31" t="s">
        <v>159</v>
      </c>
      <c r="D175" s="31" t="s">
        <v>107</v>
      </c>
      <c r="E175" s="31" t="s">
        <v>68</v>
      </c>
      <c r="F175" s="31" t="s">
        <v>21</v>
      </c>
      <c r="G175" s="31">
        <v>220</v>
      </c>
      <c r="H175" s="31">
        <v>1</v>
      </c>
      <c r="I175" s="31">
        <v>129.38409090900001</v>
      </c>
      <c r="J175" s="31">
        <v>28464.5</v>
      </c>
      <c r="K175" s="31">
        <v>160.88</v>
      </c>
      <c r="L175" s="31">
        <v>35393.599999999999</v>
      </c>
      <c r="M175" s="31">
        <v>6929.1</v>
      </c>
    </row>
    <row r="176" spans="1:13" x14ac:dyDescent="0.15">
      <c r="A176" s="31" t="s">
        <v>150</v>
      </c>
      <c r="B176" s="31" t="s">
        <v>47</v>
      </c>
      <c r="C176" s="31" t="s">
        <v>159</v>
      </c>
      <c r="D176" s="31" t="s">
        <v>107</v>
      </c>
      <c r="E176" s="31" t="s">
        <v>68</v>
      </c>
      <c r="F176" s="31" t="s">
        <v>15</v>
      </c>
      <c r="G176" s="31">
        <v>30</v>
      </c>
      <c r="H176" s="31">
        <v>1</v>
      </c>
      <c r="I176" s="31">
        <v>634.35</v>
      </c>
      <c r="J176" s="31">
        <v>19030.5</v>
      </c>
      <c r="K176" s="31">
        <v>1058.1199999999999</v>
      </c>
      <c r="L176" s="31">
        <v>31743.599999999999</v>
      </c>
      <c r="M176" s="31">
        <v>12713.1</v>
      </c>
    </row>
    <row r="177" spans="1:14" x14ac:dyDescent="0.15">
      <c r="A177" s="31" t="s">
        <v>150</v>
      </c>
      <c r="B177" s="31" t="s">
        <v>47</v>
      </c>
      <c r="C177" s="31" t="s">
        <v>159</v>
      </c>
      <c r="D177" s="31" t="s">
        <v>107</v>
      </c>
      <c r="E177" s="31" t="s">
        <v>68</v>
      </c>
      <c r="F177" s="31" t="s">
        <v>17</v>
      </c>
      <c r="G177" s="31">
        <v>3450</v>
      </c>
      <c r="H177" s="31">
        <v>1</v>
      </c>
      <c r="I177" s="31">
        <v>42.348382608999998</v>
      </c>
      <c r="J177" s="31">
        <v>146101.92000000001</v>
      </c>
      <c r="K177" s="31">
        <v>42.6</v>
      </c>
      <c r="L177" s="31">
        <v>146970</v>
      </c>
      <c r="M177" s="31">
        <v>868.08</v>
      </c>
    </row>
    <row r="178" spans="1:14" x14ac:dyDescent="0.15">
      <c r="A178" s="31" t="s">
        <v>150</v>
      </c>
      <c r="B178" s="31" t="s">
        <v>47</v>
      </c>
      <c r="C178" s="31" t="s">
        <v>159</v>
      </c>
      <c r="D178" s="31" t="s">
        <v>107</v>
      </c>
      <c r="E178" s="31" t="s">
        <v>68</v>
      </c>
      <c r="F178" s="31" t="s">
        <v>41</v>
      </c>
      <c r="G178" s="31">
        <v>400</v>
      </c>
      <c r="H178" s="31">
        <v>1</v>
      </c>
      <c r="I178" s="31">
        <v>118.72817499999999</v>
      </c>
      <c r="J178" s="31">
        <v>47491.27</v>
      </c>
      <c r="K178" s="31">
        <v>103.14</v>
      </c>
      <c r="L178" s="31">
        <v>41256</v>
      </c>
      <c r="M178" s="31">
        <v>-6235.27</v>
      </c>
    </row>
    <row r="179" spans="1:14" x14ac:dyDescent="0.15">
      <c r="A179" s="31" t="s">
        <v>150</v>
      </c>
      <c r="B179" s="31" t="s">
        <v>83</v>
      </c>
      <c r="D179" s="31" t="s">
        <v>107</v>
      </c>
      <c r="E179" s="31" t="s">
        <v>68</v>
      </c>
      <c r="J179" s="31">
        <v>1242440.906</v>
      </c>
      <c r="L179" s="31">
        <v>1273497.52</v>
      </c>
      <c r="M179" s="31">
        <v>31056.614000000001</v>
      </c>
    </row>
    <row r="180" spans="1:14" x14ac:dyDescent="0.15">
      <c r="A180" s="31" t="s">
        <v>150</v>
      </c>
      <c r="B180" s="31" t="s">
        <v>44</v>
      </c>
      <c r="C180" s="31" t="s">
        <v>151</v>
      </c>
      <c r="D180" s="31" t="s">
        <v>95</v>
      </c>
      <c r="E180" s="31" t="s">
        <v>135</v>
      </c>
      <c r="F180" s="31" t="s">
        <v>96</v>
      </c>
      <c r="G180" s="31" t="s">
        <v>152</v>
      </c>
      <c r="H180" s="31" t="s">
        <v>153</v>
      </c>
      <c r="I180" s="31" t="s">
        <v>154</v>
      </c>
      <c r="J180" s="31" t="s">
        <v>155</v>
      </c>
      <c r="K180" s="31" t="s">
        <v>156</v>
      </c>
      <c r="L180" s="31" t="s">
        <v>157</v>
      </c>
      <c r="M180" s="31" t="s">
        <v>158</v>
      </c>
      <c r="N180" s="31" t="s">
        <v>106</v>
      </c>
    </row>
    <row r="181" spans="1:14" x14ac:dyDescent="0.15">
      <c r="A181" s="31" t="s">
        <v>150</v>
      </c>
      <c r="B181" s="31" t="s">
        <v>47</v>
      </c>
      <c r="C181" s="31" t="s">
        <v>159</v>
      </c>
      <c r="D181" s="31" t="s">
        <v>108</v>
      </c>
      <c r="E181" s="31" t="s">
        <v>68</v>
      </c>
      <c r="F181" s="31" t="s">
        <v>109</v>
      </c>
      <c r="G181" s="31">
        <v>-3</v>
      </c>
      <c r="H181" s="31">
        <v>100</v>
      </c>
      <c r="I181" s="31">
        <v>0.933261707</v>
      </c>
      <c r="J181" s="31">
        <v>-279.97851200000002</v>
      </c>
      <c r="K181" s="31">
        <v>0.06</v>
      </c>
      <c r="L181" s="31">
        <v>-18</v>
      </c>
      <c r="M181" s="31">
        <v>261.97851200000002</v>
      </c>
    </row>
    <row r="182" spans="1:14" x14ac:dyDescent="0.15">
      <c r="A182" s="31" t="s">
        <v>150</v>
      </c>
      <c r="B182" s="31" t="s">
        <v>47</v>
      </c>
      <c r="C182" s="31" t="s">
        <v>159</v>
      </c>
      <c r="D182" s="31" t="s">
        <v>108</v>
      </c>
      <c r="E182" s="31" t="s">
        <v>68</v>
      </c>
      <c r="F182" s="31" t="s">
        <v>468</v>
      </c>
      <c r="G182" s="31">
        <v>-1</v>
      </c>
      <c r="H182" s="31">
        <v>100</v>
      </c>
      <c r="I182" s="31">
        <v>1.5195586999999999</v>
      </c>
      <c r="J182" s="31">
        <v>-151.95587</v>
      </c>
      <c r="K182" s="31">
        <v>1.675</v>
      </c>
      <c r="L182" s="31">
        <v>-167.5</v>
      </c>
      <c r="M182" s="31">
        <v>-15.544129999999999</v>
      </c>
    </row>
    <row r="183" spans="1:14" x14ac:dyDescent="0.15">
      <c r="A183" s="31" t="s">
        <v>150</v>
      </c>
      <c r="B183" s="31" t="s">
        <v>47</v>
      </c>
      <c r="C183" s="31" t="s">
        <v>159</v>
      </c>
      <c r="D183" s="31" t="s">
        <v>108</v>
      </c>
      <c r="E183" s="31" t="s">
        <v>68</v>
      </c>
      <c r="F183" s="31" t="s">
        <v>110</v>
      </c>
      <c r="G183" s="31">
        <v>-1</v>
      </c>
      <c r="H183" s="31">
        <v>100</v>
      </c>
      <c r="I183" s="31">
        <v>2.0939557899999999</v>
      </c>
      <c r="J183" s="31">
        <v>-209.395579</v>
      </c>
      <c r="K183" s="31">
        <v>6.1311</v>
      </c>
      <c r="L183" s="31">
        <v>-613.11</v>
      </c>
      <c r="M183" s="31">
        <v>-403.71442100000002</v>
      </c>
    </row>
    <row r="184" spans="1:14" x14ac:dyDescent="0.15">
      <c r="A184" s="31" t="s">
        <v>150</v>
      </c>
      <c r="B184" s="31" t="s">
        <v>47</v>
      </c>
      <c r="C184" s="31" t="s">
        <v>159</v>
      </c>
      <c r="D184" s="31" t="s">
        <v>108</v>
      </c>
      <c r="E184" s="31" t="s">
        <v>68</v>
      </c>
      <c r="F184" s="31" t="s">
        <v>469</v>
      </c>
      <c r="G184" s="31">
        <v>-3</v>
      </c>
      <c r="H184" s="31">
        <v>100</v>
      </c>
      <c r="I184" s="31">
        <v>9.3165990000000004E-2</v>
      </c>
      <c r="J184" s="31">
        <v>-27.949797</v>
      </c>
      <c r="K184" s="31">
        <v>9.5000000000000001E-2</v>
      </c>
      <c r="L184" s="31">
        <v>-28.5</v>
      </c>
      <c r="M184" s="31">
        <v>-0.550203</v>
      </c>
    </row>
    <row r="185" spans="1:14" x14ac:dyDescent="0.15">
      <c r="A185" s="31" t="s">
        <v>150</v>
      </c>
      <c r="B185" s="31" t="s">
        <v>47</v>
      </c>
      <c r="C185" s="31" t="s">
        <v>159</v>
      </c>
      <c r="D185" s="31" t="s">
        <v>108</v>
      </c>
      <c r="E185" s="31" t="s">
        <v>68</v>
      </c>
      <c r="F185" s="31" t="s">
        <v>470</v>
      </c>
      <c r="G185" s="31">
        <v>-1</v>
      </c>
      <c r="H185" s="31">
        <v>100</v>
      </c>
      <c r="I185" s="31">
        <v>1.6095582399999999</v>
      </c>
      <c r="J185" s="31">
        <v>-160.95582400000001</v>
      </c>
      <c r="K185" s="31">
        <v>2.0371000000000001</v>
      </c>
      <c r="L185" s="31">
        <v>-203.71</v>
      </c>
      <c r="M185" s="31">
        <v>-42.754176000000001</v>
      </c>
    </row>
    <row r="186" spans="1:14" x14ac:dyDescent="0.15">
      <c r="A186" s="31" t="s">
        <v>150</v>
      </c>
      <c r="B186" s="31" t="s">
        <v>47</v>
      </c>
      <c r="C186" s="31" t="s">
        <v>159</v>
      </c>
      <c r="D186" s="31" t="s">
        <v>108</v>
      </c>
      <c r="E186" s="31" t="s">
        <v>68</v>
      </c>
      <c r="F186" s="31" t="s">
        <v>113</v>
      </c>
      <c r="G186" s="31">
        <v>-2</v>
      </c>
      <c r="H186" s="31">
        <v>100</v>
      </c>
      <c r="I186" s="31">
        <v>0.40316440999999997</v>
      </c>
      <c r="J186" s="31">
        <v>-80.632881999999995</v>
      </c>
      <c r="K186" s="31">
        <v>0.34499999999999997</v>
      </c>
      <c r="L186" s="31">
        <v>-69</v>
      </c>
      <c r="M186" s="31">
        <v>11.632882</v>
      </c>
    </row>
    <row r="187" spans="1:14" x14ac:dyDescent="0.15">
      <c r="A187" s="31" t="s">
        <v>150</v>
      </c>
      <c r="B187" s="31" t="s">
        <v>47</v>
      </c>
      <c r="C187" s="31" t="s">
        <v>159</v>
      </c>
      <c r="D187" s="31" t="s">
        <v>108</v>
      </c>
      <c r="E187" s="31" t="s">
        <v>68</v>
      </c>
      <c r="F187" s="31" t="s">
        <v>114</v>
      </c>
      <c r="G187" s="31">
        <v>-1</v>
      </c>
      <c r="H187" s="31">
        <v>100</v>
      </c>
      <c r="I187" s="31">
        <v>0.17966552999999999</v>
      </c>
      <c r="J187" s="31">
        <v>-17.966553000000001</v>
      </c>
      <c r="K187" s="31">
        <v>7.0000000000000007E-2</v>
      </c>
      <c r="L187" s="31">
        <v>-7</v>
      </c>
      <c r="M187" s="31">
        <v>10.966552999999999</v>
      </c>
    </row>
    <row r="188" spans="1:14" x14ac:dyDescent="0.15">
      <c r="A188" s="31" t="s">
        <v>150</v>
      </c>
      <c r="B188" s="31" t="s">
        <v>47</v>
      </c>
      <c r="C188" s="31" t="s">
        <v>159</v>
      </c>
      <c r="D188" s="31" t="s">
        <v>108</v>
      </c>
      <c r="E188" s="31" t="s">
        <v>68</v>
      </c>
      <c r="F188" s="31" t="s">
        <v>115</v>
      </c>
      <c r="G188" s="31">
        <v>-5</v>
      </c>
      <c r="H188" s="31">
        <v>100</v>
      </c>
      <c r="I188" s="31">
        <v>0.49726395000000001</v>
      </c>
      <c r="J188" s="31">
        <v>-248.63197500000001</v>
      </c>
      <c r="K188" s="31">
        <v>0.83</v>
      </c>
      <c r="L188" s="31">
        <v>-415</v>
      </c>
      <c r="M188" s="31">
        <v>-166.36802499999999</v>
      </c>
    </row>
    <row r="189" spans="1:14" x14ac:dyDescent="0.15">
      <c r="A189" s="31" t="s">
        <v>150</v>
      </c>
      <c r="B189" s="31" t="s">
        <v>47</v>
      </c>
      <c r="C189" s="31" t="s">
        <v>159</v>
      </c>
      <c r="D189" s="31" t="s">
        <v>108</v>
      </c>
      <c r="E189" s="31" t="s">
        <v>68</v>
      </c>
      <c r="F189" s="31" t="s">
        <v>471</v>
      </c>
      <c r="G189" s="31">
        <v>-1</v>
      </c>
      <c r="H189" s="31">
        <v>100</v>
      </c>
      <c r="I189" s="31">
        <v>2.2425550300000001</v>
      </c>
      <c r="J189" s="31">
        <v>-224.255503</v>
      </c>
      <c r="K189" s="31">
        <v>2.6850000000000001</v>
      </c>
      <c r="L189" s="31">
        <v>-268.5</v>
      </c>
      <c r="M189" s="31">
        <v>-44.244497000000003</v>
      </c>
    </row>
    <row r="190" spans="1:14" x14ac:dyDescent="0.15">
      <c r="A190" s="31" t="s">
        <v>150</v>
      </c>
      <c r="B190" s="31" t="s">
        <v>47</v>
      </c>
      <c r="C190" s="31" t="s">
        <v>159</v>
      </c>
      <c r="D190" s="31" t="s">
        <v>108</v>
      </c>
      <c r="E190" s="31" t="s">
        <v>68</v>
      </c>
      <c r="F190" s="31" t="s">
        <v>472</v>
      </c>
      <c r="G190" s="31">
        <v>-2</v>
      </c>
      <c r="H190" s="31">
        <v>100</v>
      </c>
      <c r="I190" s="31">
        <v>1.1560605850000001</v>
      </c>
      <c r="J190" s="31">
        <v>-231.21211700000001</v>
      </c>
      <c r="K190" s="31">
        <v>0.63</v>
      </c>
      <c r="L190" s="31">
        <v>-126</v>
      </c>
      <c r="M190" s="31">
        <v>105.21211700000001</v>
      </c>
    </row>
    <row r="191" spans="1:14" x14ac:dyDescent="0.15">
      <c r="A191" s="31" t="s">
        <v>150</v>
      </c>
      <c r="B191" s="31" t="s">
        <v>47</v>
      </c>
      <c r="C191" s="31" t="s">
        <v>159</v>
      </c>
      <c r="D191" s="31" t="s">
        <v>108</v>
      </c>
      <c r="E191" s="31" t="s">
        <v>68</v>
      </c>
      <c r="F191" s="31" t="s">
        <v>473</v>
      </c>
      <c r="G191" s="31">
        <v>-2</v>
      </c>
      <c r="H191" s="31">
        <v>100</v>
      </c>
      <c r="I191" s="31">
        <v>0.62306328499999997</v>
      </c>
      <c r="J191" s="31">
        <v>-124.612657</v>
      </c>
      <c r="K191" s="31">
        <v>0.6</v>
      </c>
      <c r="L191" s="31">
        <v>-120</v>
      </c>
      <c r="M191" s="31">
        <v>4.6126569999999996</v>
      </c>
    </row>
    <row r="192" spans="1:14" x14ac:dyDescent="0.15">
      <c r="A192" s="31" t="s">
        <v>150</v>
      </c>
      <c r="B192" s="31" t="s">
        <v>47</v>
      </c>
      <c r="C192" s="31" t="s">
        <v>159</v>
      </c>
      <c r="D192" s="31" t="s">
        <v>108</v>
      </c>
      <c r="E192" s="31" t="s">
        <v>68</v>
      </c>
      <c r="F192" s="31" t="s">
        <v>116</v>
      </c>
      <c r="G192" s="31">
        <v>-5</v>
      </c>
      <c r="H192" s="31">
        <v>100</v>
      </c>
      <c r="I192" s="31">
        <v>0.129354674</v>
      </c>
      <c r="J192" s="31">
        <v>-64.677336999999994</v>
      </c>
      <c r="K192" s="31">
        <v>1.3299999999999999E-2</v>
      </c>
      <c r="L192" s="31">
        <v>-6.65</v>
      </c>
      <c r="M192" s="31">
        <v>58.027337000000003</v>
      </c>
    </row>
    <row r="193" spans="1:13" x14ac:dyDescent="0.15">
      <c r="A193" s="31" t="s">
        <v>150</v>
      </c>
      <c r="B193" s="31" t="s">
        <v>47</v>
      </c>
      <c r="C193" s="31" t="s">
        <v>159</v>
      </c>
      <c r="D193" s="31" t="s">
        <v>108</v>
      </c>
      <c r="E193" s="31" t="s">
        <v>68</v>
      </c>
      <c r="F193" s="31" t="s">
        <v>474</v>
      </c>
      <c r="G193" s="31">
        <v>-2</v>
      </c>
      <c r="H193" s="31">
        <v>100</v>
      </c>
      <c r="I193" s="31">
        <v>0.77726251999999996</v>
      </c>
      <c r="J193" s="31">
        <v>-155.452504</v>
      </c>
      <c r="K193" s="31">
        <v>0.69</v>
      </c>
      <c r="L193" s="31">
        <v>-138</v>
      </c>
      <c r="M193" s="31">
        <v>17.452504000000001</v>
      </c>
    </row>
    <row r="194" spans="1:13" x14ac:dyDescent="0.15">
      <c r="A194" s="31" t="s">
        <v>150</v>
      </c>
      <c r="B194" s="31" t="s">
        <v>83</v>
      </c>
      <c r="D194" s="31" t="s">
        <v>108</v>
      </c>
      <c r="E194" s="31" t="s">
        <v>68</v>
      </c>
      <c r="J194" s="31">
        <v>-1977.6771100000001</v>
      </c>
      <c r="L194" s="31">
        <v>-2180.9699999999998</v>
      </c>
      <c r="M194" s="31">
        <v>-203.29289</v>
      </c>
    </row>
    <row r="195" spans="1:13" x14ac:dyDescent="0.15">
      <c r="A195" s="31" t="s">
        <v>160</v>
      </c>
      <c r="B195" s="31" t="s">
        <v>44</v>
      </c>
      <c r="C195" s="31" t="s">
        <v>95</v>
      </c>
      <c r="D195" s="31" t="s">
        <v>135</v>
      </c>
      <c r="E195" s="31" t="s">
        <v>96</v>
      </c>
      <c r="F195" s="31" t="s">
        <v>161</v>
      </c>
      <c r="G195" s="31" t="s">
        <v>162</v>
      </c>
      <c r="H195" s="31" t="s">
        <v>163</v>
      </c>
      <c r="I195" s="31" t="s">
        <v>164</v>
      </c>
      <c r="J195" s="31" t="s">
        <v>165</v>
      </c>
    </row>
    <row r="196" spans="1:13" x14ac:dyDescent="0.15">
      <c r="A196" s="31" t="s">
        <v>160</v>
      </c>
      <c r="B196" s="31" t="s">
        <v>47</v>
      </c>
      <c r="C196" s="31" t="s">
        <v>107</v>
      </c>
      <c r="D196" s="31" t="s">
        <v>68</v>
      </c>
      <c r="E196" s="31" t="s">
        <v>1</v>
      </c>
      <c r="F196" s="31" t="s">
        <v>166</v>
      </c>
      <c r="G196" s="31">
        <v>370</v>
      </c>
      <c r="H196" s="31">
        <v>0</v>
      </c>
      <c r="I196" s="31">
        <v>0</v>
      </c>
      <c r="J196" s="31">
        <v>370</v>
      </c>
    </row>
    <row r="197" spans="1:13" x14ac:dyDescent="0.15">
      <c r="A197" s="31" t="s">
        <v>160</v>
      </c>
      <c r="B197" s="31" t="s">
        <v>47</v>
      </c>
      <c r="C197" s="31" t="s">
        <v>107</v>
      </c>
      <c r="D197" s="31" t="s">
        <v>68</v>
      </c>
      <c r="E197" s="31" t="s">
        <v>12</v>
      </c>
      <c r="F197" s="31" t="s">
        <v>167</v>
      </c>
      <c r="G197" s="31">
        <v>710</v>
      </c>
      <c r="H197" s="31">
        <v>0</v>
      </c>
      <c r="I197" s="31">
        <v>0</v>
      </c>
      <c r="J197" s="31">
        <v>710</v>
      </c>
    </row>
    <row r="198" spans="1:13" x14ac:dyDescent="0.15">
      <c r="A198" s="31" t="s">
        <v>160</v>
      </c>
      <c r="B198" s="31" t="s">
        <v>47</v>
      </c>
      <c r="C198" s="31" t="s">
        <v>107</v>
      </c>
      <c r="D198" s="31" t="s">
        <v>68</v>
      </c>
      <c r="E198" s="31" t="s">
        <v>2</v>
      </c>
      <c r="F198" s="31" t="s">
        <v>168</v>
      </c>
      <c r="G198" s="31">
        <v>35</v>
      </c>
      <c r="H198" s="31">
        <v>0</v>
      </c>
      <c r="I198" s="31">
        <v>0</v>
      </c>
      <c r="J198" s="31">
        <v>35</v>
      </c>
    </row>
    <row r="199" spans="1:13" x14ac:dyDescent="0.15">
      <c r="A199" s="31" t="s">
        <v>160</v>
      </c>
      <c r="B199" s="31" t="s">
        <v>47</v>
      </c>
      <c r="C199" s="31" t="s">
        <v>107</v>
      </c>
      <c r="D199" s="31" t="s">
        <v>68</v>
      </c>
      <c r="E199" s="31" t="s">
        <v>42</v>
      </c>
      <c r="F199" s="31" t="s">
        <v>169</v>
      </c>
      <c r="G199" s="31">
        <v>100</v>
      </c>
      <c r="H199" s="31">
        <v>0</v>
      </c>
      <c r="I199" s="31">
        <v>-95</v>
      </c>
      <c r="J199" s="31">
        <v>5</v>
      </c>
    </row>
    <row r="200" spans="1:13" x14ac:dyDescent="0.15">
      <c r="A200" s="31" t="s">
        <v>160</v>
      </c>
      <c r="B200" s="31" t="s">
        <v>47</v>
      </c>
      <c r="C200" s="31" t="s">
        <v>107</v>
      </c>
      <c r="D200" s="31" t="s">
        <v>68</v>
      </c>
      <c r="E200" s="31" t="s">
        <v>10</v>
      </c>
      <c r="F200" s="31" t="s">
        <v>170</v>
      </c>
      <c r="G200" s="31">
        <v>220</v>
      </c>
      <c r="H200" s="31">
        <v>0</v>
      </c>
      <c r="I200" s="31">
        <v>0</v>
      </c>
      <c r="J200" s="31">
        <v>220</v>
      </c>
    </row>
    <row r="201" spans="1:13" x14ac:dyDescent="0.15">
      <c r="A201" s="31" t="s">
        <v>160</v>
      </c>
      <c r="B201" s="31" t="s">
        <v>47</v>
      </c>
      <c r="C201" s="31" t="s">
        <v>107</v>
      </c>
      <c r="D201" s="31" t="s">
        <v>68</v>
      </c>
      <c r="E201" s="31" t="s">
        <v>19</v>
      </c>
      <c r="F201" s="31" t="s">
        <v>171</v>
      </c>
      <c r="G201" s="31">
        <v>1060</v>
      </c>
      <c r="H201" s="31">
        <v>0</v>
      </c>
      <c r="I201" s="31">
        <v>0</v>
      </c>
      <c r="J201" s="31">
        <v>1060</v>
      </c>
    </row>
    <row r="202" spans="1:13" x14ac:dyDescent="0.15">
      <c r="A202" s="31" t="s">
        <v>160</v>
      </c>
      <c r="B202" s="31" t="s">
        <v>47</v>
      </c>
      <c r="C202" s="31" t="s">
        <v>107</v>
      </c>
      <c r="D202" s="31" t="s">
        <v>68</v>
      </c>
      <c r="E202" s="31" t="s">
        <v>16</v>
      </c>
      <c r="F202" s="31" t="s">
        <v>172</v>
      </c>
      <c r="G202" s="31">
        <v>300</v>
      </c>
      <c r="H202" s="31">
        <v>0</v>
      </c>
      <c r="I202" s="31">
        <v>0</v>
      </c>
      <c r="J202" s="31">
        <v>300</v>
      </c>
    </row>
    <row r="203" spans="1:13" x14ac:dyDescent="0.15">
      <c r="A203" s="31" t="s">
        <v>160</v>
      </c>
      <c r="B203" s="31" t="s">
        <v>47</v>
      </c>
      <c r="C203" s="31" t="s">
        <v>107</v>
      </c>
      <c r="D203" s="31" t="s">
        <v>68</v>
      </c>
      <c r="E203" s="31" t="s">
        <v>18</v>
      </c>
      <c r="F203" s="31" t="s">
        <v>173</v>
      </c>
      <c r="G203" s="31">
        <v>1050</v>
      </c>
      <c r="H203" s="31">
        <v>0</v>
      </c>
      <c r="I203" s="31">
        <v>0</v>
      </c>
      <c r="J203" s="31">
        <v>1050</v>
      </c>
    </row>
    <row r="204" spans="1:13" x14ac:dyDescent="0.15">
      <c r="A204" s="31" t="s">
        <v>160</v>
      </c>
      <c r="B204" s="31" t="s">
        <v>47</v>
      </c>
      <c r="C204" s="31" t="s">
        <v>107</v>
      </c>
      <c r="D204" s="31" t="s">
        <v>68</v>
      </c>
      <c r="E204" s="31" t="s">
        <v>24</v>
      </c>
      <c r="F204" s="31" t="s">
        <v>174</v>
      </c>
      <c r="G204" s="31">
        <v>1400</v>
      </c>
      <c r="H204" s="31">
        <v>0</v>
      </c>
      <c r="I204" s="31">
        <v>0</v>
      </c>
      <c r="J204" s="31">
        <v>1400</v>
      </c>
    </row>
    <row r="205" spans="1:13" x14ac:dyDescent="0.15">
      <c r="A205" s="31" t="s">
        <v>160</v>
      </c>
      <c r="B205" s="31" t="s">
        <v>47</v>
      </c>
      <c r="C205" s="31" t="s">
        <v>107</v>
      </c>
      <c r="D205" s="31" t="s">
        <v>68</v>
      </c>
      <c r="E205" s="31" t="s">
        <v>14</v>
      </c>
      <c r="F205" s="31" t="s">
        <v>175</v>
      </c>
      <c r="G205" s="31">
        <v>360</v>
      </c>
      <c r="H205" s="31">
        <v>0</v>
      </c>
      <c r="I205" s="31">
        <v>0</v>
      </c>
      <c r="J205" s="31">
        <v>360</v>
      </c>
    </row>
    <row r="206" spans="1:13" x14ac:dyDescent="0.15">
      <c r="A206" s="31" t="s">
        <v>160</v>
      </c>
      <c r="B206" s="31" t="s">
        <v>47</v>
      </c>
      <c r="C206" s="31" t="s">
        <v>107</v>
      </c>
      <c r="D206" s="31" t="s">
        <v>68</v>
      </c>
      <c r="E206" s="31" t="s">
        <v>5</v>
      </c>
      <c r="F206" s="31" t="s">
        <v>176</v>
      </c>
      <c r="G206" s="31">
        <v>95</v>
      </c>
      <c r="H206" s="31">
        <v>0</v>
      </c>
      <c r="I206" s="31">
        <v>0</v>
      </c>
      <c r="J206" s="31">
        <v>95</v>
      </c>
    </row>
    <row r="207" spans="1:13" x14ac:dyDescent="0.15">
      <c r="A207" s="31" t="s">
        <v>160</v>
      </c>
      <c r="B207" s="31" t="s">
        <v>47</v>
      </c>
      <c r="C207" s="31" t="s">
        <v>107</v>
      </c>
      <c r="D207" s="31" t="s">
        <v>68</v>
      </c>
      <c r="E207" s="31" t="s">
        <v>7</v>
      </c>
      <c r="F207" s="31" t="s">
        <v>177</v>
      </c>
      <c r="G207" s="31">
        <v>24</v>
      </c>
      <c r="H207" s="31">
        <v>0</v>
      </c>
      <c r="I207" s="31">
        <v>0</v>
      </c>
      <c r="J207" s="31">
        <v>24</v>
      </c>
    </row>
    <row r="208" spans="1:13" x14ac:dyDescent="0.15">
      <c r="A208" s="31" t="s">
        <v>160</v>
      </c>
      <c r="B208" s="31" t="s">
        <v>47</v>
      </c>
      <c r="C208" s="31" t="s">
        <v>107</v>
      </c>
      <c r="D208" s="31" t="s">
        <v>68</v>
      </c>
      <c r="E208" s="31" t="s">
        <v>22</v>
      </c>
      <c r="F208" s="31" t="s">
        <v>178</v>
      </c>
      <c r="G208" s="31">
        <v>800</v>
      </c>
      <c r="H208" s="31">
        <v>0</v>
      </c>
      <c r="I208" s="31">
        <v>0</v>
      </c>
      <c r="J208" s="31">
        <v>800</v>
      </c>
    </row>
    <row r="209" spans="1:10" x14ac:dyDescent="0.15">
      <c r="A209" s="31" t="s">
        <v>160</v>
      </c>
      <c r="B209" s="31" t="s">
        <v>47</v>
      </c>
      <c r="C209" s="31" t="s">
        <v>107</v>
      </c>
      <c r="D209" s="31" t="s">
        <v>68</v>
      </c>
      <c r="E209" s="31" t="s">
        <v>6</v>
      </c>
      <c r="F209" s="31" t="s">
        <v>179</v>
      </c>
      <c r="G209" s="31">
        <v>250</v>
      </c>
      <c r="H209" s="31">
        <v>0</v>
      </c>
      <c r="I209" s="31">
        <v>0</v>
      </c>
      <c r="J209" s="31">
        <v>250</v>
      </c>
    </row>
    <row r="210" spans="1:10" x14ac:dyDescent="0.15">
      <c r="A210" s="31" t="s">
        <v>160</v>
      </c>
      <c r="B210" s="31" t="s">
        <v>47</v>
      </c>
      <c r="C210" s="31" t="s">
        <v>107</v>
      </c>
      <c r="D210" s="31" t="s">
        <v>68</v>
      </c>
      <c r="E210" s="31" t="s">
        <v>40</v>
      </c>
      <c r="F210" s="31" t="s">
        <v>180</v>
      </c>
      <c r="G210" s="31">
        <v>30</v>
      </c>
      <c r="H210" s="31">
        <v>0</v>
      </c>
      <c r="I210" s="31">
        <v>0</v>
      </c>
      <c r="J210" s="31">
        <v>30</v>
      </c>
    </row>
    <row r="211" spans="1:10" x14ac:dyDescent="0.15">
      <c r="A211" s="31" t="s">
        <v>160</v>
      </c>
      <c r="B211" s="31" t="s">
        <v>47</v>
      </c>
      <c r="C211" s="31" t="s">
        <v>107</v>
      </c>
      <c r="D211" s="31" t="s">
        <v>68</v>
      </c>
      <c r="E211" s="31" t="s">
        <v>8</v>
      </c>
      <c r="F211" s="31" t="s">
        <v>181</v>
      </c>
      <c r="G211" s="31">
        <v>50</v>
      </c>
      <c r="H211" s="31">
        <v>0</v>
      </c>
      <c r="I211" s="31">
        <v>0</v>
      </c>
      <c r="J211" s="31">
        <v>50</v>
      </c>
    </row>
    <row r="212" spans="1:10" x14ac:dyDescent="0.15">
      <c r="A212" s="31" t="s">
        <v>160</v>
      </c>
      <c r="B212" s="31" t="s">
        <v>47</v>
      </c>
      <c r="C212" s="31" t="s">
        <v>107</v>
      </c>
      <c r="D212" s="31" t="s">
        <v>68</v>
      </c>
      <c r="E212" s="31" t="s">
        <v>9</v>
      </c>
      <c r="F212" s="31" t="s">
        <v>182</v>
      </c>
      <c r="G212" s="31">
        <v>130</v>
      </c>
      <c r="H212" s="31">
        <v>0</v>
      </c>
      <c r="I212" s="31">
        <v>0</v>
      </c>
      <c r="J212" s="31">
        <v>130</v>
      </c>
    </row>
    <row r="213" spans="1:10" x14ac:dyDescent="0.15">
      <c r="A213" s="31" t="s">
        <v>160</v>
      </c>
      <c r="B213" s="31" t="s">
        <v>47</v>
      </c>
      <c r="C213" s="31" t="s">
        <v>107</v>
      </c>
      <c r="D213" s="31" t="s">
        <v>68</v>
      </c>
      <c r="E213" s="31" t="s">
        <v>25</v>
      </c>
      <c r="F213" s="31" t="s">
        <v>183</v>
      </c>
      <c r="G213" s="31">
        <v>300</v>
      </c>
      <c r="H213" s="31">
        <v>0</v>
      </c>
      <c r="I213" s="31">
        <v>0</v>
      </c>
      <c r="J213" s="31">
        <v>300</v>
      </c>
    </row>
    <row r="214" spans="1:10" x14ac:dyDescent="0.15">
      <c r="A214" s="31" t="s">
        <v>160</v>
      </c>
      <c r="B214" s="31" t="s">
        <v>47</v>
      </c>
      <c r="C214" s="31" t="s">
        <v>107</v>
      </c>
      <c r="D214" s="31" t="s">
        <v>68</v>
      </c>
      <c r="E214" s="31" t="s">
        <v>4</v>
      </c>
      <c r="F214" s="31" t="s">
        <v>184</v>
      </c>
      <c r="G214" s="31">
        <v>120</v>
      </c>
      <c r="H214" s="31">
        <v>0</v>
      </c>
      <c r="I214" s="31">
        <v>0</v>
      </c>
      <c r="J214" s="31">
        <v>120</v>
      </c>
    </row>
    <row r="215" spans="1:10" x14ac:dyDescent="0.15">
      <c r="A215" s="31" t="s">
        <v>160</v>
      </c>
      <c r="B215" s="31" t="s">
        <v>47</v>
      </c>
      <c r="C215" s="31" t="s">
        <v>107</v>
      </c>
      <c r="D215" s="31" t="s">
        <v>68</v>
      </c>
      <c r="E215" s="31" t="s">
        <v>3</v>
      </c>
      <c r="F215" s="31" t="s">
        <v>185</v>
      </c>
      <c r="G215" s="31">
        <v>45</v>
      </c>
      <c r="H215" s="31">
        <v>0</v>
      </c>
      <c r="I215" s="31">
        <v>0</v>
      </c>
      <c r="J215" s="31">
        <v>45</v>
      </c>
    </row>
    <row r="216" spans="1:10" x14ac:dyDescent="0.15">
      <c r="A216" s="31" t="s">
        <v>160</v>
      </c>
      <c r="B216" s="31" t="s">
        <v>47</v>
      </c>
      <c r="C216" s="31" t="s">
        <v>107</v>
      </c>
      <c r="D216" s="31" t="s">
        <v>68</v>
      </c>
      <c r="E216" s="31" t="s">
        <v>23</v>
      </c>
      <c r="F216" s="31" t="s">
        <v>186</v>
      </c>
      <c r="G216" s="31">
        <v>350</v>
      </c>
      <c r="H216" s="31">
        <v>0</v>
      </c>
      <c r="I216" s="31">
        <v>0</v>
      </c>
      <c r="J216" s="31">
        <v>350</v>
      </c>
    </row>
    <row r="217" spans="1:10" x14ac:dyDescent="0.15">
      <c r="A217" s="31" t="s">
        <v>160</v>
      </c>
      <c r="B217" s="31" t="s">
        <v>47</v>
      </c>
      <c r="C217" s="31" t="s">
        <v>107</v>
      </c>
      <c r="D217" s="31" t="s">
        <v>68</v>
      </c>
      <c r="E217" s="31" t="s">
        <v>13</v>
      </c>
      <c r="F217" s="31" t="s">
        <v>187</v>
      </c>
      <c r="G217" s="31">
        <v>4300</v>
      </c>
      <c r="H217" s="31">
        <v>0</v>
      </c>
      <c r="I217" s="31">
        <v>0</v>
      </c>
      <c r="J217" s="31">
        <v>4300</v>
      </c>
    </row>
    <row r="218" spans="1:10" x14ac:dyDescent="0.15">
      <c r="A218" s="31" t="s">
        <v>160</v>
      </c>
      <c r="B218" s="31" t="s">
        <v>47</v>
      </c>
      <c r="C218" s="31" t="s">
        <v>107</v>
      </c>
      <c r="D218" s="31" t="s">
        <v>68</v>
      </c>
      <c r="E218" s="31" t="s">
        <v>20</v>
      </c>
      <c r="F218" s="31" t="s">
        <v>188</v>
      </c>
      <c r="G218" s="31">
        <v>55</v>
      </c>
      <c r="H218" s="31">
        <v>0</v>
      </c>
      <c r="I218" s="31">
        <v>0</v>
      </c>
      <c r="J218" s="31">
        <v>55</v>
      </c>
    </row>
    <row r="219" spans="1:10" x14ac:dyDescent="0.15">
      <c r="A219" s="31" t="s">
        <v>160</v>
      </c>
      <c r="B219" s="31" t="s">
        <v>47</v>
      </c>
      <c r="C219" s="31" t="s">
        <v>107</v>
      </c>
      <c r="D219" s="31" t="s">
        <v>68</v>
      </c>
      <c r="E219" s="31" t="s">
        <v>39</v>
      </c>
      <c r="F219" s="31" t="s">
        <v>189</v>
      </c>
      <c r="G219" s="31">
        <v>305</v>
      </c>
      <c r="H219" s="31">
        <v>0</v>
      </c>
      <c r="I219" s="31">
        <v>0</v>
      </c>
      <c r="J219" s="31">
        <v>305</v>
      </c>
    </row>
    <row r="220" spans="1:10" x14ac:dyDescent="0.15">
      <c r="A220" s="31" t="s">
        <v>160</v>
      </c>
      <c r="B220" s="31" t="s">
        <v>47</v>
      </c>
      <c r="C220" s="31" t="s">
        <v>107</v>
      </c>
      <c r="D220" s="31" t="s">
        <v>68</v>
      </c>
      <c r="E220" s="31" t="s">
        <v>11</v>
      </c>
      <c r="F220" s="31" t="s">
        <v>190</v>
      </c>
      <c r="G220" s="31">
        <v>330</v>
      </c>
      <c r="H220" s="31">
        <v>0</v>
      </c>
      <c r="I220" s="31">
        <v>0</v>
      </c>
      <c r="J220" s="31">
        <v>330</v>
      </c>
    </row>
    <row r="221" spans="1:10" x14ac:dyDescent="0.15">
      <c r="A221" s="31" t="s">
        <v>160</v>
      </c>
      <c r="B221" s="31" t="s">
        <v>47</v>
      </c>
      <c r="C221" s="31" t="s">
        <v>107</v>
      </c>
      <c r="D221" s="31" t="s">
        <v>68</v>
      </c>
      <c r="E221" s="31" t="s">
        <v>21</v>
      </c>
      <c r="F221" s="31" t="s">
        <v>191</v>
      </c>
      <c r="G221" s="31">
        <v>220</v>
      </c>
      <c r="H221" s="31">
        <v>0</v>
      </c>
      <c r="I221" s="31">
        <v>0</v>
      </c>
      <c r="J221" s="31">
        <v>220</v>
      </c>
    </row>
    <row r="222" spans="1:10" x14ac:dyDescent="0.15">
      <c r="A222" s="31" t="s">
        <v>160</v>
      </c>
      <c r="B222" s="31" t="s">
        <v>47</v>
      </c>
      <c r="C222" s="31" t="s">
        <v>107</v>
      </c>
      <c r="D222" s="31" t="s">
        <v>68</v>
      </c>
      <c r="E222" s="31" t="s">
        <v>15</v>
      </c>
      <c r="F222" s="31" t="s">
        <v>192</v>
      </c>
      <c r="G222" s="31">
        <v>30</v>
      </c>
      <c r="H222" s="31">
        <v>0</v>
      </c>
      <c r="I222" s="31">
        <v>0</v>
      </c>
      <c r="J222" s="31">
        <v>30</v>
      </c>
    </row>
    <row r="223" spans="1:10" x14ac:dyDescent="0.15">
      <c r="A223" s="31" t="s">
        <v>160</v>
      </c>
      <c r="B223" s="31" t="s">
        <v>47</v>
      </c>
      <c r="C223" s="31" t="s">
        <v>107</v>
      </c>
      <c r="D223" s="31" t="s">
        <v>68</v>
      </c>
      <c r="E223" s="31" t="s">
        <v>17</v>
      </c>
      <c r="F223" s="31" t="s">
        <v>193</v>
      </c>
      <c r="G223" s="31">
        <v>3450</v>
      </c>
      <c r="H223" s="31">
        <v>0</v>
      </c>
      <c r="I223" s="31">
        <v>0</v>
      </c>
      <c r="J223" s="31">
        <v>3450</v>
      </c>
    </row>
    <row r="224" spans="1:10" x14ac:dyDescent="0.15">
      <c r="A224" s="31" t="s">
        <v>160</v>
      </c>
      <c r="B224" s="31" t="s">
        <v>47</v>
      </c>
      <c r="C224" s="31" t="s">
        <v>107</v>
      </c>
      <c r="D224" s="31" t="s">
        <v>68</v>
      </c>
      <c r="E224" s="31" t="s">
        <v>41</v>
      </c>
      <c r="F224" s="31" t="s">
        <v>194</v>
      </c>
      <c r="G224" s="31">
        <v>400</v>
      </c>
      <c r="H224" s="31">
        <v>0</v>
      </c>
      <c r="I224" s="31">
        <v>-400</v>
      </c>
      <c r="J224" s="31">
        <v>0</v>
      </c>
    </row>
    <row r="225" spans="1:16" x14ac:dyDescent="0.15">
      <c r="A225" s="31" t="s">
        <v>195</v>
      </c>
      <c r="B225" s="31" t="s">
        <v>44</v>
      </c>
      <c r="C225" s="31" t="s">
        <v>151</v>
      </c>
      <c r="D225" s="31" t="s">
        <v>95</v>
      </c>
      <c r="E225" s="31" t="s">
        <v>135</v>
      </c>
      <c r="F225" s="31" t="s">
        <v>96</v>
      </c>
      <c r="G225" s="31" t="s">
        <v>196</v>
      </c>
      <c r="H225" s="31" t="s">
        <v>152</v>
      </c>
      <c r="I225" s="31" t="s">
        <v>197</v>
      </c>
      <c r="J225" s="31" t="s">
        <v>198</v>
      </c>
      <c r="K225" s="31" t="s">
        <v>199</v>
      </c>
      <c r="L225" s="31" t="s">
        <v>200</v>
      </c>
      <c r="M225" s="31" t="s">
        <v>201</v>
      </c>
      <c r="N225" s="31" t="s">
        <v>202</v>
      </c>
      <c r="O225" s="31" t="s">
        <v>203</v>
      </c>
      <c r="P225" s="31" t="s">
        <v>106</v>
      </c>
    </row>
    <row r="226" spans="1:16" x14ac:dyDescent="0.15">
      <c r="A226" s="31" t="s">
        <v>195</v>
      </c>
      <c r="B226" s="31" t="s">
        <v>47</v>
      </c>
      <c r="C226" s="31" t="s">
        <v>204</v>
      </c>
      <c r="D226" s="31" t="s">
        <v>107</v>
      </c>
      <c r="E226" s="31" t="s">
        <v>68</v>
      </c>
      <c r="F226" s="31" t="s">
        <v>12</v>
      </c>
      <c r="G226" s="31" t="s">
        <v>476</v>
      </c>
      <c r="H226" s="31">
        <v>50</v>
      </c>
      <c r="I226" s="31">
        <v>133.88499999999999</v>
      </c>
      <c r="J226" s="31">
        <v>136.22999999999999</v>
      </c>
      <c r="K226" s="31">
        <v>-6694.25</v>
      </c>
      <c r="L226" s="31">
        <v>-1</v>
      </c>
      <c r="M226" s="31">
        <v>6695.25</v>
      </c>
      <c r="N226" s="31">
        <v>0</v>
      </c>
      <c r="O226" s="31">
        <v>117.25</v>
      </c>
      <c r="P226" s="31" t="s">
        <v>206</v>
      </c>
    </row>
    <row r="227" spans="1:16" x14ac:dyDescent="0.15">
      <c r="A227" s="31" t="s">
        <v>195</v>
      </c>
      <c r="B227" s="31" t="s">
        <v>207</v>
      </c>
      <c r="D227" s="31" t="s">
        <v>107</v>
      </c>
      <c r="E227" s="31" t="s">
        <v>68</v>
      </c>
      <c r="F227" s="31" t="s">
        <v>12</v>
      </c>
      <c r="H227" s="31">
        <v>50</v>
      </c>
      <c r="K227" s="31">
        <v>-6694.25</v>
      </c>
      <c r="L227" s="31">
        <v>-1</v>
      </c>
      <c r="M227" s="31">
        <v>6695.25</v>
      </c>
      <c r="N227" s="31">
        <v>0</v>
      </c>
      <c r="O227" s="31">
        <v>117.25</v>
      </c>
    </row>
    <row r="228" spans="1:16" x14ac:dyDescent="0.15">
      <c r="A228" s="31" t="s">
        <v>195</v>
      </c>
      <c r="B228" s="31" t="s">
        <v>47</v>
      </c>
      <c r="C228" s="31" t="s">
        <v>204</v>
      </c>
      <c r="D228" s="31" t="s">
        <v>107</v>
      </c>
      <c r="E228" s="31" t="s">
        <v>68</v>
      </c>
      <c r="F228" s="31" t="s">
        <v>2</v>
      </c>
      <c r="G228" s="31" t="s">
        <v>205</v>
      </c>
      <c r="H228" s="31">
        <v>1</v>
      </c>
      <c r="I228" s="31">
        <v>3318.2</v>
      </c>
      <c r="J228" s="31">
        <v>3287.14</v>
      </c>
      <c r="K228" s="31">
        <v>-3318.2</v>
      </c>
      <c r="L228" s="31">
        <v>-1</v>
      </c>
      <c r="M228" s="31">
        <v>3319.2</v>
      </c>
      <c r="N228" s="31">
        <v>0</v>
      </c>
      <c r="O228" s="31">
        <v>-31.06</v>
      </c>
      <c r="P228" s="31" t="s">
        <v>206</v>
      </c>
    </row>
    <row r="229" spans="1:16" x14ac:dyDescent="0.15">
      <c r="A229" s="31" t="s">
        <v>195</v>
      </c>
      <c r="B229" s="31" t="s">
        <v>207</v>
      </c>
      <c r="D229" s="31" t="s">
        <v>107</v>
      </c>
      <c r="E229" s="31" t="s">
        <v>68</v>
      </c>
      <c r="F229" s="31" t="s">
        <v>2</v>
      </c>
      <c r="H229" s="31">
        <v>1</v>
      </c>
      <c r="K229" s="31">
        <v>-3318.2</v>
      </c>
      <c r="L229" s="31">
        <v>-1</v>
      </c>
      <c r="M229" s="31">
        <v>3319.2</v>
      </c>
      <c r="N229" s="31">
        <v>0</v>
      </c>
      <c r="O229" s="31">
        <v>-31.06</v>
      </c>
    </row>
    <row r="230" spans="1:16" x14ac:dyDescent="0.15">
      <c r="A230" s="31" t="s">
        <v>195</v>
      </c>
      <c r="B230" s="31" t="s">
        <v>47</v>
      </c>
      <c r="C230" s="31" t="s">
        <v>204</v>
      </c>
      <c r="D230" s="31" t="s">
        <v>107</v>
      </c>
      <c r="E230" s="31" t="s">
        <v>68</v>
      </c>
      <c r="F230" s="31" t="s">
        <v>16</v>
      </c>
      <c r="G230" s="31" t="s">
        <v>477</v>
      </c>
      <c r="H230" s="31">
        <v>35</v>
      </c>
      <c r="I230" s="31">
        <v>226.11</v>
      </c>
      <c r="J230" s="31">
        <v>234</v>
      </c>
      <c r="K230" s="31">
        <v>-7913.85</v>
      </c>
      <c r="L230" s="31">
        <v>-1</v>
      </c>
      <c r="M230" s="31">
        <v>7914.85</v>
      </c>
      <c r="N230" s="31">
        <v>0</v>
      </c>
      <c r="O230" s="31">
        <v>276.14999999999998</v>
      </c>
      <c r="P230" s="31" t="s">
        <v>206</v>
      </c>
    </row>
    <row r="231" spans="1:16" x14ac:dyDescent="0.15">
      <c r="A231" s="31" t="s">
        <v>195</v>
      </c>
      <c r="B231" s="31" t="s">
        <v>207</v>
      </c>
      <c r="D231" s="31" t="s">
        <v>107</v>
      </c>
      <c r="E231" s="31" t="s">
        <v>68</v>
      </c>
      <c r="F231" s="31" t="s">
        <v>16</v>
      </c>
      <c r="H231" s="31">
        <v>35</v>
      </c>
      <c r="K231" s="31">
        <v>-7913.85</v>
      </c>
      <c r="L231" s="31">
        <v>-1</v>
      </c>
      <c r="M231" s="31">
        <v>7914.85</v>
      </c>
      <c r="N231" s="31">
        <v>0</v>
      </c>
      <c r="O231" s="31">
        <v>276.14999999999998</v>
      </c>
    </row>
    <row r="232" spans="1:16" x14ac:dyDescent="0.15">
      <c r="A232" s="31" t="s">
        <v>195</v>
      </c>
      <c r="B232" s="31" t="s">
        <v>47</v>
      </c>
      <c r="C232" s="31" t="s">
        <v>204</v>
      </c>
      <c r="D232" s="31" t="s">
        <v>107</v>
      </c>
      <c r="E232" s="31" t="s">
        <v>68</v>
      </c>
      <c r="F232" s="31" t="s">
        <v>14</v>
      </c>
      <c r="G232" s="31" t="s">
        <v>478</v>
      </c>
      <c r="H232" s="31">
        <v>40</v>
      </c>
      <c r="I232" s="31">
        <v>154.35300000000001</v>
      </c>
      <c r="J232" s="31">
        <v>156.9</v>
      </c>
      <c r="K232" s="31">
        <v>-6174.12</v>
      </c>
      <c r="L232" s="31">
        <v>-1</v>
      </c>
      <c r="M232" s="31">
        <v>6175.12</v>
      </c>
      <c r="N232" s="31">
        <v>0</v>
      </c>
      <c r="O232" s="31">
        <v>101.88</v>
      </c>
      <c r="P232" s="31" t="s">
        <v>206</v>
      </c>
    </row>
    <row r="233" spans="1:16" x14ac:dyDescent="0.15">
      <c r="A233" s="31" t="s">
        <v>195</v>
      </c>
      <c r="B233" s="31" t="s">
        <v>47</v>
      </c>
      <c r="C233" s="31" t="s">
        <v>204</v>
      </c>
      <c r="D233" s="31" t="s">
        <v>107</v>
      </c>
      <c r="E233" s="31" t="s">
        <v>68</v>
      </c>
      <c r="F233" s="31" t="s">
        <v>14</v>
      </c>
      <c r="G233" s="31" t="s">
        <v>479</v>
      </c>
      <c r="H233" s="31">
        <v>30</v>
      </c>
      <c r="I233" s="31">
        <v>156.21</v>
      </c>
      <c r="J233" s="31">
        <v>156.6</v>
      </c>
      <c r="K233" s="31">
        <v>-4686.3</v>
      </c>
      <c r="L233" s="31">
        <v>-1</v>
      </c>
      <c r="M233" s="31">
        <v>4687.3</v>
      </c>
      <c r="N233" s="31">
        <v>0</v>
      </c>
      <c r="O233" s="31">
        <v>11.7</v>
      </c>
      <c r="P233" s="31" t="s">
        <v>206</v>
      </c>
    </row>
    <row r="234" spans="1:16" x14ac:dyDescent="0.15">
      <c r="A234" s="31" t="s">
        <v>195</v>
      </c>
      <c r="B234" s="31" t="s">
        <v>207</v>
      </c>
      <c r="D234" s="31" t="s">
        <v>107</v>
      </c>
      <c r="E234" s="31" t="s">
        <v>68</v>
      </c>
      <c r="F234" s="31" t="s">
        <v>14</v>
      </c>
      <c r="H234" s="31">
        <v>70</v>
      </c>
      <c r="K234" s="31">
        <v>-10860.42</v>
      </c>
      <c r="L234" s="31">
        <v>-2</v>
      </c>
      <c r="M234" s="31">
        <v>10862.42</v>
      </c>
      <c r="N234" s="31">
        <v>0</v>
      </c>
      <c r="O234" s="31">
        <v>113.58</v>
      </c>
    </row>
    <row r="235" spans="1:16" x14ac:dyDescent="0.15">
      <c r="A235" s="31" t="s">
        <v>195</v>
      </c>
      <c r="B235" s="31" t="s">
        <v>47</v>
      </c>
      <c r="C235" s="31" t="s">
        <v>204</v>
      </c>
      <c r="D235" s="31" t="s">
        <v>107</v>
      </c>
      <c r="E235" s="31" t="s">
        <v>68</v>
      </c>
      <c r="F235" s="31" t="s">
        <v>5</v>
      </c>
      <c r="G235" s="31" t="s">
        <v>208</v>
      </c>
      <c r="H235" s="31">
        <v>20</v>
      </c>
      <c r="I235" s="31">
        <v>329.1</v>
      </c>
      <c r="J235" s="31">
        <v>324.17</v>
      </c>
      <c r="K235" s="31">
        <v>-6582</v>
      </c>
      <c r="L235" s="31">
        <v>-1</v>
      </c>
      <c r="M235" s="31">
        <v>6583</v>
      </c>
      <c r="N235" s="31">
        <v>0</v>
      </c>
      <c r="O235" s="31">
        <v>-98.6</v>
      </c>
      <c r="P235" s="31" t="s">
        <v>206</v>
      </c>
    </row>
    <row r="236" spans="1:16" x14ac:dyDescent="0.15">
      <c r="A236" s="31" t="s">
        <v>195</v>
      </c>
      <c r="B236" s="31" t="s">
        <v>47</v>
      </c>
      <c r="C236" s="31" t="s">
        <v>204</v>
      </c>
      <c r="D236" s="31" t="s">
        <v>107</v>
      </c>
      <c r="E236" s="31" t="s">
        <v>68</v>
      </c>
      <c r="F236" s="31" t="s">
        <v>5</v>
      </c>
      <c r="G236" s="31" t="s">
        <v>480</v>
      </c>
      <c r="H236" s="31">
        <v>20</v>
      </c>
      <c r="I236" s="31">
        <v>322.43</v>
      </c>
      <c r="J236" s="31">
        <v>328.07</v>
      </c>
      <c r="K236" s="31">
        <v>-6448.6</v>
      </c>
      <c r="L236" s="31">
        <v>-1</v>
      </c>
      <c r="M236" s="31">
        <v>6449.6</v>
      </c>
      <c r="N236" s="31">
        <v>0</v>
      </c>
      <c r="O236" s="31">
        <v>112.8</v>
      </c>
      <c r="P236" s="31" t="s">
        <v>206</v>
      </c>
    </row>
    <row r="237" spans="1:16" x14ac:dyDescent="0.15">
      <c r="A237" s="31" t="s">
        <v>195</v>
      </c>
      <c r="B237" s="31" t="s">
        <v>207</v>
      </c>
      <c r="D237" s="31" t="s">
        <v>107</v>
      </c>
      <c r="E237" s="31" t="s">
        <v>68</v>
      </c>
      <c r="F237" s="31" t="s">
        <v>5</v>
      </c>
      <c r="H237" s="31">
        <v>40</v>
      </c>
      <c r="K237" s="31">
        <v>-13030.6</v>
      </c>
      <c r="L237" s="31">
        <v>-2</v>
      </c>
      <c r="M237" s="31">
        <v>13032.6</v>
      </c>
      <c r="N237" s="31">
        <v>0</v>
      </c>
      <c r="O237" s="31">
        <v>14.2</v>
      </c>
    </row>
    <row r="238" spans="1:16" x14ac:dyDescent="0.15">
      <c r="A238" s="31" t="s">
        <v>195</v>
      </c>
      <c r="B238" s="31" t="s">
        <v>47</v>
      </c>
      <c r="C238" s="31" t="s">
        <v>204</v>
      </c>
      <c r="D238" s="31" t="s">
        <v>107</v>
      </c>
      <c r="E238" s="31" t="s">
        <v>68</v>
      </c>
      <c r="F238" s="31" t="s">
        <v>7</v>
      </c>
      <c r="G238" s="31" t="s">
        <v>209</v>
      </c>
      <c r="H238" s="31">
        <v>2</v>
      </c>
      <c r="I238" s="31">
        <v>2805.52</v>
      </c>
      <c r="J238" s="31">
        <v>2753.07</v>
      </c>
      <c r="K238" s="31">
        <v>-5611.04</v>
      </c>
      <c r="L238" s="31">
        <v>-1</v>
      </c>
      <c r="M238" s="31">
        <v>5612.04</v>
      </c>
      <c r="N238" s="31">
        <v>0</v>
      </c>
      <c r="O238" s="31">
        <v>-104.9</v>
      </c>
      <c r="P238" s="31" t="s">
        <v>206</v>
      </c>
    </row>
    <row r="239" spans="1:16" x14ac:dyDescent="0.15">
      <c r="A239" s="31" t="s">
        <v>195</v>
      </c>
      <c r="B239" s="31" t="s">
        <v>47</v>
      </c>
      <c r="C239" s="31" t="s">
        <v>204</v>
      </c>
      <c r="D239" s="31" t="s">
        <v>107</v>
      </c>
      <c r="E239" s="31" t="s">
        <v>68</v>
      </c>
      <c r="F239" s="31" t="s">
        <v>7</v>
      </c>
      <c r="G239" s="31" t="s">
        <v>481</v>
      </c>
      <c r="H239" s="31">
        <v>2</v>
      </c>
      <c r="I239" s="31">
        <v>2682.27</v>
      </c>
      <c r="J239" s="31">
        <v>2771.48</v>
      </c>
      <c r="K239" s="31">
        <v>-5364.54</v>
      </c>
      <c r="L239" s="31">
        <v>-1</v>
      </c>
      <c r="M239" s="31">
        <v>5365.54</v>
      </c>
      <c r="N239" s="31">
        <v>0</v>
      </c>
      <c r="O239" s="31">
        <v>178.42</v>
      </c>
      <c r="P239" s="31" t="s">
        <v>206</v>
      </c>
    </row>
    <row r="240" spans="1:16" x14ac:dyDescent="0.15">
      <c r="A240" s="31" t="s">
        <v>195</v>
      </c>
      <c r="B240" s="31" t="s">
        <v>207</v>
      </c>
      <c r="D240" s="31" t="s">
        <v>107</v>
      </c>
      <c r="E240" s="31" t="s">
        <v>68</v>
      </c>
      <c r="F240" s="31" t="s">
        <v>7</v>
      </c>
      <c r="H240" s="31">
        <v>4</v>
      </c>
      <c r="K240" s="31">
        <v>-10975.58</v>
      </c>
      <c r="L240" s="31">
        <v>-2</v>
      </c>
      <c r="M240" s="31">
        <v>10977.58</v>
      </c>
      <c r="N240" s="31">
        <v>0</v>
      </c>
      <c r="O240" s="31">
        <v>73.52</v>
      </c>
    </row>
    <row r="241" spans="1:16" x14ac:dyDescent="0.15">
      <c r="A241" s="31" t="s">
        <v>195</v>
      </c>
      <c r="B241" s="31" t="s">
        <v>47</v>
      </c>
      <c r="C241" s="31" t="s">
        <v>204</v>
      </c>
      <c r="D241" s="31" t="s">
        <v>107</v>
      </c>
      <c r="E241" s="31" t="s">
        <v>68</v>
      </c>
      <c r="F241" s="31" t="s">
        <v>11</v>
      </c>
      <c r="G241" s="31" t="s">
        <v>482</v>
      </c>
      <c r="H241" s="31">
        <v>30</v>
      </c>
      <c r="I241" s="31">
        <v>175.59</v>
      </c>
      <c r="J241" s="31">
        <v>179.68</v>
      </c>
      <c r="K241" s="31">
        <v>-5267.7</v>
      </c>
      <c r="L241" s="31">
        <v>-1</v>
      </c>
      <c r="M241" s="31">
        <v>5268.7</v>
      </c>
      <c r="N241" s="31">
        <v>0</v>
      </c>
      <c r="O241" s="31">
        <v>122.7</v>
      </c>
      <c r="P241" s="31" t="s">
        <v>206</v>
      </c>
    </row>
    <row r="242" spans="1:16" x14ac:dyDescent="0.15">
      <c r="A242" s="31" t="s">
        <v>195</v>
      </c>
      <c r="B242" s="31" t="s">
        <v>207</v>
      </c>
      <c r="D242" s="31" t="s">
        <v>107</v>
      </c>
      <c r="E242" s="31" t="s">
        <v>68</v>
      </c>
      <c r="F242" s="31" t="s">
        <v>11</v>
      </c>
      <c r="H242" s="31">
        <v>30</v>
      </c>
      <c r="K242" s="31">
        <v>-5267.7</v>
      </c>
      <c r="L242" s="31">
        <v>-1</v>
      </c>
      <c r="M242" s="31">
        <v>5268.7</v>
      </c>
      <c r="N242" s="31">
        <v>0</v>
      </c>
      <c r="O242" s="31">
        <v>122.7</v>
      </c>
    </row>
    <row r="243" spans="1:16" x14ac:dyDescent="0.15">
      <c r="A243" s="31" t="s">
        <v>195</v>
      </c>
      <c r="B243" s="31" t="s">
        <v>47</v>
      </c>
      <c r="C243" s="31" t="s">
        <v>204</v>
      </c>
      <c r="D243" s="31" t="s">
        <v>107</v>
      </c>
      <c r="E243" s="31" t="s">
        <v>68</v>
      </c>
      <c r="F243" s="31" t="s">
        <v>41</v>
      </c>
      <c r="G243" s="31" t="s">
        <v>210</v>
      </c>
      <c r="H243" s="31">
        <v>50</v>
      </c>
      <c r="I243" s="31">
        <v>111.12</v>
      </c>
      <c r="J243" s="31">
        <v>111.36</v>
      </c>
      <c r="K243" s="31">
        <v>-5556</v>
      </c>
      <c r="L243" s="31">
        <v>-1</v>
      </c>
      <c r="M243" s="31">
        <v>5557</v>
      </c>
      <c r="N243" s="31">
        <v>0</v>
      </c>
      <c r="O243" s="31">
        <v>12</v>
      </c>
      <c r="P243" s="31" t="s">
        <v>206</v>
      </c>
    </row>
    <row r="244" spans="1:16" x14ac:dyDescent="0.15">
      <c r="A244" s="31" t="s">
        <v>195</v>
      </c>
      <c r="B244" s="31" t="s">
        <v>207</v>
      </c>
      <c r="D244" s="31" t="s">
        <v>107</v>
      </c>
      <c r="E244" s="31" t="s">
        <v>68</v>
      </c>
      <c r="F244" s="31" t="s">
        <v>41</v>
      </c>
      <c r="H244" s="31">
        <v>50</v>
      </c>
      <c r="K244" s="31">
        <v>-5556</v>
      </c>
      <c r="L244" s="31">
        <v>-1</v>
      </c>
      <c r="M244" s="31">
        <v>5557</v>
      </c>
      <c r="N244" s="31">
        <v>0</v>
      </c>
      <c r="O244" s="31">
        <v>12</v>
      </c>
    </row>
    <row r="245" spans="1:16" x14ac:dyDescent="0.15">
      <c r="A245" s="31" t="s">
        <v>195</v>
      </c>
      <c r="B245" s="31" t="s">
        <v>83</v>
      </c>
      <c r="D245" s="31" t="s">
        <v>107</v>
      </c>
      <c r="E245" s="31" t="s">
        <v>68</v>
      </c>
      <c r="K245" s="31">
        <v>-63616.6</v>
      </c>
      <c r="L245" s="31">
        <v>-11</v>
      </c>
      <c r="M245" s="31">
        <v>63627.6</v>
      </c>
      <c r="N245" s="31">
        <v>0</v>
      </c>
      <c r="O245" s="31">
        <v>698.34</v>
      </c>
      <c r="P245" s="31" t="s">
        <v>211</v>
      </c>
    </row>
    <row r="246" spans="1:16" x14ac:dyDescent="0.15">
      <c r="A246" s="31" t="s">
        <v>195</v>
      </c>
      <c r="B246" s="31" t="s">
        <v>44</v>
      </c>
      <c r="C246" s="31" t="s">
        <v>151</v>
      </c>
      <c r="D246" s="31" t="s">
        <v>95</v>
      </c>
      <c r="E246" s="31" t="s">
        <v>135</v>
      </c>
      <c r="F246" s="31" t="s">
        <v>96</v>
      </c>
      <c r="G246" s="31" t="s">
        <v>196</v>
      </c>
      <c r="H246" s="31" t="s">
        <v>152</v>
      </c>
      <c r="I246" s="31" t="s">
        <v>197</v>
      </c>
      <c r="J246" s="31" t="s">
        <v>198</v>
      </c>
      <c r="K246" s="31" t="s">
        <v>199</v>
      </c>
      <c r="L246" s="31" t="s">
        <v>200</v>
      </c>
      <c r="M246" s="31" t="s">
        <v>201</v>
      </c>
      <c r="N246" s="31" t="s">
        <v>202</v>
      </c>
      <c r="O246" s="31" t="s">
        <v>203</v>
      </c>
      <c r="P246" s="31" t="s">
        <v>106</v>
      </c>
    </row>
    <row r="247" spans="1:16" x14ac:dyDescent="0.15">
      <c r="A247" s="31" t="s">
        <v>195</v>
      </c>
      <c r="B247" s="31" t="s">
        <v>47</v>
      </c>
      <c r="C247" s="31" t="s">
        <v>204</v>
      </c>
      <c r="D247" s="31" t="s">
        <v>108</v>
      </c>
      <c r="E247" s="31" t="s">
        <v>68</v>
      </c>
      <c r="F247" s="31" t="s">
        <v>468</v>
      </c>
      <c r="G247" s="31" t="s">
        <v>483</v>
      </c>
      <c r="H247" s="31">
        <v>-1</v>
      </c>
      <c r="I247" s="31">
        <v>1.53</v>
      </c>
      <c r="J247" s="31">
        <v>1.645</v>
      </c>
      <c r="K247" s="31">
        <v>153</v>
      </c>
      <c r="L247" s="31">
        <v>-1.0441303</v>
      </c>
      <c r="M247" s="31">
        <v>-151.95586969999999</v>
      </c>
      <c r="N247" s="31">
        <v>0</v>
      </c>
      <c r="O247" s="31">
        <v>-11.5</v>
      </c>
      <c r="P247" s="31" t="s">
        <v>206</v>
      </c>
    </row>
    <row r="248" spans="1:16" x14ac:dyDescent="0.15">
      <c r="A248" s="31" t="s">
        <v>195</v>
      </c>
      <c r="B248" s="31" t="s">
        <v>207</v>
      </c>
      <c r="D248" s="31" t="s">
        <v>108</v>
      </c>
      <c r="E248" s="31" t="s">
        <v>68</v>
      </c>
      <c r="F248" s="31" t="s">
        <v>468</v>
      </c>
      <c r="H248" s="31">
        <v>-1</v>
      </c>
      <c r="K248" s="31">
        <v>153</v>
      </c>
      <c r="L248" s="31">
        <v>-1.0441303</v>
      </c>
      <c r="M248" s="31">
        <v>-151.95586969999999</v>
      </c>
      <c r="N248" s="31">
        <v>0</v>
      </c>
      <c r="O248" s="31">
        <v>-11.5</v>
      </c>
    </row>
    <row r="249" spans="1:16" x14ac:dyDescent="0.15">
      <c r="A249" s="31" t="s">
        <v>195</v>
      </c>
      <c r="B249" s="31" t="s">
        <v>47</v>
      </c>
      <c r="C249" s="31" t="s">
        <v>204</v>
      </c>
      <c r="D249" s="31" t="s">
        <v>108</v>
      </c>
      <c r="E249" s="31" t="s">
        <v>68</v>
      </c>
      <c r="F249" s="31" t="s">
        <v>111</v>
      </c>
      <c r="G249" s="31" t="s">
        <v>212</v>
      </c>
      <c r="H249" s="31">
        <v>2</v>
      </c>
      <c r="I249" s="31">
        <v>0.6</v>
      </c>
      <c r="J249" s="31">
        <v>0.4672</v>
      </c>
      <c r="K249" s="31">
        <v>-120</v>
      </c>
      <c r="L249" s="31">
        <v>-1.3827</v>
      </c>
      <c r="M249" s="31">
        <v>1030.648036</v>
      </c>
      <c r="N249" s="31">
        <v>909.26533600000005</v>
      </c>
      <c r="O249" s="31">
        <v>-26.56</v>
      </c>
      <c r="P249" s="31" t="s">
        <v>213</v>
      </c>
    </row>
    <row r="250" spans="1:16" x14ac:dyDescent="0.15">
      <c r="A250" s="31" t="s">
        <v>195</v>
      </c>
      <c r="B250" s="31" t="s">
        <v>207</v>
      </c>
      <c r="D250" s="31" t="s">
        <v>108</v>
      </c>
      <c r="E250" s="31" t="s">
        <v>68</v>
      </c>
      <c r="F250" s="31" t="s">
        <v>111</v>
      </c>
      <c r="H250" s="31">
        <v>2</v>
      </c>
      <c r="K250" s="31">
        <v>-120</v>
      </c>
      <c r="L250" s="31">
        <v>-1.3827</v>
      </c>
      <c r="M250" s="31">
        <v>1030.648036</v>
      </c>
      <c r="N250" s="31">
        <v>909.26533600000005</v>
      </c>
      <c r="O250" s="31">
        <v>-26.56</v>
      </c>
    </row>
    <row r="251" spans="1:16" x14ac:dyDescent="0.15">
      <c r="A251" s="31" t="s">
        <v>195</v>
      </c>
      <c r="B251" s="31" t="s">
        <v>47</v>
      </c>
      <c r="C251" s="31" t="s">
        <v>204</v>
      </c>
      <c r="D251" s="31" t="s">
        <v>108</v>
      </c>
      <c r="E251" s="31" t="s">
        <v>68</v>
      </c>
      <c r="F251" s="31" t="s">
        <v>469</v>
      </c>
      <c r="G251" s="31" t="s">
        <v>484</v>
      </c>
      <c r="H251" s="31">
        <v>-3</v>
      </c>
      <c r="I251" s="31">
        <v>0.1</v>
      </c>
      <c r="J251" s="31">
        <v>9.5000000000000001E-2</v>
      </c>
      <c r="K251" s="31">
        <v>30</v>
      </c>
      <c r="L251" s="31">
        <v>-2.0502030000000002</v>
      </c>
      <c r="M251" s="31">
        <v>-27.949797</v>
      </c>
      <c r="N251" s="31">
        <v>0</v>
      </c>
      <c r="O251" s="31">
        <v>1.5</v>
      </c>
      <c r="P251" s="31" t="s">
        <v>206</v>
      </c>
    </row>
    <row r="252" spans="1:16" x14ac:dyDescent="0.15">
      <c r="A252" s="31" t="s">
        <v>195</v>
      </c>
      <c r="B252" s="31" t="s">
        <v>207</v>
      </c>
      <c r="D252" s="31" t="s">
        <v>108</v>
      </c>
      <c r="E252" s="31" t="s">
        <v>68</v>
      </c>
      <c r="F252" s="31" t="s">
        <v>469</v>
      </c>
      <c r="H252" s="31">
        <v>-3</v>
      </c>
      <c r="K252" s="31">
        <v>30</v>
      </c>
      <c r="L252" s="31">
        <v>-2.0502030000000002</v>
      </c>
      <c r="M252" s="31">
        <v>-27.949797</v>
      </c>
      <c r="N252" s="31">
        <v>0</v>
      </c>
      <c r="O252" s="31">
        <v>1.5</v>
      </c>
    </row>
    <row r="253" spans="1:16" x14ac:dyDescent="0.15">
      <c r="A253" s="31" t="s">
        <v>195</v>
      </c>
      <c r="B253" s="31" t="s">
        <v>47</v>
      </c>
      <c r="C253" s="31" t="s">
        <v>204</v>
      </c>
      <c r="D253" s="31" t="s">
        <v>108</v>
      </c>
      <c r="E253" s="31" t="s">
        <v>68</v>
      </c>
      <c r="F253" s="31" t="s">
        <v>470</v>
      </c>
      <c r="G253" s="31" t="s">
        <v>485</v>
      </c>
      <c r="H253" s="31">
        <v>-1</v>
      </c>
      <c r="I253" s="31">
        <v>1.62</v>
      </c>
      <c r="J253" s="31">
        <v>2.0371000000000001</v>
      </c>
      <c r="K253" s="31">
        <v>162</v>
      </c>
      <c r="L253" s="31">
        <v>-1.0441762000000001</v>
      </c>
      <c r="M253" s="31">
        <v>-160.95582379999999</v>
      </c>
      <c r="N253" s="31">
        <v>0</v>
      </c>
      <c r="O253" s="31">
        <v>-41.71</v>
      </c>
      <c r="P253" s="31" t="s">
        <v>206</v>
      </c>
    </row>
    <row r="254" spans="1:16" x14ac:dyDescent="0.15">
      <c r="A254" s="31" t="s">
        <v>195</v>
      </c>
      <c r="B254" s="31" t="s">
        <v>207</v>
      </c>
      <c r="D254" s="31" t="s">
        <v>108</v>
      </c>
      <c r="E254" s="31" t="s">
        <v>68</v>
      </c>
      <c r="F254" s="31" t="s">
        <v>470</v>
      </c>
      <c r="H254" s="31">
        <v>-1</v>
      </c>
      <c r="K254" s="31">
        <v>162</v>
      </c>
      <c r="L254" s="31">
        <v>-1.0441762000000001</v>
      </c>
      <c r="M254" s="31">
        <v>-160.95582379999999</v>
      </c>
      <c r="N254" s="31">
        <v>0</v>
      </c>
      <c r="O254" s="31">
        <v>-41.71</v>
      </c>
    </row>
    <row r="255" spans="1:16" x14ac:dyDescent="0.15">
      <c r="A255" s="31" t="s">
        <v>195</v>
      </c>
      <c r="B255" s="31" t="s">
        <v>47</v>
      </c>
      <c r="C255" s="31" t="s">
        <v>204</v>
      </c>
      <c r="D255" s="31" t="s">
        <v>108</v>
      </c>
      <c r="E255" s="31" t="s">
        <v>68</v>
      </c>
      <c r="F255" s="31" t="s">
        <v>114</v>
      </c>
      <c r="G255" s="31" t="s">
        <v>214</v>
      </c>
      <c r="H255" s="31">
        <v>-1</v>
      </c>
      <c r="I255" s="31">
        <v>0.19</v>
      </c>
      <c r="J255" s="31">
        <v>0.1404</v>
      </c>
      <c r="K255" s="31">
        <v>19</v>
      </c>
      <c r="L255" s="31">
        <v>-1.0334468999999999</v>
      </c>
      <c r="M255" s="31">
        <v>-17.966553099999999</v>
      </c>
      <c r="N255" s="31">
        <v>0</v>
      </c>
      <c r="O255" s="31">
        <v>4.96</v>
      </c>
      <c r="P255" s="31" t="s">
        <v>206</v>
      </c>
    </row>
    <row r="256" spans="1:16" x14ac:dyDescent="0.15">
      <c r="A256" s="31" t="s">
        <v>195</v>
      </c>
      <c r="B256" s="31" t="s">
        <v>207</v>
      </c>
      <c r="D256" s="31" t="s">
        <v>108</v>
      </c>
      <c r="E256" s="31" t="s">
        <v>68</v>
      </c>
      <c r="F256" s="31" t="s">
        <v>114</v>
      </c>
      <c r="H256" s="31">
        <v>-1</v>
      </c>
      <c r="K256" s="31">
        <v>19</v>
      </c>
      <c r="L256" s="31">
        <v>-1.0334468999999999</v>
      </c>
      <c r="M256" s="31">
        <v>-17.966553099999999</v>
      </c>
      <c r="N256" s="31">
        <v>0</v>
      </c>
      <c r="O256" s="31">
        <v>4.96</v>
      </c>
    </row>
    <row r="257" spans="1:16" x14ac:dyDescent="0.15">
      <c r="A257" s="31" t="s">
        <v>195</v>
      </c>
      <c r="B257" s="31" t="s">
        <v>47</v>
      </c>
      <c r="C257" s="31" t="s">
        <v>204</v>
      </c>
      <c r="D257" s="31" t="s">
        <v>108</v>
      </c>
      <c r="E257" s="31" t="s">
        <v>68</v>
      </c>
      <c r="F257" s="31" t="s">
        <v>113</v>
      </c>
      <c r="G257" s="31" t="s">
        <v>215</v>
      </c>
      <c r="H257" s="31">
        <v>-2</v>
      </c>
      <c r="I257" s="31">
        <v>0.41</v>
      </c>
      <c r="J257" s="31">
        <v>0.42559999999999998</v>
      </c>
      <c r="K257" s="31">
        <v>82</v>
      </c>
      <c r="L257" s="31">
        <v>-1.3671182</v>
      </c>
      <c r="M257" s="31">
        <v>-80.632881800000007</v>
      </c>
      <c r="N257" s="31">
        <v>0</v>
      </c>
      <c r="O257" s="31">
        <v>-3.12</v>
      </c>
      <c r="P257" s="31" t="s">
        <v>206</v>
      </c>
    </row>
    <row r="258" spans="1:16" x14ac:dyDescent="0.15">
      <c r="A258" s="31" t="s">
        <v>195</v>
      </c>
      <c r="B258" s="31" t="s">
        <v>207</v>
      </c>
      <c r="D258" s="31" t="s">
        <v>108</v>
      </c>
      <c r="E258" s="31" t="s">
        <v>68</v>
      </c>
      <c r="F258" s="31" t="s">
        <v>113</v>
      </c>
      <c r="H258" s="31">
        <v>-2</v>
      </c>
      <c r="K258" s="31">
        <v>82</v>
      </c>
      <c r="L258" s="31">
        <v>-1.3671182</v>
      </c>
      <c r="M258" s="31">
        <v>-80.632881800000007</v>
      </c>
      <c r="N258" s="31">
        <v>0</v>
      </c>
      <c r="O258" s="31">
        <v>-3.12</v>
      </c>
    </row>
    <row r="259" spans="1:16" x14ac:dyDescent="0.15">
      <c r="A259" s="31" t="s">
        <v>195</v>
      </c>
      <c r="B259" s="31" t="s">
        <v>47</v>
      </c>
      <c r="C259" s="31" t="s">
        <v>204</v>
      </c>
      <c r="D259" s="31" t="s">
        <v>108</v>
      </c>
      <c r="E259" s="31" t="s">
        <v>68</v>
      </c>
      <c r="F259" s="31" t="s">
        <v>115</v>
      </c>
      <c r="G259" s="31" t="s">
        <v>216</v>
      </c>
      <c r="H259" s="31">
        <v>-5</v>
      </c>
      <c r="I259" s="31">
        <v>0.5</v>
      </c>
      <c r="J259" s="31">
        <v>0.77</v>
      </c>
      <c r="K259" s="31">
        <v>250</v>
      </c>
      <c r="L259" s="31">
        <v>-1.368025</v>
      </c>
      <c r="M259" s="31">
        <v>-248.63197500000001</v>
      </c>
      <c r="N259" s="31">
        <v>0</v>
      </c>
      <c r="O259" s="31">
        <v>-135</v>
      </c>
      <c r="P259" s="31" t="s">
        <v>206</v>
      </c>
    </row>
    <row r="260" spans="1:16" x14ac:dyDescent="0.15">
      <c r="A260" s="31" t="s">
        <v>195</v>
      </c>
      <c r="B260" s="31" t="s">
        <v>207</v>
      </c>
      <c r="D260" s="31" t="s">
        <v>108</v>
      </c>
      <c r="E260" s="31" t="s">
        <v>68</v>
      </c>
      <c r="F260" s="31" t="s">
        <v>115</v>
      </c>
      <c r="H260" s="31">
        <v>-5</v>
      </c>
      <c r="K260" s="31">
        <v>250</v>
      </c>
      <c r="L260" s="31">
        <v>-1.368025</v>
      </c>
      <c r="M260" s="31">
        <v>-248.63197500000001</v>
      </c>
      <c r="N260" s="31">
        <v>0</v>
      </c>
      <c r="O260" s="31">
        <v>-135</v>
      </c>
    </row>
    <row r="261" spans="1:16" x14ac:dyDescent="0.15">
      <c r="A261" s="31" t="s">
        <v>195</v>
      </c>
      <c r="B261" s="31" t="s">
        <v>47</v>
      </c>
      <c r="C261" s="31" t="s">
        <v>204</v>
      </c>
      <c r="D261" s="31" t="s">
        <v>108</v>
      </c>
      <c r="E261" s="31" t="s">
        <v>68</v>
      </c>
      <c r="F261" s="31" t="s">
        <v>472</v>
      </c>
      <c r="G261" s="31" t="s">
        <v>486</v>
      </c>
      <c r="H261" s="31">
        <v>-2</v>
      </c>
      <c r="I261" s="31">
        <v>1.1599999999999999</v>
      </c>
      <c r="J261" s="31">
        <v>1.095</v>
      </c>
      <c r="K261" s="31">
        <v>232</v>
      </c>
      <c r="L261" s="31">
        <v>-0.78788320000000001</v>
      </c>
      <c r="M261" s="31">
        <v>-231.21211679999999</v>
      </c>
      <c r="N261" s="31">
        <v>0</v>
      </c>
      <c r="O261" s="31">
        <v>13</v>
      </c>
      <c r="P261" s="31" t="s">
        <v>206</v>
      </c>
    </row>
    <row r="262" spans="1:16" x14ac:dyDescent="0.15">
      <c r="A262" s="31" t="s">
        <v>195</v>
      </c>
      <c r="B262" s="31" t="s">
        <v>207</v>
      </c>
      <c r="D262" s="31" t="s">
        <v>108</v>
      </c>
      <c r="E262" s="31" t="s">
        <v>68</v>
      </c>
      <c r="F262" s="31" t="s">
        <v>472</v>
      </c>
      <c r="H262" s="31">
        <v>-2</v>
      </c>
      <c r="K262" s="31">
        <v>232</v>
      </c>
      <c r="L262" s="31">
        <v>-0.78788320000000001</v>
      </c>
      <c r="M262" s="31">
        <v>-231.21211679999999</v>
      </c>
      <c r="N262" s="31">
        <v>0</v>
      </c>
      <c r="O262" s="31">
        <v>13</v>
      </c>
    </row>
    <row r="263" spans="1:16" x14ac:dyDescent="0.15">
      <c r="A263" s="31" t="s">
        <v>195</v>
      </c>
      <c r="B263" s="31" t="s">
        <v>47</v>
      </c>
      <c r="C263" s="31" t="s">
        <v>204</v>
      </c>
      <c r="D263" s="31" t="s">
        <v>108</v>
      </c>
      <c r="E263" s="31" t="s">
        <v>68</v>
      </c>
      <c r="F263" s="31" t="s">
        <v>471</v>
      </c>
      <c r="G263" s="31" t="s">
        <v>487</v>
      </c>
      <c r="H263" s="31">
        <v>-1</v>
      </c>
      <c r="I263" s="31">
        <v>2.25</v>
      </c>
      <c r="J263" s="31">
        <v>2.1749999999999998</v>
      </c>
      <c r="K263" s="31">
        <v>225</v>
      </c>
      <c r="L263" s="31">
        <v>-0.74449750000000003</v>
      </c>
      <c r="M263" s="31">
        <v>-224.25550250000001</v>
      </c>
      <c r="N263" s="31">
        <v>0</v>
      </c>
      <c r="O263" s="31">
        <v>7.5</v>
      </c>
      <c r="P263" s="31" t="s">
        <v>206</v>
      </c>
    </row>
    <row r="264" spans="1:16" x14ac:dyDescent="0.15">
      <c r="A264" s="31" t="s">
        <v>195</v>
      </c>
      <c r="B264" s="31" t="s">
        <v>207</v>
      </c>
      <c r="D264" s="31" t="s">
        <v>108</v>
      </c>
      <c r="E264" s="31" t="s">
        <v>68</v>
      </c>
      <c r="F264" s="31" t="s">
        <v>471</v>
      </c>
      <c r="H264" s="31">
        <v>-1</v>
      </c>
      <c r="K264" s="31">
        <v>225</v>
      </c>
      <c r="L264" s="31">
        <v>-0.74449750000000003</v>
      </c>
      <c r="M264" s="31">
        <v>-224.25550250000001</v>
      </c>
      <c r="N264" s="31">
        <v>0</v>
      </c>
      <c r="O264" s="31">
        <v>7.5</v>
      </c>
    </row>
    <row r="265" spans="1:16" x14ac:dyDescent="0.15">
      <c r="A265" s="31" t="s">
        <v>195</v>
      </c>
      <c r="B265" s="31" t="s">
        <v>47</v>
      </c>
      <c r="C265" s="31" t="s">
        <v>204</v>
      </c>
      <c r="D265" s="31" t="s">
        <v>108</v>
      </c>
      <c r="E265" s="31" t="s">
        <v>68</v>
      </c>
      <c r="F265" s="31" t="s">
        <v>473</v>
      </c>
      <c r="G265" s="31" t="s">
        <v>488</v>
      </c>
      <c r="H265" s="31">
        <v>-2</v>
      </c>
      <c r="I265" s="31">
        <v>0.63</v>
      </c>
      <c r="J265" s="31">
        <v>0.6</v>
      </c>
      <c r="K265" s="31">
        <v>126</v>
      </c>
      <c r="L265" s="31">
        <v>-1.3873426</v>
      </c>
      <c r="M265" s="31">
        <v>-124.6126574</v>
      </c>
      <c r="N265" s="31">
        <v>0</v>
      </c>
      <c r="O265" s="31">
        <v>6</v>
      </c>
      <c r="P265" s="31" t="s">
        <v>206</v>
      </c>
    </row>
    <row r="266" spans="1:16" x14ac:dyDescent="0.15">
      <c r="A266" s="31" t="s">
        <v>195</v>
      </c>
      <c r="B266" s="31" t="s">
        <v>207</v>
      </c>
      <c r="D266" s="31" t="s">
        <v>108</v>
      </c>
      <c r="E266" s="31" t="s">
        <v>68</v>
      </c>
      <c r="F266" s="31" t="s">
        <v>473</v>
      </c>
      <c r="H266" s="31">
        <v>-2</v>
      </c>
      <c r="K266" s="31">
        <v>126</v>
      </c>
      <c r="L266" s="31">
        <v>-1.3873426</v>
      </c>
      <c r="M266" s="31">
        <v>-124.6126574</v>
      </c>
      <c r="N266" s="31">
        <v>0</v>
      </c>
      <c r="O266" s="31">
        <v>6</v>
      </c>
    </row>
    <row r="267" spans="1:16" x14ac:dyDescent="0.15">
      <c r="A267" s="31" t="s">
        <v>195</v>
      </c>
      <c r="B267" s="31" t="s">
        <v>47</v>
      </c>
      <c r="C267" s="31" t="s">
        <v>204</v>
      </c>
      <c r="D267" s="31" t="s">
        <v>108</v>
      </c>
      <c r="E267" s="31" t="s">
        <v>68</v>
      </c>
      <c r="F267" s="31" t="s">
        <v>116</v>
      </c>
      <c r="G267" s="31" t="s">
        <v>489</v>
      </c>
      <c r="H267" s="31">
        <v>5</v>
      </c>
      <c r="I267" s="31">
        <v>0.01</v>
      </c>
      <c r="J267" s="31">
        <v>1.3299999999999999E-2</v>
      </c>
      <c r="K267" s="31">
        <v>-5</v>
      </c>
      <c r="L267" s="31">
        <v>-1.45675</v>
      </c>
      <c r="M267" s="31">
        <v>64.918448999999995</v>
      </c>
      <c r="N267" s="31">
        <v>58.461699000000003</v>
      </c>
      <c r="O267" s="31">
        <v>1.65</v>
      </c>
      <c r="P267" s="31" t="s">
        <v>311</v>
      </c>
    </row>
    <row r="268" spans="1:16" x14ac:dyDescent="0.15">
      <c r="A268" s="31" t="s">
        <v>195</v>
      </c>
      <c r="B268" s="31" t="s">
        <v>207</v>
      </c>
      <c r="D268" s="31" t="s">
        <v>108</v>
      </c>
      <c r="E268" s="31" t="s">
        <v>68</v>
      </c>
      <c r="F268" s="31" t="s">
        <v>116</v>
      </c>
      <c r="H268" s="31">
        <v>5</v>
      </c>
      <c r="K268" s="31">
        <v>-5</v>
      </c>
      <c r="L268" s="31">
        <v>-1.45675</v>
      </c>
      <c r="M268" s="31">
        <v>64.918448999999995</v>
      </c>
      <c r="N268" s="31">
        <v>58.461699000000003</v>
      </c>
      <c r="O268" s="31">
        <v>1.65</v>
      </c>
    </row>
    <row r="269" spans="1:16" x14ac:dyDescent="0.15">
      <c r="A269" s="31" t="s">
        <v>195</v>
      </c>
      <c r="B269" s="31" t="s">
        <v>47</v>
      </c>
      <c r="C269" s="31" t="s">
        <v>204</v>
      </c>
      <c r="D269" s="31" t="s">
        <v>108</v>
      </c>
      <c r="E269" s="31" t="s">
        <v>68</v>
      </c>
      <c r="F269" s="31" t="s">
        <v>474</v>
      </c>
      <c r="G269" s="31" t="s">
        <v>490</v>
      </c>
      <c r="H269" s="31">
        <v>-2</v>
      </c>
      <c r="I269" s="31">
        <v>0.78</v>
      </c>
      <c r="J269" s="31">
        <v>0.78</v>
      </c>
      <c r="K269" s="31">
        <v>156</v>
      </c>
      <c r="L269" s="31">
        <v>-0.54749559999999997</v>
      </c>
      <c r="M269" s="31">
        <v>-155.45250440000001</v>
      </c>
      <c r="N269" s="31">
        <v>0</v>
      </c>
      <c r="O269" s="31">
        <v>0</v>
      </c>
      <c r="P269" s="31" t="s">
        <v>206</v>
      </c>
    </row>
    <row r="270" spans="1:16" x14ac:dyDescent="0.15">
      <c r="A270" s="31" t="s">
        <v>195</v>
      </c>
      <c r="B270" s="31" t="s">
        <v>207</v>
      </c>
      <c r="D270" s="31" t="s">
        <v>108</v>
      </c>
      <c r="E270" s="31" t="s">
        <v>68</v>
      </c>
      <c r="F270" s="31" t="s">
        <v>474</v>
      </c>
      <c r="H270" s="31">
        <v>-2</v>
      </c>
      <c r="K270" s="31">
        <v>156</v>
      </c>
      <c r="L270" s="31">
        <v>-0.54749559999999997</v>
      </c>
      <c r="M270" s="31">
        <v>-155.45250440000001</v>
      </c>
      <c r="N270" s="31">
        <v>0</v>
      </c>
      <c r="O270" s="31">
        <v>0</v>
      </c>
    </row>
    <row r="271" spans="1:16" x14ac:dyDescent="0.15">
      <c r="A271" s="31" t="s">
        <v>195</v>
      </c>
      <c r="B271" s="31" t="s">
        <v>83</v>
      </c>
      <c r="D271" s="31" t="s">
        <v>108</v>
      </c>
      <c r="E271" s="31" t="s">
        <v>68</v>
      </c>
      <c r="K271" s="31">
        <v>1310</v>
      </c>
      <c r="L271" s="31">
        <v>-14.2137685</v>
      </c>
      <c r="M271" s="31">
        <v>-328.05919649999998</v>
      </c>
      <c r="N271" s="31">
        <v>967.727035</v>
      </c>
      <c r="O271" s="31">
        <v>-183.28</v>
      </c>
      <c r="P271" s="31" t="s">
        <v>211</v>
      </c>
    </row>
    <row r="272" spans="1:16" x14ac:dyDescent="0.15">
      <c r="A272" s="31" t="s">
        <v>467</v>
      </c>
      <c r="B272" s="31" t="s">
        <v>44</v>
      </c>
      <c r="C272" s="31" t="s">
        <v>135</v>
      </c>
      <c r="D272" s="31" t="s">
        <v>491</v>
      </c>
      <c r="E272" s="31" t="s">
        <v>161</v>
      </c>
      <c r="F272" s="31" t="s">
        <v>218</v>
      </c>
    </row>
    <row r="273" spans="1:6" x14ac:dyDescent="0.15">
      <c r="A273" s="31" t="s">
        <v>467</v>
      </c>
      <c r="B273" s="31" t="s">
        <v>47</v>
      </c>
      <c r="C273" s="31" t="s">
        <v>68</v>
      </c>
      <c r="D273" s="34">
        <v>44568</v>
      </c>
      <c r="E273" s="31" t="s">
        <v>492</v>
      </c>
      <c r="F273" s="31">
        <v>100000</v>
      </c>
    </row>
    <row r="274" spans="1:6" x14ac:dyDescent="0.15">
      <c r="A274" s="31" t="s">
        <v>467</v>
      </c>
      <c r="B274" s="31" t="s">
        <v>47</v>
      </c>
      <c r="C274" s="31" t="s">
        <v>83</v>
      </c>
      <c r="F274" s="31">
        <v>100000</v>
      </c>
    </row>
    <row r="275" spans="1:6" x14ac:dyDescent="0.15">
      <c r="A275" s="31" t="s">
        <v>88</v>
      </c>
      <c r="B275" s="31" t="s">
        <v>44</v>
      </c>
      <c r="C275" s="31" t="s">
        <v>135</v>
      </c>
      <c r="D275" s="31" t="s">
        <v>217</v>
      </c>
      <c r="E275" s="31" t="s">
        <v>161</v>
      </c>
      <c r="F275" s="31" t="s">
        <v>218</v>
      </c>
    </row>
    <row r="276" spans="1:6" x14ac:dyDescent="0.15">
      <c r="A276" s="31" t="s">
        <v>88</v>
      </c>
      <c r="B276" s="31" t="s">
        <v>47</v>
      </c>
      <c r="C276" s="31" t="s">
        <v>68</v>
      </c>
      <c r="D276" s="34">
        <v>44561</v>
      </c>
      <c r="E276" s="31" t="s">
        <v>219</v>
      </c>
      <c r="F276" s="31">
        <v>5.77</v>
      </c>
    </row>
    <row r="277" spans="1:6" x14ac:dyDescent="0.15">
      <c r="A277" s="31" t="s">
        <v>88</v>
      </c>
      <c r="B277" s="31" t="s">
        <v>47</v>
      </c>
      <c r="C277" s="31" t="s">
        <v>68</v>
      </c>
      <c r="D277" s="34">
        <v>44561</v>
      </c>
      <c r="E277" s="31" t="s">
        <v>220</v>
      </c>
      <c r="F277" s="31">
        <v>46.72</v>
      </c>
    </row>
    <row r="278" spans="1:6" x14ac:dyDescent="0.15">
      <c r="A278" s="31" t="s">
        <v>88</v>
      </c>
      <c r="B278" s="31" t="s">
        <v>47</v>
      </c>
      <c r="C278" s="31" t="s">
        <v>68</v>
      </c>
      <c r="D278" s="34">
        <v>44561</v>
      </c>
      <c r="E278" s="31" t="s">
        <v>221</v>
      </c>
      <c r="F278" s="31">
        <v>2.83</v>
      </c>
    </row>
    <row r="279" spans="1:6" x14ac:dyDescent="0.15">
      <c r="A279" s="31" t="s">
        <v>88</v>
      </c>
      <c r="B279" s="31" t="s">
        <v>47</v>
      </c>
      <c r="C279" s="31" t="s">
        <v>68</v>
      </c>
      <c r="D279" s="34">
        <v>44561</v>
      </c>
      <c r="E279" s="31" t="s">
        <v>222</v>
      </c>
      <c r="F279" s="31">
        <v>22.93</v>
      </c>
    </row>
    <row r="280" spans="1:6" x14ac:dyDescent="0.15">
      <c r="A280" s="31" t="s">
        <v>88</v>
      </c>
      <c r="B280" s="31" t="s">
        <v>47</v>
      </c>
      <c r="C280" s="31" t="s">
        <v>83</v>
      </c>
      <c r="F280" s="31">
        <v>78.25</v>
      </c>
    </row>
    <row r="281" spans="1:6" x14ac:dyDescent="0.15">
      <c r="A281" s="31" t="s">
        <v>90</v>
      </c>
      <c r="B281" s="31" t="s">
        <v>44</v>
      </c>
      <c r="C281" s="31" t="s">
        <v>135</v>
      </c>
      <c r="D281" s="31" t="s">
        <v>217</v>
      </c>
      <c r="E281" s="31" t="s">
        <v>161</v>
      </c>
      <c r="F281" s="31" t="s">
        <v>218</v>
      </c>
    </row>
    <row r="282" spans="1:6" x14ac:dyDescent="0.15">
      <c r="A282" s="31" t="s">
        <v>90</v>
      </c>
      <c r="B282" s="31" t="s">
        <v>47</v>
      </c>
      <c r="C282" s="31" t="s">
        <v>68</v>
      </c>
      <c r="D282" s="34">
        <v>44566</v>
      </c>
      <c r="E282" s="31" t="s">
        <v>223</v>
      </c>
      <c r="F282" s="31">
        <v>176.22</v>
      </c>
    </row>
    <row r="283" spans="1:6" x14ac:dyDescent="0.15">
      <c r="A283" s="31" t="s">
        <v>90</v>
      </c>
      <c r="B283" s="31" t="s">
        <v>47</v>
      </c>
      <c r="C283" s="31" t="s">
        <v>83</v>
      </c>
      <c r="F283" s="31">
        <v>176.22</v>
      </c>
    </row>
    <row r="284" spans="1:6" x14ac:dyDescent="0.15">
      <c r="A284" s="31" t="s">
        <v>81</v>
      </c>
      <c r="B284" s="31" t="s">
        <v>44</v>
      </c>
      <c r="C284" s="31" t="s">
        <v>135</v>
      </c>
      <c r="D284" s="31" t="s">
        <v>45</v>
      </c>
      <c r="E284" s="31" t="s">
        <v>46</v>
      </c>
    </row>
    <row r="285" spans="1:6" x14ac:dyDescent="0.15">
      <c r="A285" s="31" t="s">
        <v>81</v>
      </c>
      <c r="B285" s="31" t="s">
        <v>47</v>
      </c>
      <c r="C285" s="31" t="s">
        <v>139</v>
      </c>
      <c r="D285" s="31" t="s">
        <v>224</v>
      </c>
      <c r="E285" s="31">
        <v>172</v>
      </c>
    </row>
    <row r="286" spans="1:6" x14ac:dyDescent="0.15">
      <c r="A286" s="31" t="s">
        <v>81</v>
      </c>
      <c r="B286" s="31" t="s">
        <v>47</v>
      </c>
      <c r="C286" s="31" t="s">
        <v>139</v>
      </c>
      <c r="D286" s="31" t="s">
        <v>225</v>
      </c>
      <c r="E286" s="31">
        <v>17.63</v>
      </c>
    </row>
    <row r="287" spans="1:6" x14ac:dyDescent="0.15">
      <c r="A287" s="31" t="s">
        <v>81</v>
      </c>
      <c r="B287" s="31" t="s">
        <v>47</v>
      </c>
      <c r="C287" s="31" t="s">
        <v>139</v>
      </c>
      <c r="D287" s="31" t="s">
        <v>226</v>
      </c>
      <c r="E287" s="31">
        <v>-176.22</v>
      </c>
    </row>
    <row r="288" spans="1:6" x14ac:dyDescent="0.15">
      <c r="A288" s="31" t="s">
        <v>81</v>
      </c>
      <c r="B288" s="31" t="s">
        <v>47</v>
      </c>
      <c r="C288" s="31" t="s">
        <v>139</v>
      </c>
      <c r="D288" s="31" t="s">
        <v>227</v>
      </c>
      <c r="E288" s="31">
        <v>0</v>
      </c>
    </row>
    <row r="289" spans="1:15" x14ac:dyDescent="0.15">
      <c r="A289" s="31" t="s">
        <v>81</v>
      </c>
      <c r="B289" s="31" t="s">
        <v>47</v>
      </c>
      <c r="C289" s="31" t="s">
        <v>139</v>
      </c>
      <c r="D289" s="31" t="s">
        <v>228</v>
      </c>
      <c r="E289" s="31">
        <v>13.41</v>
      </c>
    </row>
    <row r="290" spans="1:15" x14ac:dyDescent="0.15">
      <c r="A290" s="31" t="s">
        <v>89</v>
      </c>
      <c r="B290" s="31" t="s">
        <v>44</v>
      </c>
      <c r="C290" s="31" t="s">
        <v>95</v>
      </c>
      <c r="D290" s="31" t="s">
        <v>135</v>
      </c>
      <c r="E290" s="31" t="s">
        <v>96</v>
      </c>
      <c r="F290" s="31" t="s">
        <v>217</v>
      </c>
      <c r="G290" s="31" t="s">
        <v>229</v>
      </c>
      <c r="H290" s="31" t="s">
        <v>230</v>
      </c>
      <c r="I290" s="31" t="s">
        <v>152</v>
      </c>
      <c r="J290" s="31" t="s">
        <v>231</v>
      </c>
      <c r="K290" s="31" t="s">
        <v>232</v>
      </c>
      <c r="L290" s="31" t="s">
        <v>233</v>
      </c>
      <c r="M290" s="31" t="s">
        <v>234</v>
      </c>
      <c r="N290" s="31" t="s">
        <v>235</v>
      </c>
      <c r="O290" s="31" t="s">
        <v>106</v>
      </c>
    </row>
    <row r="291" spans="1:15" x14ac:dyDescent="0.15">
      <c r="A291" s="31" t="s">
        <v>89</v>
      </c>
      <c r="B291" s="31" t="s">
        <v>47</v>
      </c>
      <c r="C291" s="31" t="s">
        <v>236</v>
      </c>
      <c r="N291" s="31">
        <v>50.51</v>
      </c>
    </row>
    <row r="292" spans="1:15" x14ac:dyDescent="0.15">
      <c r="A292" s="31" t="s">
        <v>89</v>
      </c>
      <c r="B292" s="31" t="s">
        <v>47</v>
      </c>
      <c r="C292" s="31" t="s">
        <v>107</v>
      </c>
      <c r="D292" s="31" t="s">
        <v>68</v>
      </c>
      <c r="E292" s="31" t="s">
        <v>42</v>
      </c>
      <c r="F292" s="34">
        <v>44561</v>
      </c>
      <c r="G292" s="34">
        <v>44559</v>
      </c>
      <c r="H292" s="34">
        <v>44561</v>
      </c>
      <c r="I292" s="31">
        <v>100</v>
      </c>
      <c r="J292" s="31">
        <v>0</v>
      </c>
      <c r="K292" s="31">
        <v>0</v>
      </c>
      <c r="L292" s="31">
        <v>0.25768000000000002</v>
      </c>
      <c r="M292" s="31">
        <v>-25.76</v>
      </c>
      <c r="N292" s="31">
        <v>-25.76</v>
      </c>
      <c r="O292" s="31" t="s">
        <v>237</v>
      </c>
    </row>
    <row r="293" spans="1:15" x14ac:dyDescent="0.15">
      <c r="A293" s="31" t="s">
        <v>89</v>
      </c>
      <c r="B293" s="31" t="s">
        <v>47</v>
      </c>
      <c r="C293" s="31" t="s">
        <v>107</v>
      </c>
      <c r="D293" s="31" t="s">
        <v>68</v>
      </c>
      <c r="E293" s="31" t="s">
        <v>42</v>
      </c>
      <c r="F293" s="34">
        <v>44561</v>
      </c>
      <c r="G293" s="34">
        <v>44559</v>
      </c>
      <c r="H293" s="34">
        <v>44561</v>
      </c>
      <c r="I293" s="31">
        <v>100</v>
      </c>
      <c r="J293" s="31">
        <v>0</v>
      </c>
      <c r="K293" s="31">
        <v>0</v>
      </c>
      <c r="L293" s="31">
        <v>0.52488999999999997</v>
      </c>
      <c r="M293" s="31">
        <v>-25.77</v>
      </c>
      <c r="N293" s="31">
        <v>-25.77</v>
      </c>
      <c r="O293" s="31" t="s">
        <v>237</v>
      </c>
    </row>
    <row r="294" spans="1:15" x14ac:dyDescent="0.15">
      <c r="A294" s="31" t="s">
        <v>89</v>
      </c>
      <c r="B294" s="31" t="s">
        <v>47</v>
      </c>
      <c r="C294" s="31" t="s">
        <v>107</v>
      </c>
      <c r="D294" s="31" t="s">
        <v>68</v>
      </c>
      <c r="E294" s="31" t="s">
        <v>24</v>
      </c>
      <c r="F294" s="34">
        <v>44559</v>
      </c>
      <c r="G294" s="34">
        <v>44560</v>
      </c>
      <c r="H294" s="34">
        <v>44600</v>
      </c>
      <c r="I294" s="31">
        <v>1400</v>
      </c>
      <c r="J294" s="31">
        <v>0</v>
      </c>
      <c r="K294" s="31">
        <v>5.46</v>
      </c>
      <c r="L294" s="31">
        <v>0.02</v>
      </c>
      <c r="M294" s="31">
        <v>0</v>
      </c>
      <c r="N294" s="31">
        <v>-5.46</v>
      </c>
      <c r="O294" s="31" t="s">
        <v>238</v>
      </c>
    </row>
    <row r="295" spans="1:15" x14ac:dyDescent="0.15">
      <c r="A295" s="31" t="s">
        <v>89</v>
      </c>
      <c r="B295" s="31" t="s">
        <v>47</v>
      </c>
      <c r="C295" s="31" t="s">
        <v>107</v>
      </c>
      <c r="D295" s="31" t="s">
        <v>68</v>
      </c>
      <c r="E295" s="31" t="s">
        <v>24</v>
      </c>
      <c r="F295" s="34">
        <v>44559</v>
      </c>
      <c r="G295" s="34">
        <v>44560</v>
      </c>
      <c r="H295" s="34">
        <v>44600</v>
      </c>
      <c r="I295" s="31">
        <v>1400</v>
      </c>
      <c r="J295" s="31">
        <v>0</v>
      </c>
      <c r="K295" s="31">
        <v>-1.02</v>
      </c>
      <c r="L295" s="31">
        <v>0.02</v>
      </c>
      <c r="M295" s="31">
        <v>0</v>
      </c>
      <c r="N295" s="31">
        <v>1.02</v>
      </c>
      <c r="O295" s="31" t="s">
        <v>239</v>
      </c>
    </row>
    <row r="296" spans="1:15" x14ac:dyDescent="0.15">
      <c r="A296" s="31" t="s">
        <v>89</v>
      </c>
      <c r="B296" s="31" t="s">
        <v>47</v>
      </c>
      <c r="C296" s="31" t="s">
        <v>107</v>
      </c>
      <c r="D296" s="31" t="s">
        <v>68</v>
      </c>
      <c r="E296" s="31" t="s">
        <v>6</v>
      </c>
      <c r="F296" s="34">
        <v>44565</v>
      </c>
      <c r="G296" s="34">
        <v>44566</v>
      </c>
      <c r="H296" s="34">
        <v>44592</v>
      </c>
      <c r="I296" s="31">
        <v>250</v>
      </c>
      <c r="J296" s="31">
        <v>75</v>
      </c>
      <c r="K296" s="31">
        <v>0</v>
      </c>
      <c r="L296" s="31">
        <v>1</v>
      </c>
      <c r="M296" s="31">
        <v>250</v>
      </c>
      <c r="N296" s="31">
        <v>175</v>
      </c>
      <c r="O296" s="31" t="s">
        <v>240</v>
      </c>
    </row>
    <row r="297" spans="1:15" x14ac:dyDescent="0.15">
      <c r="A297" s="31" t="s">
        <v>89</v>
      </c>
      <c r="B297" s="31" t="s">
        <v>47</v>
      </c>
      <c r="C297" s="31" t="s">
        <v>83</v>
      </c>
      <c r="J297" s="31">
        <v>75</v>
      </c>
      <c r="K297" s="31">
        <v>4.4400000000000004</v>
      </c>
      <c r="M297" s="31">
        <v>198.47</v>
      </c>
      <c r="N297" s="31">
        <v>119.03</v>
      </c>
    </row>
    <row r="298" spans="1:15" x14ac:dyDescent="0.15">
      <c r="A298" s="31" t="s">
        <v>89</v>
      </c>
      <c r="B298" s="31" t="s">
        <v>47</v>
      </c>
      <c r="C298" s="31" t="s">
        <v>241</v>
      </c>
      <c r="N298" s="31">
        <v>169.54</v>
      </c>
    </row>
    <row r="299" spans="1:15" x14ac:dyDescent="0.15">
      <c r="A299" s="31" t="s">
        <v>242</v>
      </c>
      <c r="B299" s="31" t="s">
        <v>44</v>
      </c>
      <c r="C299" s="31" t="s">
        <v>95</v>
      </c>
      <c r="D299" s="31" t="s">
        <v>135</v>
      </c>
      <c r="E299" s="31" t="s">
        <v>96</v>
      </c>
      <c r="F299" s="31" t="s">
        <v>243</v>
      </c>
      <c r="G299" s="31" t="s">
        <v>152</v>
      </c>
      <c r="H299" s="31" t="s">
        <v>244</v>
      </c>
      <c r="I299" s="31" t="s">
        <v>245</v>
      </c>
    </row>
    <row r="300" spans="1:15" x14ac:dyDescent="0.15">
      <c r="A300" s="31" t="s">
        <v>242</v>
      </c>
      <c r="B300" s="31" t="s">
        <v>47</v>
      </c>
      <c r="C300" s="31" t="s">
        <v>107</v>
      </c>
      <c r="D300" s="31" t="s">
        <v>68</v>
      </c>
      <c r="E300" s="31" t="s">
        <v>42</v>
      </c>
      <c r="F300" s="31" t="s">
        <v>493</v>
      </c>
      <c r="G300" s="31">
        <v>-95</v>
      </c>
      <c r="H300" s="31">
        <v>1.55</v>
      </c>
      <c r="I300" s="31">
        <v>8265</v>
      </c>
    </row>
    <row r="301" spans="1:15" x14ac:dyDescent="0.15">
      <c r="A301" s="31" t="s">
        <v>242</v>
      </c>
      <c r="B301" s="31" t="s">
        <v>47</v>
      </c>
      <c r="C301" s="31" t="s">
        <v>107</v>
      </c>
      <c r="D301" s="31" t="s">
        <v>68</v>
      </c>
      <c r="E301" s="31" t="s">
        <v>41</v>
      </c>
      <c r="F301" s="31" t="s">
        <v>494</v>
      </c>
      <c r="G301" s="31">
        <v>-400</v>
      </c>
      <c r="H301" s="31">
        <v>0.33</v>
      </c>
      <c r="I301" s="31">
        <v>42400</v>
      </c>
    </row>
    <row r="302" spans="1:15" x14ac:dyDescent="0.15">
      <c r="A302" s="31" t="s">
        <v>242</v>
      </c>
      <c r="B302" s="31" t="s">
        <v>47</v>
      </c>
      <c r="C302" s="31" t="s">
        <v>83</v>
      </c>
      <c r="I302" s="31">
        <v>50665</v>
      </c>
    </row>
    <row r="303" spans="1:15" x14ac:dyDescent="0.15">
      <c r="A303" s="31" t="s">
        <v>247</v>
      </c>
      <c r="B303" s="31" t="s">
        <v>44</v>
      </c>
      <c r="C303" s="31" t="s">
        <v>95</v>
      </c>
      <c r="D303" s="31" t="s">
        <v>135</v>
      </c>
      <c r="E303" s="31" t="s">
        <v>96</v>
      </c>
      <c r="F303" s="31" t="s">
        <v>152</v>
      </c>
      <c r="G303" s="31" t="s">
        <v>248</v>
      </c>
      <c r="H303" s="31" t="s">
        <v>157</v>
      </c>
    </row>
    <row r="304" spans="1:15" x14ac:dyDescent="0.15">
      <c r="A304" s="31" t="s">
        <v>247</v>
      </c>
      <c r="B304" s="31" t="s">
        <v>47</v>
      </c>
      <c r="C304" s="31" t="s">
        <v>136</v>
      </c>
      <c r="D304" s="31" t="s">
        <v>68</v>
      </c>
      <c r="E304" s="31" t="s">
        <v>495</v>
      </c>
      <c r="F304" s="33">
        <v>50598.210400000004</v>
      </c>
      <c r="G304" s="31">
        <v>100.13</v>
      </c>
      <c r="H304" s="33">
        <v>50665</v>
      </c>
    </row>
    <row r="305" spans="1:11" x14ac:dyDescent="0.15">
      <c r="A305" s="31" t="s">
        <v>247</v>
      </c>
      <c r="B305" s="31" t="s">
        <v>47</v>
      </c>
      <c r="C305" s="31" t="s">
        <v>83</v>
      </c>
      <c r="H305" s="31">
        <v>50665</v>
      </c>
    </row>
    <row r="306" spans="1:11" x14ac:dyDescent="0.15">
      <c r="A306" s="31" t="s">
        <v>249</v>
      </c>
      <c r="B306" s="31" t="s">
        <v>44</v>
      </c>
      <c r="C306" s="31" t="s">
        <v>95</v>
      </c>
      <c r="D306" s="31" t="s">
        <v>135</v>
      </c>
      <c r="E306" s="31" t="s">
        <v>96</v>
      </c>
      <c r="F306" s="31" t="s">
        <v>217</v>
      </c>
      <c r="G306" s="31" t="s">
        <v>161</v>
      </c>
      <c r="H306" s="31" t="s">
        <v>211</v>
      </c>
      <c r="I306" s="31" t="s">
        <v>243</v>
      </c>
      <c r="J306" s="31" t="s">
        <v>152</v>
      </c>
      <c r="K306" s="31" t="s">
        <v>245</v>
      </c>
    </row>
    <row r="307" spans="1:11" x14ac:dyDescent="0.15">
      <c r="A307" s="31" t="s">
        <v>249</v>
      </c>
      <c r="B307" s="31" t="s">
        <v>47</v>
      </c>
      <c r="C307" s="31" t="s">
        <v>107</v>
      </c>
      <c r="D307" s="31" t="s">
        <v>68</v>
      </c>
      <c r="E307" s="31" t="s">
        <v>42</v>
      </c>
      <c r="F307" s="34">
        <v>44564</v>
      </c>
      <c r="G307" s="31" t="s">
        <v>250</v>
      </c>
      <c r="H307" s="31" t="s">
        <v>211</v>
      </c>
      <c r="I307" s="31" t="s">
        <v>251</v>
      </c>
      <c r="J307" s="31">
        <v>100</v>
      </c>
      <c r="K307" s="31">
        <v>-9900</v>
      </c>
    </row>
    <row r="308" spans="1:11" x14ac:dyDescent="0.15">
      <c r="A308" s="31" t="s">
        <v>249</v>
      </c>
      <c r="B308" s="31" t="s">
        <v>47</v>
      </c>
      <c r="C308" s="31" t="s">
        <v>107</v>
      </c>
      <c r="D308" s="31" t="s">
        <v>68</v>
      </c>
      <c r="E308" s="31" t="s">
        <v>42</v>
      </c>
      <c r="F308" s="34">
        <v>44565</v>
      </c>
      <c r="G308" s="31" t="s">
        <v>252</v>
      </c>
      <c r="H308" s="31" t="s">
        <v>211</v>
      </c>
      <c r="I308" s="31" t="s">
        <v>253</v>
      </c>
      <c r="J308" s="31">
        <v>-90</v>
      </c>
      <c r="K308" s="31">
        <v>8910</v>
      </c>
    </row>
    <row r="309" spans="1:11" x14ac:dyDescent="0.15">
      <c r="A309" s="31" t="s">
        <v>249</v>
      </c>
      <c r="B309" s="31" t="s">
        <v>47</v>
      </c>
      <c r="C309" s="31" t="s">
        <v>107</v>
      </c>
      <c r="D309" s="31" t="s">
        <v>68</v>
      </c>
      <c r="E309" s="31" t="s">
        <v>42</v>
      </c>
      <c r="F309" s="34">
        <v>44566</v>
      </c>
      <c r="G309" s="31" t="s">
        <v>250</v>
      </c>
      <c r="H309" s="31" t="s">
        <v>211</v>
      </c>
      <c r="I309" s="31" t="s">
        <v>253</v>
      </c>
      <c r="J309" s="31">
        <v>90</v>
      </c>
      <c r="K309" s="31">
        <v>-8910</v>
      </c>
    </row>
    <row r="310" spans="1:11" x14ac:dyDescent="0.15">
      <c r="A310" s="31" t="s">
        <v>249</v>
      </c>
      <c r="B310" s="31" t="s">
        <v>47</v>
      </c>
      <c r="C310" s="31" t="s">
        <v>107</v>
      </c>
      <c r="D310" s="31" t="s">
        <v>68</v>
      </c>
      <c r="E310" s="31" t="s">
        <v>42</v>
      </c>
      <c r="F310" s="34">
        <v>44566</v>
      </c>
      <c r="G310" s="31" t="s">
        <v>252</v>
      </c>
      <c r="H310" s="31" t="s">
        <v>211</v>
      </c>
      <c r="I310" s="31" t="s">
        <v>246</v>
      </c>
      <c r="J310" s="31">
        <v>-92</v>
      </c>
      <c r="K310" s="31">
        <v>8740</v>
      </c>
    </row>
    <row r="311" spans="1:11" x14ac:dyDescent="0.15">
      <c r="A311" s="31" t="s">
        <v>249</v>
      </c>
      <c r="B311" s="31" t="s">
        <v>47</v>
      </c>
      <c r="C311" s="31" t="s">
        <v>107</v>
      </c>
      <c r="D311" s="31" t="s">
        <v>68</v>
      </c>
      <c r="E311" s="31" t="s">
        <v>42</v>
      </c>
      <c r="F311" s="34">
        <v>44567</v>
      </c>
      <c r="G311" s="31" t="s">
        <v>250</v>
      </c>
      <c r="H311" s="31" t="s">
        <v>211</v>
      </c>
      <c r="I311" s="31" t="s">
        <v>246</v>
      </c>
      <c r="J311" s="31">
        <v>92</v>
      </c>
      <c r="K311" s="31">
        <v>-8740</v>
      </c>
    </row>
    <row r="312" spans="1:11" x14ac:dyDescent="0.15">
      <c r="A312" s="31" t="s">
        <v>249</v>
      </c>
      <c r="B312" s="31" t="s">
        <v>47</v>
      </c>
      <c r="C312" s="31" t="s">
        <v>107</v>
      </c>
      <c r="D312" s="31" t="s">
        <v>68</v>
      </c>
      <c r="E312" s="31" t="s">
        <v>42</v>
      </c>
      <c r="F312" s="34">
        <v>44567</v>
      </c>
      <c r="G312" s="31" t="s">
        <v>252</v>
      </c>
      <c r="H312" s="31" t="s">
        <v>211</v>
      </c>
      <c r="I312" s="31" t="s">
        <v>246</v>
      </c>
      <c r="J312" s="31">
        <v>-84</v>
      </c>
      <c r="K312" s="31">
        <v>7392</v>
      </c>
    </row>
    <row r="313" spans="1:11" x14ac:dyDescent="0.15">
      <c r="A313" s="31" t="s">
        <v>249</v>
      </c>
      <c r="B313" s="31" t="s">
        <v>47</v>
      </c>
      <c r="C313" s="31" t="s">
        <v>107</v>
      </c>
      <c r="D313" s="31" t="s">
        <v>68</v>
      </c>
      <c r="E313" s="31" t="s">
        <v>42</v>
      </c>
      <c r="F313" s="34">
        <v>44568</v>
      </c>
      <c r="G313" s="31" t="s">
        <v>250</v>
      </c>
      <c r="H313" s="31" t="s">
        <v>211</v>
      </c>
      <c r="I313" s="31" t="s">
        <v>246</v>
      </c>
      <c r="J313" s="31">
        <v>84</v>
      </c>
      <c r="K313" s="31">
        <v>-7392</v>
      </c>
    </row>
    <row r="314" spans="1:11" x14ac:dyDescent="0.15">
      <c r="A314" s="31" t="s">
        <v>249</v>
      </c>
      <c r="B314" s="31" t="s">
        <v>47</v>
      </c>
      <c r="C314" s="31" t="s">
        <v>107</v>
      </c>
      <c r="D314" s="31" t="s">
        <v>68</v>
      </c>
      <c r="E314" s="31" t="s">
        <v>42</v>
      </c>
      <c r="F314" s="34">
        <v>44568</v>
      </c>
      <c r="G314" s="31" t="s">
        <v>252</v>
      </c>
      <c r="H314" s="31" t="s">
        <v>211</v>
      </c>
      <c r="I314" s="31" t="s">
        <v>493</v>
      </c>
      <c r="J314" s="31">
        <v>-100</v>
      </c>
      <c r="K314" s="31">
        <v>8800</v>
      </c>
    </row>
    <row r="315" spans="1:11" x14ac:dyDescent="0.15">
      <c r="A315" s="31" t="s">
        <v>249</v>
      </c>
      <c r="B315" s="31" t="s">
        <v>47</v>
      </c>
      <c r="C315" s="31" t="s">
        <v>107</v>
      </c>
      <c r="D315" s="31" t="s">
        <v>68</v>
      </c>
      <c r="E315" s="31" t="s">
        <v>42</v>
      </c>
      <c r="F315" s="34">
        <v>44571</v>
      </c>
      <c r="G315" s="31" t="s">
        <v>250</v>
      </c>
      <c r="H315" s="31" t="s">
        <v>211</v>
      </c>
      <c r="I315" s="31" t="s">
        <v>493</v>
      </c>
      <c r="J315" s="31">
        <v>100</v>
      </c>
      <c r="K315" s="31">
        <v>-8800</v>
      </c>
    </row>
    <row r="316" spans="1:11" x14ac:dyDescent="0.15">
      <c r="A316" s="31" t="s">
        <v>249</v>
      </c>
      <c r="B316" s="31" t="s">
        <v>47</v>
      </c>
      <c r="C316" s="31" t="s">
        <v>107</v>
      </c>
      <c r="D316" s="31" t="s">
        <v>68</v>
      </c>
      <c r="E316" s="31" t="s">
        <v>42</v>
      </c>
      <c r="F316" s="34">
        <v>44571</v>
      </c>
      <c r="G316" s="31" t="s">
        <v>252</v>
      </c>
      <c r="H316" s="31" t="s">
        <v>211</v>
      </c>
      <c r="I316" s="31" t="s">
        <v>493</v>
      </c>
      <c r="J316" s="31">
        <v>-95</v>
      </c>
      <c r="K316" s="31">
        <v>8265</v>
      </c>
    </row>
    <row r="317" spans="1:11" x14ac:dyDescent="0.15">
      <c r="A317" s="31" t="s">
        <v>249</v>
      </c>
      <c r="B317" s="31" t="s">
        <v>47</v>
      </c>
      <c r="C317" s="31" t="s">
        <v>107</v>
      </c>
      <c r="D317" s="31" t="s">
        <v>68</v>
      </c>
      <c r="E317" s="31" t="s">
        <v>24</v>
      </c>
      <c r="F317" s="34">
        <v>44564</v>
      </c>
      <c r="G317" s="31" t="s">
        <v>250</v>
      </c>
      <c r="H317" s="31" t="s">
        <v>211</v>
      </c>
      <c r="I317" s="31" t="s">
        <v>254</v>
      </c>
      <c r="J317" s="31">
        <v>1112</v>
      </c>
      <c r="K317" s="31">
        <v>-6672</v>
      </c>
    </row>
    <row r="318" spans="1:11" x14ac:dyDescent="0.15">
      <c r="A318" s="31" t="s">
        <v>249</v>
      </c>
      <c r="B318" s="31" t="s">
        <v>47</v>
      </c>
      <c r="C318" s="31" t="s">
        <v>107</v>
      </c>
      <c r="D318" s="31" t="s">
        <v>68</v>
      </c>
      <c r="E318" s="31" t="s">
        <v>24</v>
      </c>
      <c r="F318" s="34">
        <v>44564</v>
      </c>
      <c r="G318" s="31" t="s">
        <v>252</v>
      </c>
      <c r="H318" s="31" t="s">
        <v>211</v>
      </c>
      <c r="I318" s="31" t="s">
        <v>254</v>
      </c>
      <c r="J318" s="31">
        <v>-552</v>
      </c>
      <c r="K318" s="31">
        <v>3312</v>
      </c>
    </row>
    <row r="319" spans="1:11" x14ac:dyDescent="0.15">
      <c r="A319" s="31" t="s">
        <v>249</v>
      </c>
      <c r="B319" s="31" t="s">
        <v>47</v>
      </c>
      <c r="C319" s="31" t="s">
        <v>107</v>
      </c>
      <c r="D319" s="31" t="s">
        <v>68</v>
      </c>
      <c r="E319" s="31" t="s">
        <v>24</v>
      </c>
      <c r="F319" s="34">
        <v>44565</v>
      </c>
      <c r="G319" s="31" t="s">
        <v>250</v>
      </c>
      <c r="H319" s="31" t="s">
        <v>211</v>
      </c>
      <c r="I319" s="31" t="s">
        <v>254</v>
      </c>
      <c r="J319" s="31">
        <v>552</v>
      </c>
      <c r="K319" s="31">
        <v>-3312</v>
      </c>
    </row>
    <row r="320" spans="1:11" x14ac:dyDescent="0.15">
      <c r="A320" s="31" t="s">
        <v>249</v>
      </c>
      <c r="B320" s="31" t="s">
        <v>47</v>
      </c>
      <c r="C320" s="31" t="s">
        <v>107</v>
      </c>
      <c r="D320" s="31" t="s">
        <v>68</v>
      </c>
      <c r="E320" s="31" t="s">
        <v>41</v>
      </c>
      <c r="F320" s="34">
        <v>44567</v>
      </c>
      <c r="G320" s="31" t="s">
        <v>252</v>
      </c>
      <c r="H320" s="31" t="s">
        <v>211</v>
      </c>
      <c r="I320" s="31" t="s">
        <v>496</v>
      </c>
      <c r="J320" s="31">
        <v>-307</v>
      </c>
      <c r="K320" s="31">
        <v>33156</v>
      </c>
    </row>
    <row r="321" spans="1:13" x14ac:dyDescent="0.15">
      <c r="A321" s="31" t="s">
        <v>249</v>
      </c>
      <c r="B321" s="31" t="s">
        <v>47</v>
      </c>
      <c r="C321" s="31" t="s">
        <v>107</v>
      </c>
      <c r="D321" s="31" t="s">
        <v>68</v>
      </c>
      <c r="E321" s="31" t="s">
        <v>41</v>
      </c>
      <c r="F321" s="34">
        <v>44568</v>
      </c>
      <c r="G321" s="31" t="s">
        <v>250</v>
      </c>
      <c r="H321" s="31" t="s">
        <v>211</v>
      </c>
      <c r="I321" s="31" t="s">
        <v>496</v>
      </c>
      <c r="J321" s="31">
        <v>307</v>
      </c>
      <c r="K321" s="31">
        <v>-33156</v>
      </c>
    </row>
    <row r="322" spans="1:13" x14ac:dyDescent="0.15">
      <c r="A322" s="31" t="s">
        <v>249</v>
      </c>
      <c r="B322" s="31" t="s">
        <v>47</v>
      </c>
      <c r="C322" s="31" t="s">
        <v>107</v>
      </c>
      <c r="D322" s="31" t="s">
        <v>68</v>
      </c>
      <c r="E322" s="31" t="s">
        <v>41</v>
      </c>
      <c r="F322" s="34">
        <v>44568</v>
      </c>
      <c r="G322" s="31" t="s">
        <v>252</v>
      </c>
      <c r="H322" s="31" t="s">
        <v>211</v>
      </c>
      <c r="I322" s="31" t="s">
        <v>497</v>
      </c>
      <c r="J322" s="31">
        <v>-382</v>
      </c>
      <c r="K322" s="31">
        <v>41256</v>
      </c>
    </row>
    <row r="323" spans="1:13" x14ac:dyDescent="0.15">
      <c r="A323" s="31" t="s">
        <v>249</v>
      </c>
      <c r="B323" s="31" t="s">
        <v>47</v>
      </c>
      <c r="C323" s="31" t="s">
        <v>107</v>
      </c>
      <c r="D323" s="31" t="s">
        <v>68</v>
      </c>
      <c r="E323" s="31" t="s">
        <v>41</v>
      </c>
      <c r="F323" s="34">
        <v>44571</v>
      </c>
      <c r="G323" s="31" t="s">
        <v>250</v>
      </c>
      <c r="H323" s="31" t="s">
        <v>211</v>
      </c>
      <c r="I323" s="31" t="s">
        <v>497</v>
      </c>
      <c r="J323" s="31">
        <v>382</v>
      </c>
      <c r="K323" s="31">
        <v>-41256</v>
      </c>
    </row>
    <row r="324" spans="1:13" x14ac:dyDescent="0.15">
      <c r="A324" s="31" t="s">
        <v>249</v>
      </c>
      <c r="B324" s="31" t="s">
        <v>47</v>
      </c>
      <c r="C324" s="31" t="s">
        <v>107</v>
      </c>
      <c r="D324" s="31" t="s">
        <v>68</v>
      </c>
      <c r="E324" s="31" t="s">
        <v>41</v>
      </c>
      <c r="F324" s="34">
        <v>44571</v>
      </c>
      <c r="G324" s="31" t="s">
        <v>252</v>
      </c>
      <c r="H324" s="31" t="s">
        <v>211</v>
      </c>
      <c r="I324" s="31" t="s">
        <v>494</v>
      </c>
      <c r="J324" s="31">
        <v>-400</v>
      </c>
      <c r="K324" s="31">
        <v>42400</v>
      </c>
    </row>
    <row r="325" spans="1:13" x14ac:dyDescent="0.15">
      <c r="A325" s="31" t="s">
        <v>249</v>
      </c>
      <c r="B325" s="31" t="s">
        <v>47</v>
      </c>
      <c r="C325" s="31" t="s">
        <v>83</v>
      </c>
      <c r="L325" s="31">
        <v>34093</v>
      </c>
    </row>
    <row r="326" spans="1:13" x14ac:dyDescent="0.15">
      <c r="A326" s="31" t="s">
        <v>249</v>
      </c>
      <c r="B326" s="31" t="s">
        <v>255</v>
      </c>
      <c r="C326" s="31" t="s">
        <v>256</v>
      </c>
    </row>
    <row r="327" spans="1:13" x14ac:dyDescent="0.15">
      <c r="A327" s="31" t="s">
        <v>257</v>
      </c>
      <c r="B327" s="31" t="s">
        <v>44</v>
      </c>
      <c r="C327" s="31" t="s">
        <v>135</v>
      </c>
      <c r="D327" s="31" t="s">
        <v>258</v>
      </c>
      <c r="E327" s="31" t="s">
        <v>96</v>
      </c>
      <c r="F327" s="31" t="s">
        <v>259</v>
      </c>
      <c r="G327" s="31" t="s">
        <v>152</v>
      </c>
      <c r="H327" s="31" t="s">
        <v>245</v>
      </c>
      <c r="I327" s="31" t="s">
        <v>260</v>
      </c>
      <c r="J327" s="31" t="s">
        <v>261</v>
      </c>
      <c r="K327" s="31" t="s">
        <v>244</v>
      </c>
      <c r="L327" s="31" t="s">
        <v>262</v>
      </c>
      <c r="M327" s="31" t="s">
        <v>106</v>
      </c>
    </row>
    <row r="328" spans="1:13" x14ac:dyDescent="0.15">
      <c r="A328" s="31" t="s">
        <v>257</v>
      </c>
      <c r="B328" s="31" t="s">
        <v>47</v>
      </c>
      <c r="C328" s="31" t="s">
        <v>68</v>
      </c>
      <c r="D328" s="34">
        <v>44561</v>
      </c>
      <c r="E328" s="31" t="s">
        <v>42</v>
      </c>
      <c r="F328" s="34">
        <v>44561</v>
      </c>
      <c r="G328" s="31">
        <v>-100</v>
      </c>
      <c r="H328" s="31">
        <v>9900</v>
      </c>
      <c r="I328" s="31">
        <v>3.36</v>
      </c>
      <c r="J328" s="31">
        <v>0.92</v>
      </c>
      <c r="K328" s="31">
        <v>1.68</v>
      </c>
      <c r="L328" s="31">
        <v>0.46</v>
      </c>
      <c r="M328" s="31" t="s">
        <v>240</v>
      </c>
    </row>
    <row r="329" spans="1:13" x14ac:dyDescent="0.15">
      <c r="A329" s="31" t="s">
        <v>257</v>
      </c>
      <c r="B329" s="31" t="s">
        <v>47</v>
      </c>
      <c r="C329" s="31" t="s">
        <v>68</v>
      </c>
      <c r="D329" s="34">
        <v>44561</v>
      </c>
      <c r="E329" s="31" t="s">
        <v>24</v>
      </c>
      <c r="F329" s="34">
        <v>44561</v>
      </c>
      <c r="G329" s="31">
        <v>-1112</v>
      </c>
      <c r="H329" s="31">
        <v>6672</v>
      </c>
      <c r="I329" s="31">
        <v>40.520000000000003</v>
      </c>
      <c r="J329" s="31">
        <v>7.51</v>
      </c>
      <c r="K329" s="31">
        <v>20.260000000000002</v>
      </c>
      <c r="L329" s="31">
        <v>3.76</v>
      </c>
      <c r="M329" s="31" t="s">
        <v>240</v>
      </c>
    </row>
    <row r="330" spans="1:13" x14ac:dyDescent="0.15">
      <c r="A330" s="31" t="s">
        <v>257</v>
      </c>
      <c r="B330" s="31" t="s">
        <v>47</v>
      </c>
      <c r="C330" s="31" t="s">
        <v>68</v>
      </c>
      <c r="D330" s="34">
        <v>44562</v>
      </c>
      <c r="E330" s="31" t="s">
        <v>42</v>
      </c>
      <c r="F330" s="34">
        <v>44561</v>
      </c>
      <c r="G330" s="31">
        <v>-100</v>
      </c>
      <c r="H330" s="31">
        <v>9900</v>
      </c>
      <c r="I330" s="31">
        <v>3.36</v>
      </c>
      <c r="J330" s="31">
        <v>0.92</v>
      </c>
      <c r="K330" s="31">
        <v>1.68</v>
      </c>
      <c r="L330" s="31">
        <v>0.46</v>
      </c>
      <c r="M330" s="31" t="s">
        <v>240</v>
      </c>
    </row>
    <row r="331" spans="1:13" x14ac:dyDescent="0.15">
      <c r="A331" s="31" t="s">
        <v>257</v>
      </c>
      <c r="B331" s="31" t="s">
        <v>47</v>
      </c>
      <c r="C331" s="31" t="s">
        <v>68</v>
      </c>
      <c r="D331" s="34">
        <v>44562</v>
      </c>
      <c r="E331" s="31" t="s">
        <v>24</v>
      </c>
      <c r="F331" s="34">
        <v>44561</v>
      </c>
      <c r="G331" s="31">
        <v>-1112</v>
      </c>
      <c r="H331" s="31">
        <v>6672</v>
      </c>
      <c r="I331" s="31">
        <v>40.520000000000003</v>
      </c>
      <c r="J331" s="31">
        <v>7.51</v>
      </c>
      <c r="K331" s="31">
        <v>20.260000000000002</v>
      </c>
      <c r="L331" s="31">
        <v>3.76</v>
      </c>
      <c r="M331" s="31" t="s">
        <v>240</v>
      </c>
    </row>
    <row r="332" spans="1:13" x14ac:dyDescent="0.15">
      <c r="A332" s="31" t="s">
        <v>257</v>
      </c>
      <c r="B332" s="31" t="s">
        <v>47</v>
      </c>
      <c r="C332" s="31" t="s">
        <v>68</v>
      </c>
      <c r="D332" s="34">
        <v>44563</v>
      </c>
      <c r="E332" s="31" t="s">
        <v>42</v>
      </c>
      <c r="F332" s="34">
        <v>44561</v>
      </c>
      <c r="G332" s="31">
        <v>-100</v>
      </c>
      <c r="H332" s="31">
        <v>9900</v>
      </c>
      <c r="I332" s="31">
        <v>3.36</v>
      </c>
      <c r="J332" s="31">
        <v>0.92</v>
      </c>
      <c r="K332" s="31">
        <v>1.68</v>
      </c>
      <c r="L332" s="31">
        <v>0.46</v>
      </c>
      <c r="M332" s="31" t="s">
        <v>240</v>
      </c>
    </row>
    <row r="333" spans="1:13" x14ac:dyDescent="0.15">
      <c r="A333" s="31" t="s">
        <v>257</v>
      </c>
      <c r="B333" s="31" t="s">
        <v>47</v>
      </c>
      <c r="C333" s="31" t="s">
        <v>68</v>
      </c>
      <c r="D333" s="34">
        <v>44563</v>
      </c>
      <c r="E333" s="31" t="s">
        <v>24</v>
      </c>
      <c r="F333" s="34">
        <v>44561</v>
      </c>
      <c r="G333" s="31">
        <v>-1112</v>
      </c>
      <c r="H333" s="31">
        <v>6672</v>
      </c>
      <c r="I333" s="31">
        <v>40.520000000000003</v>
      </c>
      <c r="J333" s="31">
        <v>7.51</v>
      </c>
      <c r="K333" s="31">
        <v>20.260000000000002</v>
      </c>
      <c r="L333" s="31">
        <v>3.76</v>
      </c>
      <c r="M333" s="31" t="s">
        <v>240</v>
      </c>
    </row>
    <row r="334" spans="1:13" x14ac:dyDescent="0.15">
      <c r="A334" s="31" t="s">
        <v>257</v>
      </c>
      <c r="B334" s="31" t="s">
        <v>47</v>
      </c>
      <c r="C334" s="31" t="s">
        <v>68</v>
      </c>
      <c r="D334" s="34">
        <v>44564</v>
      </c>
      <c r="E334" s="31" t="s">
        <v>24</v>
      </c>
      <c r="F334" s="34">
        <v>44564</v>
      </c>
      <c r="G334" s="31">
        <v>-552</v>
      </c>
      <c r="H334" s="31">
        <v>3312</v>
      </c>
      <c r="I334" s="31">
        <v>27.89</v>
      </c>
      <c r="J334" s="31">
        <v>2.57</v>
      </c>
      <c r="K334" s="31">
        <v>13.95</v>
      </c>
      <c r="L334" s="31">
        <v>1.29</v>
      </c>
      <c r="M334" s="31" t="s">
        <v>240</v>
      </c>
    </row>
    <row r="335" spans="1:13" x14ac:dyDescent="0.15">
      <c r="A335" s="31" t="s">
        <v>257</v>
      </c>
      <c r="B335" s="31" t="s">
        <v>47</v>
      </c>
      <c r="C335" s="31" t="s">
        <v>68</v>
      </c>
      <c r="D335" s="34">
        <v>44565</v>
      </c>
      <c r="E335" s="31" t="s">
        <v>42</v>
      </c>
      <c r="F335" s="34">
        <v>44565</v>
      </c>
      <c r="G335" s="31">
        <v>-90</v>
      </c>
      <c r="H335" s="31">
        <v>8910</v>
      </c>
      <c r="I335" s="31">
        <v>3.1</v>
      </c>
      <c r="J335" s="31">
        <v>0.77</v>
      </c>
      <c r="K335" s="31">
        <v>1.55</v>
      </c>
      <c r="L335" s="31">
        <v>0.39</v>
      </c>
      <c r="M335" s="31" t="s">
        <v>240</v>
      </c>
    </row>
    <row r="336" spans="1:13" x14ac:dyDescent="0.15">
      <c r="A336" s="31" t="s">
        <v>257</v>
      </c>
      <c r="B336" s="31" t="s">
        <v>47</v>
      </c>
      <c r="C336" s="31" t="s">
        <v>68</v>
      </c>
      <c r="D336" s="34">
        <v>44566</v>
      </c>
      <c r="E336" s="31" t="s">
        <v>42</v>
      </c>
      <c r="F336" s="34">
        <v>44566</v>
      </c>
      <c r="G336" s="31">
        <v>-92</v>
      </c>
      <c r="H336" s="31">
        <v>8740</v>
      </c>
      <c r="I336" s="31">
        <v>3.1</v>
      </c>
      <c r="J336" s="31">
        <v>0.75</v>
      </c>
      <c r="K336" s="31">
        <v>1.55</v>
      </c>
      <c r="L336" s="31">
        <v>0.38</v>
      </c>
      <c r="M336" s="31" t="s">
        <v>240</v>
      </c>
    </row>
    <row r="337" spans="1:13" x14ac:dyDescent="0.15">
      <c r="A337" s="31" t="s">
        <v>257</v>
      </c>
      <c r="B337" s="31" t="s">
        <v>47</v>
      </c>
      <c r="C337" s="31" t="s">
        <v>68</v>
      </c>
      <c r="D337" s="34">
        <v>44567</v>
      </c>
      <c r="E337" s="31" t="s">
        <v>42</v>
      </c>
      <c r="F337" s="34">
        <v>44567</v>
      </c>
      <c r="G337" s="31">
        <v>-84</v>
      </c>
      <c r="H337" s="31">
        <v>7392</v>
      </c>
      <c r="I337" s="31">
        <v>3.1</v>
      </c>
      <c r="J337" s="31">
        <v>0.64</v>
      </c>
      <c r="K337" s="31">
        <v>1.55</v>
      </c>
      <c r="L337" s="31">
        <v>0.32</v>
      </c>
      <c r="M337" s="31" t="s">
        <v>240</v>
      </c>
    </row>
    <row r="338" spans="1:13" x14ac:dyDescent="0.15">
      <c r="A338" s="31" t="s">
        <v>257</v>
      </c>
      <c r="B338" s="31" t="s">
        <v>47</v>
      </c>
      <c r="C338" s="31" t="s">
        <v>68</v>
      </c>
      <c r="D338" s="34">
        <v>44567</v>
      </c>
      <c r="E338" s="31" t="s">
        <v>41</v>
      </c>
      <c r="F338" s="34">
        <v>44567</v>
      </c>
      <c r="G338" s="31">
        <v>-307</v>
      </c>
      <c r="H338" s="31">
        <v>33156</v>
      </c>
      <c r="I338" s="31">
        <v>0.66</v>
      </c>
      <c r="J338" s="31">
        <v>0.61</v>
      </c>
      <c r="K338" s="31">
        <v>0.33</v>
      </c>
      <c r="L338" s="31">
        <v>0.31</v>
      </c>
      <c r="M338" s="31" t="s">
        <v>240</v>
      </c>
    </row>
    <row r="339" spans="1:13" x14ac:dyDescent="0.15">
      <c r="A339" s="31" t="s">
        <v>257</v>
      </c>
      <c r="B339" s="31" t="s">
        <v>47</v>
      </c>
      <c r="C339" s="31" t="s">
        <v>68</v>
      </c>
      <c r="D339" s="34">
        <v>44568</v>
      </c>
      <c r="E339" s="31" t="s">
        <v>42</v>
      </c>
      <c r="F339" s="34">
        <v>44568</v>
      </c>
      <c r="G339" s="31">
        <v>-100</v>
      </c>
      <c r="H339" s="31">
        <v>8800</v>
      </c>
      <c r="I339" s="31">
        <v>3.1</v>
      </c>
      <c r="J339" s="31">
        <v>0.76</v>
      </c>
      <c r="K339" s="31">
        <v>1.55</v>
      </c>
      <c r="L339" s="31">
        <v>0.38</v>
      </c>
      <c r="M339" s="31" t="s">
        <v>240</v>
      </c>
    </row>
    <row r="340" spans="1:13" x14ac:dyDescent="0.15">
      <c r="A340" s="31" t="s">
        <v>257</v>
      </c>
      <c r="B340" s="31" t="s">
        <v>47</v>
      </c>
      <c r="C340" s="31" t="s">
        <v>68</v>
      </c>
      <c r="D340" s="34">
        <v>44568</v>
      </c>
      <c r="E340" s="31" t="s">
        <v>41</v>
      </c>
      <c r="F340" s="34">
        <v>44568</v>
      </c>
      <c r="G340" s="31">
        <v>-382</v>
      </c>
      <c r="H340" s="31">
        <v>41256</v>
      </c>
      <c r="I340" s="31">
        <v>0.66</v>
      </c>
      <c r="J340" s="31">
        <v>0.76</v>
      </c>
      <c r="K340" s="31">
        <v>0.33</v>
      </c>
      <c r="L340" s="31">
        <v>0.38</v>
      </c>
      <c r="M340" s="31" t="s">
        <v>240</v>
      </c>
    </row>
    <row r="341" spans="1:13" x14ac:dyDescent="0.15">
      <c r="A341" s="31" t="s">
        <v>257</v>
      </c>
      <c r="B341" s="31" t="s">
        <v>47</v>
      </c>
      <c r="C341" s="31" t="s">
        <v>68</v>
      </c>
      <c r="D341" s="34">
        <v>44569</v>
      </c>
      <c r="E341" s="31" t="s">
        <v>42</v>
      </c>
      <c r="F341" s="34">
        <v>44568</v>
      </c>
      <c r="G341" s="31">
        <v>-100</v>
      </c>
      <c r="H341" s="31">
        <v>8800</v>
      </c>
      <c r="I341" s="31">
        <v>3.1</v>
      </c>
      <c r="J341" s="31">
        <v>0.76</v>
      </c>
      <c r="K341" s="31">
        <v>1.55</v>
      </c>
      <c r="L341" s="31">
        <v>0.38</v>
      </c>
      <c r="M341" s="31" t="s">
        <v>240</v>
      </c>
    </row>
    <row r="342" spans="1:13" x14ac:dyDescent="0.15">
      <c r="A342" s="31" t="s">
        <v>257</v>
      </c>
      <c r="B342" s="31" t="s">
        <v>47</v>
      </c>
      <c r="C342" s="31" t="s">
        <v>68</v>
      </c>
      <c r="D342" s="34">
        <v>44569</v>
      </c>
      <c r="E342" s="31" t="s">
        <v>41</v>
      </c>
      <c r="F342" s="34">
        <v>44568</v>
      </c>
      <c r="G342" s="31">
        <v>-382</v>
      </c>
      <c r="H342" s="31">
        <v>41256</v>
      </c>
      <c r="I342" s="31">
        <v>0.66</v>
      </c>
      <c r="J342" s="31">
        <v>0.76</v>
      </c>
      <c r="K342" s="31">
        <v>0.33</v>
      </c>
      <c r="L342" s="31">
        <v>0.38</v>
      </c>
      <c r="M342" s="31" t="s">
        <v>240</v>
      </c>
    </row>
    <row r="343" spans="1:13" x14ac:dyDescent="0.15">
      <c r="A343" s="31" t="s">
        <v>257</v>
      </c>
      <c r="B343" s="31" t="s">
        <v>47</v>
      </c>
      <c r="C343" s="31" t="s">
        <v>68</v>
      </c>
      <c r="D343" s="34">
        <v>44570</v>
      </c>
      <c r="E343" s="31" t="s">
        <v>42</v>
      </c>
      <c r="F343" s="34">
        <v>44568</v>
      </c>
      <c r="G343" s="31">
        <v>-100</v>
      </c>
      <c r="H343" s="31">
        <v>8800</v>
      </c>
      <c r="I343" s="31">
        <v>3.1</v>
      </c>
      <c r="J343" s="31">
        <v>0.76</v>
      </c>
      <c r="K343" s="31">
        <v>1.55</v>
      </c>
      <c r="L343" s="31">
        <v>0.38</v>
      </c>
      <c r="M343" s="31" t="s">
        <v>240</v>
      </c>
    </row>
    <row r="344" spans="1:13" x14ac:dyDescent="0.15">
      <c r="A344" s="31" t="s">
        <v>257</v>
      </c>
      <c r="B344" s="31" t="s">
        <v>47</v>
      </c>
      <c r="C344" s="31" t="s">
        <v>68</v>
      </c>
      <c r="D344" s="34">
        <v>44570</v>
      </c>
      <c r="E344" s="31" t="s">
        <v>41</v>
      </c>
      <c r="F344" s="34">
        <v>44568</v>
      </c>
      <c r="G344" s="31">
        <v>-382</v>
      </c>
      <c r="H344" s="31">
        <v>41256</v>
      </c>
      <c r="I344" s="31">
        <v>0.66</v>
      </c>
      <c r="J344" s="31">
        <v>0.76</v>
      </c>
      <c r="K344" s="31">
        <v>0.33</v>
      </c>
      <c r="L344" s="31">
        <v>0.38</v>
      </c>
      <c r="M344" s="31" t="s">
        <v>240</v>
      </c>
    </row>
    <row r="345" spans="1:13" x14ac:dyDescent="0.15">
      <c r="A345" s="31" t="s">
        <v>257</v>
      </c>
      <c r="B345" s="31" t="s">
        <v>47</v>
      </c>
      <c r="C345" s="31" t="s">
        <v>83</v>
      </c>
      <c r="J345" s="31">
        <v>35.19</v>
      </c>
      <c r="L345" s="31">
        <v>17.63</v>
      </c>
    </row>
    <row r="346" spans="1:13" x14ac:dyDescent="0.15">
      <c r="A346" s="31" t="s">
        <v>263</v>
      </c>
      <c r="B346" s="31" t="s">
        <v>44</v>
      </c>
      <c r="C346" s="31" t="s">
        <v>95</v>
      </c>
      <c r="D346" s="31" t="s">
        <v>96</v>
      </c>
      <c r="E346" s="31" t="s">
        <v>161</v>
      </c>
      <c r="F346" s="31" t="s">
        <v>264</v>
      </c>
      <c r="G346" s="31" t="s">
        <v>265</v>
      </c>
      <c r="H346" s="31" t="s">
        <v>266</v>
      </c>
      <c r="I346" s="31" t="s">
        <v>267</v>
      </c>
      <c r="J346" s="31" t="s">
        <v>268</v>
      </c>
      <c r="K346" s="31" t="s">
        <v>106</v>
      </c>
    </row>
    <row r="347" spans="1:13" x14ac:dyDescent="0.15">
      <c r="A347" s="31" t="s">
        <v>263</v>
      </c>
      <c r="B347" s="31" t="s">
        <v>47</v>
      </c>
      <c r="C347" s="31" t="s">
        <v>107</v>
      </c>
      <c r="D347" s="31" t="s">
        <v>1</v>
      </c>
      <c r="E347" s="31" t="s">
        <v>166</v>
      </c>
      <c r="F347" s="31">
        <v>265598</v>
      </c>
      <c r="G347" s="31" t="s">
        <v>269</v>
      </c>
      <c r="H347" s="31" t="s">
        <v>270</v>
      </c>
      <c r="I347" s="31">
        <v>1</v>
      </c>
      <c r="J347" s="31" t="s">
        <v>271</v>
      </c>
    </row>
    <row r="348" spans="1:13" x14ac:dyDescent="0.15">
      <c r="A348" s="31" t="s">
        <v>263</v>
      </c>
      <c r="B348" s="31" t="s">
        <v>47</v>
      </c>
      <c r="C348" s="31" t="s">
        <v>107</v>
      </c>
      <c r="D348" s="31" t="s">
        <v>12</v>
      </c>
      <c r="E348" s="31" t="s">
        <v>167</v>
      </c>
      <c r="F348" s="31">
        <v>4391</v>
      </c>
      <c r="G348" s="31" t="s">
        <v>272</v>
      </c>
      <c r="H348" s="31" t="s">
        <v>270</v>
      </c>
      <c r="I348" s="31">
        <v>1</v>
      </c>
      <c r="J348" s="31" t="s">
        <v>271</v>
      </c>
    </row>
    <row r="349" spans="1:13" x14ac:dyDescent="0.15">
      <c r="A349" s="31" t="s">
        <v>263</v>
      </c>
      <c r="B349" s="31" t="s">
        <v>47</v>
      </c>
      <c r="C349" s="31" t="s">
        <v>107</v>
      </c>
      <c r="D349" s="31" t="s">
        <v>2</v>
      </c>
      <c r="E349" s="31" t="s">
        <v>168</v>
      </c>
      <c r="F349" s="31">
        <v>3691937</v>
      </c>
      <c r="G349" s="31" t="s">
        <v>273</v>
      </c>
      <c r="H349" s="31" t="s">
        <v>270</v>
      </c>
      <c r="I349" s="31">
        <v>1</v>
      </c>
      <c r="J349" s="31" t="s">
        <v>271</v>
      </c>
    </row>
    <row r="350" spans="1:13" x14ac:dyDescent="0.15">
      <c r="A350" s="31" t="s">
        <v>263</v>
      </c>
      <c r="B350" s="31" t="s">
        <v>47</v>
      </c>
      <c r="C350" s="31" t="s">
        <v>107</v>
      </c>
      <c r="D350" s="31" t="s">
        <v>42</v>
      </c>
      <c r="E350" s="31" t="s">
        <v>169</v>
      </c>
      <c r="F350" s="31">
        <v>172522644</v>
      </c>
      <c r="G350" s="31" t="s">
        <v>274</v>
      </c>
      <c r="H350" s="31" t="s">
        <v>275</v>
      </c>
      <c r="I350" s="31">
        <v>1</v>
      </c>
      <c r="J350" s="31" t="s">
        <v>276</v>
      </c>
    </row>
    <row r="351" spans="1:13" x14ac:dyDescent="0.15">
      <c r="A351" s="31" t="s">
        <v>263</v>
      </c>
      <c r="B351" s="31" t="s">
        <v>47</v>
      </c>
      <c r="C351" s="31" t="s">
        <v>107</v>
      </c>
      <c r="D351" s="31" t="s">
        <v>10</v>
      </c>
      <c r="E351" s="31" t="s">
        <v>170</v>
      </c>
      <c r="F351" s="31">
        <v>166090175</v>
      </c>
      <c r="G351" s="31" t="s">
        <v>277</v>
      </c>
      <c r="H351" s="31" t="s">
        <v>278</v>
      </c>
      <c r="I351" s="31">
        <v>1</v>
      </c>
      <c r="J351" s="31" t="s">
        <v>279</v>
      </c>
    </row>
    <row r="352" spans="1:13" x14ac:dyDescent="0.15">
      <c r="A352" s="31" t="s">
        <v>263</v>
      </c>
      <c r="B352" s="31" t="s">
        <v>47</v>
      </c>
      <c r="C352" s="31" t="s">
        <v>107</v>
      </c>
      <c r="D352" s="31" t="s">
        <v>19</v>
      </c>
      <c r="E352" s="31" t="s">
        <v>171</v>
      </c>
      <c r="F352" s="31">
        <v>10098</v>
      </c>
      <c r="G352" s="31" t="s">
        <v>280</v>
      </c>
      <c r="H352" s="31" t="s">
        <v>278</v>
      </c>
      <c r="I352" s="31">
        <v>1</v>
      </c>
      <c r="J352" s="31" t="s">
        <v>271</v>
      </c>
    </row>
    <row r="353" spans="1:10" x14ac:dyDescent="0.15">
      <c r="A353" s="31" t="s">
        <v>263</v>
      </c>
      <c r="B353" s="31" t="s">
        <v>47</v>
      </c>
      <c r="C353" s="31" t="s">
        <v>107</v>
      </c>
      <c r="D353" s="31" t="s">
        <v>16</v>
      </c>
      <c r="E353" s="31" t="s">
        <v>172</v>
      </c>
      <c r="F353" s="31">
        <v>481691285</v>
      </c>
      <c r="G353" s="31" t="s">
        <v>281</v>
      </c>
      <c r="H353" s="31" t="s">
        <v>270</v>
      </c>
      <c r="I353" s="31">
        <v>1</v>
      </c>
      <c r="J353" s="31" t="s">
        <v>271</v>
      </c>
    </row>
    <row r="354" spans="1:10" x14ac:dyDescent="0.15">
      <c r="A354" s="31" t="s">
        <v>263</v>
      </c>
      <c r="B354" s="31" t="s">
        <v>47</v>
      </c>
      <c r="C354" s="31" t="s">
        <v>107</v>
      </c>
      <c r="D354" s="31" t="s">
        <v>18</v>
      </c>
      <c r="E354" s="31" t="s">
        <v>173</v>
      </c>
      <c r="F354" s="31">
        <v>44001820</v>
      </c>
      <c r="G354" s="31" t="s">
        <v>282</v>
      </c>
      <c r="H354" s="31" t="s">
        <v>278</v>
      </c>
      <c r="I354" s="31">
        <v>1</v>
      </c>
      <c r="J354" s="31" t="s">
        <v>271</v>
      </c>
    </row>
    <row r="355" spans="1:10" x14ac:dyDescent="0.15">
      <c r="A355" s="31" t="s">
        <v>263</v>
      </c>
      <c r="B355" s="31" t="s">
        <v>47</v>
      </c>
      <c r="C355" s="31" t="s">
        <v>107</v>
      </c>
      <c r="D355" s="31" t="s">
        <v>24</v>
      </c>
      <c r="E355" s="31" t="s">
        <v>174</v>
      </c>
      <c r="F355" s="31">
        <v>499901376</v>
      </c>
      <c r="G355" s="31" t="s">
        <v>283</v>
      </c>
      <c r="H355" s="31" t="s">
        <v>278</v>
      </c>
      <c r="I355" s="31">
        <v>1</v>
      </c>
      <c r="J355" s="31" t="s">
        <v>279</v>
      </c>
    </row>
    <row r="356" spans="1:10" x14ac:dyDescent="0.15">
      <c r="A356" s="31" t="s">
        <v>263</v>
      </c>
      <c r="B356" s="31" t="s">
        <v>47</v>
      </c>
      <c r="C356" s="31" t="s">
        <v>107</v>
      </c>
      <c r="D356" s="31" t="s">
        <v>14</v>
      </c>
      <c r="E356" s="31" t="s">
        <v>175</v>
      </c>
      <c r="F356" s="31">
        <v>6459</v>
      </c>
      <c r="G356" s="31" t="s">
        <v>284</v>
      </c>
      <c r="H356" s="31" t="s">
        <v>278</v>
      </c>
      <c r="I356" s="31">
        <v>1</v>
      </c>
      <c r="J356" s="31" t="s">
        <v>271</v>
      </c>
    </row>
    <row r="357" spans="1:10" x14ac:dyDescent="0.15">
      <c r="A357" s="31" t="s">
        <v>263</v>
      </c>
      <c r="B357" s="31" t="s">
        <v>47</v>
      </c>
      <c r="C357" s="31" t="s">
        <v>107</v>
      </c>
      <c r="D357" s="31" t="s">
        <v>5</v>
      </c>
      <c r="E357" s="31" t="s">
        <v>176</v>
      </c>
      <c r="F357" s="31">
        <v>107113386</v>
      </c>
      <c r="G357" s="31" t="s">
        <v>285</v>
      </c>
      <c r="H357" s="31" t="s">
        <v>270</v>
      </c>
      <c r="I357" s="31">
        <v>1</v>
      </c>
      <c r="J357" s="31" t="s">
        <v>271</v>
      </c>
    </row>
    <row r="358" spans="1:10" x14ac:dyDescent="0.15">
      <c r="A358" s="31" t="s">
        <v>263</v>
      </c>
      <c r="B358" s="31" t="s">
        <v>47</v>
      </c>
      <c r="C358" s="31" t="s">
        <v>107</v>
      </c>
      <c r="D358" s="31" t="s">
        <v>7</v>
      </c>
      <c r="E358" s="31" t="s">
        <v>177</v>
      </c>
      <c r="F358" s="31">
        <v>208813720</v>
      </c>
      <c r="G358" s="31" t="s">
        <v>286</v>
      </c>
      <c r="H358" s="31" t="s">
        <v>270</v>
      </c>
      <c r="I358" s="31">
        <v>1</v>
      </c>
      <c r="J358" s="31" t="s">
        <v>271</v>
      </c>
    </row>
    <row r="359" spans="1:10" x14ac:dyDescent="0.15">
      <c r="A359" s="31" t="s">
        <v>263</v>
      </c>
      <c r="B359" s="31" t="s">
        <v>47</v>
      </c>
      <c r="C359" s="31" t="s">
        <v>107</v>
      </c>
      <c r="D359" s="31" t="s">
        <v>22</v>
      </c>
      <c r="E359" s="31" t="s">
        <v>178</v>
      </c>
      <c r="F359" s="31">
        <v>312029611</v>
      </c>
      <c r="G359" s="31" t="s">
        <v>287</v>
      </c>
      <c r="H359" s="31" t="s">
        <v>270</v>
      </c>
      <c r="I359" s="31">
        <v>1</v>
      </c>
      <c r="J359" s="31" t="s">
        <v>279</v>
      </c>
    </row>
    <row r="360" spans="1:10" x14ac:dyDescent="0.15">
      <c r="A360" s="31" t="s">
        <v>263</v>
      </c>
      <c r="B360" s="31" t="s">
        <v>47</v>
      </c>
      <c r="C360" s="31" t="s">
        <v>107</v>
      </c>
      <c r="D360" s="31" t="s">
        <v>6</v>
      </c>
      <c r="E360" s="31" t="s">
        <v>179</v>
      </c>
      <c r="F360" s="31">
        <v>1520593</v>
      </c>
      <c r="G360" s="31" t="s">
        <v>288</v>
      </c>
      <c r="H360" s="31" t="s">
        <v>278</v>
      </c>
      <c r="I360" s="31">
        <v>1</v>
      </c>
      <c r="J360" s="31" t="s">
        <v>271</v>
      </c>
    </row>
    <row r="361" spans="1:10" x14ac:dyDescent="0.15">
      <c r="A361" s="31" t="s">
        <v>263</v>
      </c>
      <c r="B361" s="31" t="s">
        <v>47</v>
      </c>
      <c r="C361" s="31" t="s">
        <v>107</v>
      </c>
      <c r="D361" s="31" t="s">
        <v>40</v>
      </c>
      <c r="E361" s="31" t="s">
        <v>180</v>
      </c>
      <c r="F361" s="31">
        <v>45602025</v>
      </c>
      <c r="G361" s="31" t="s">
        <v>289</v>
      </c>
      <c r="H361" s="31" t="s">
        <v>270</v>
      </c>
      <c r="I361" s="31">
        <v>1</v>
      </c>
      <c r="J361" s="31" t="s">
        <v>271</v>
      </c>
    </row>
    <row r="362" spans="1:10" x14ac:dyDescent="0.15">
      <c r="A362" s="31" t="s">
        <v>263</v>
      </c>
      <c r="B362" s="31" t="s">
        <v>47</v>
      </c>
      <c r="C362" s="31" t="s">
        <v>107</v>
      </c>
      <c r="D362" s="31" t="s">
        <v>8</v>
      </c>
      <c r="E362" s="31" t="s">
        <v>181</v>
      </c>
      <c r="F362" s="31">
        <v>272093</v>
      </c>
      <c r="G362" s="31" t="s">
        <v>290</v>
      </c>
      <c r="H362" s="31" t="s">
        <v>270</v>
      </c>
      <c r="I362" s="31">
        <v>1</v>
      </c>
      <c r="J362" s="31" t="s">
        <v>271</v>
      </c>
    </row>
    <row r="363" spans="1:10" x14ac:dyDescent="0.15">
      <c r="A363" s="31" t="s">
        <v>263</v>
      </c>
      <c r="B363" s="31" t="s">
        <v>47</v>
      </c>
      <c r="C363" s="31" t="s">
        <v>107</v>
      </c>
      <c r="D363" s="31" t="s">
        <v>9</v>
      </c>
      <c r="E363" s="31" t="s">
        <v>182</v>
      </c>
      <c r="F363" s="31">
        <v>10291</v>
      </c>
      <c r="G363" s="31" t="s">
        <v>291</v>
      </c>
      <c r="H363" s="31" t="s">
        <v>278</v>
      </c>
      <c r="I363" s="31">
        <v>1</v>
      </c>
      <c r="J363" s="31" t="s">
        <v>271</v>
      </c>
    </row>
    <row r="364" spans="1:10" x14ac:dyDescent="0.15">
      <c r="A364" s="31" t="s">
        <v>263</v>
      </c>
      <c r="B364" s="31" t="s">
        <v>47</v>
      </c>
      <c r="C364" s="31" t="s">
        <v>107</v>
      </c>
      <c r="D364" s="31" t="s">
        <v>25</v>
      </c>
      <c r="E364" s="31" t="s">
        <v>183</v>
      </c>
      <c r="F364" s="31">
        <v>661513</v>
      </c>
      <c r="G364" s="31" t="s">
        <v>292</v>
      </c>
      <c r="H364" s="31" t="s">
        <v>278</v>
      </c>
      <c r="I364" s="31">
        <v>1</v>
      </c>
      <c r="J364" s="31" t="s">
        <v>279</v>
      </c>
    </row>
    <row r="365" spans="1:10" x14ac:dyDescent="0.15">
      <c r="A365" s="31" t="s">
        <v>263</v>
      </c>
      <c r="B365" s="31" t="s">
        <v>47</v>
      </c>
      <c r="C365" s="31" t="s">
        <v>107</v>
      </c>
      <c r="D365" s="31" t="s">
        <v>4</v>
      </c>
      <c r="E365" s="31" t="s">
        <v>184</v>
      </c>
      <c r="F365" s="31">
        <v>4815747</v>
      </c>
      <c r="G365" s="31" t="s">
        <v>293</v>
      </c>
      <c r="H365" s="31" t="s">
        <v>270</v>
      </c>
      <c r="I365" s="31">
        <v>1</v>
      </c>
      <c r="J365" s="31" t="s">
        <v>271</v>
      </c>
    </row>
    <row r="366" spans="1:10" x14ac:dyDescent="0.15">
      <c r="A366" s="31" t="s">
        <v>263</v>
      </c>
      <c r="B366" s="31" t="s">
        <v>47</v>
      </c>
      <c r="C366" s="31" t="s">
        <v>107</v>
      </c>
      <c r="D366" s="31" t="s">
        <v>3</v>
      </c>
      <c r="E366" s="31" t="s">
        <v>185</v>
      </c>
      <c r="F366" s="31">
        <v>110619459</v>
      </c>
      <c r="G366" s="31" t="s">
        <v>294</v>
      </c>
      <c r="H366" s="31" t="s">
        <v>270</v>
      </c>
      <c r="I366" s="31">
        <v>1</v>
      </c>
      <c r="J366" s="31" t="s">
        <v>271</v>
      </c>
    </row>
    <row r="367" spans="1:10" x14ac:dyDescent="0.15">
      <c r="A367" s="31" t="s">
        <v>263</v>
      </c>
      <c r="B367" s="31" t="s">
        <v>47</v>
      </c>
      <c r="C367" s="31" t="s">
        <v>107</v>
      </c>
      <c r="D367" s="31" t="s">
        <v>23</v>
      </c>
      <c r="E367" s="31" t="s">
        <v>186</v>
      </c>
      <c r="F367" s="31">
        <v>11031</v>
      </c>
      <c r="G367" s="31" t="s">
        <v>295</v>
      </c>
      <c r="H367" s="31" t="s">
        <v>278</v>
      </c>
      <c r="I367" s="31">
        <v>1</v>
      </c>
      <c r="J367" s="31" t="s">
        <v>271</v>
      </c>
    </row>
    <row r="368" spans="1:10" x14ac:dyDescent="0.15">
      <c r="A368" s="31" t="s">
        <v>263</v>
      </c>
      <c r="B368" s="31" t="s">
        <v>47</v>
      </c>
      <c r="C368" s="31" t="s">
        <v>107</v>
      </c>
      <c r="D368" s="31" t="s">
        <v>13</v>
      </c>
      <c r="E368" s="31" t="s">
        <v>187</v>
      </c>
      <c r="F368" s="31">
        <v>444857009</v>
      </c>
      <c r="G368" s="31" t="s">
        <v>296</v>
      </c>
      <c r="H368" s="31" t="s">
        <v>278</v>
      </c>
      <c r="I368" s="31">
        <v>1</v>
      </c>
      <c r="J368" s="31" t="s">
        <v>271</v>
      </c>
    </row>
    <row r="369" spans="1:13" x14ac:dyDescent="0.15">
      <c r="A369" s="31" t="s">
        <v>263</v>
      </c>
      <c r="B369" s="31" t="s">
        <v>47</v>
      </c>
      <c r="C369" s="31" t="s">
        <v>107</v>
      </c>
      <c r="D369" s="31" t="s">
        <v>20</v>
      </c>
      <c r="E369" s="31" t="s">
        <v>188</v>
      </c>
      <c r="F369" s="31">
        <v>11240</v>
      </c>
      <c r="G369" s="31" t="s">
        <v>297</v>
      </c>
      <c r="H369" s="31" t="s">
        <v>278</v>
      </c>
      <c r="I369" s="31">
        <v>1</v>
      </c>
      <c r="J369" s="31" t="s">
        <v>271</v>
      </c>
    </row>
    <row r="370" spans="1:13" x14ac:dyDescent="0.15">
      <c r="A370" s="31" t="s">
        <v>263</v>
      </c>
      <c r="B370" s="31" t="s">
        <v>47</v>
      </c>
      <c r="C370" s="31" t="s">
        <v>107</v>
      </c>
      <c r="D370" s="31" t="s">
        <v>39</v>
      </c>
      <c r="E370" s="31" t="s">
        <v>189</v>
      </c>
      <c r="F370" s="31">
        <v>199169591</v>
      </c>
      <c r="G370" s="31" t="s">
        <v>298</v>
      </c>
      <c r="H370" s="31" t="s">
        <v>270</v>
      </c>
      <c r="I370" s="31">
        <v>1</v>
      </c>
      <c r="J370" s="31" t="s">
        <v>271</v>
      </c>
    </row>
    <row r="371" spans="1:13" x14ac:dyDescent="0.15">
      <c r="A371" s="31" t="s">
        <v>263</v>
      </c>
      <c r="B371" s="31" t="s">
        <v>47</v>
      </c>
      <c r="C371" s="31" t="s">
        <v>107</v>
      </c>
      <c r="D371" s="31" t="s">
        <v>11</v>
      </c>
      <c r="E371" s="31" t="s">
        <v>190</v>
      </c>
      <c r="F371" s="31">
        <v>273544</v>
      </c>
      <c r="G371" s="31" t="s">
        <v>299</v>
      </c>
      <c r="H371" s="31" t="s">
        <v>270</v>
      </c>
      <c r="I371" s="31">
        <v>1</v>
      </c>
      <c r="J371" s="31" t="s">
        <v>271</v>
      </c>
    </row>
    <row r="372" spans="1:13" x14ac:dyDescent="0.15">
      <c r="A372" s="31" t="s">
        <v>263</v>
      </c>
      <c r="B372" s="31" t="s">
        <v>47</v>
      </c>
      <c r="C372" s="31" t="s">
        <v>107</v>
      </c>
      <c r="D372" s="31" t="s">
        <v>21</v>
      </c>
      <c r="E372" s="31" t="s">
        <v>191</v>
      </c>
      <c r="F372" s="31">
        <v>2009113</v>
      </c>
      <c r="G372" s="31" t="s">
        <v>300</v>
      </c>
      <c r="H372" s="31" t="s">
        <v>278</v>
      </c>
      <c r="I372" s="31">
        <v>1</v>
      </c>
      <c r="J372" s="31" t="s">
        <v>301</v>
      </c>
    </row>
    <row r="373" spans="1:13" x14ac:dyDescent="0.15">
      <c r="A373" s="31" t="s">
        <v>263</v>
      </c>
      <c r="B373" s="31" t="s">
        <v>47</v>
      </c>
      <c r="C373" s="31" t="s">
        <v>107</v>
      </c>
      <c r="D373" s="31" t="s">
        <v>15</v>
      </c>
      <c r="E373" s="31" t="s">
        <v>192</v>
      </c>
      <c r="F373" s="31">
        <v>76792991</v>
      </c>
      <c r="G373" s="31" t="s">
        <v>302</v>
      </c>
      <c r="H373" s="31" t="s">
        <v>270</v>
      </c>
      <c r="I373" s="31">
        <v>1</v>
      </c>
      <c r="J373" s="31" t="s">
        <v>271</v>
      </c>
    </row>
    <row r="374" spans="1:13" x14ac:dyDescent="0.15">
      <c r="A374" s="31" t="s">
        <v>263</v>
      </c>
      <c r="B374" s="31" t="s">
        <v>47</v>
      </c>
      <c r="C374" s="31" t="s">
        <v>107</v>
      </c>
      <c r="D374" s="31" t="s">
        <v>17</v>
      </c>
      <c r="E374" s="31" t="s">
        <v>193</v>
      </c>
      <c r="F374" s="31">
        <v>365207014</v>
      </c>
      <c r="G374" s="31" t="s">
        <v>303</v>
      </c>
      <c r="H374" s="31" t="s">
        <v>278</v>
      </c>
      <c r="I374" s="31">
        <v>1</v>
      </c>
      <c r="J374" s="31" t="s">
        <v>271</v>
      </c>
    </row>
    <row r="375" spans="1:13" x14ac:dyDescent="0.15">
      <c r="A375" s="31" t="s">
        <v>263</v>
      </c>
      <c r="B375" s="31" t="s">
        <v>47</v>
      </c>
      <c r="C375" s="31" t="s">
        <v>107</v>
      </c>
      <c r="D375" s="31" t="s">
        <v>41</v>
      </c>
      <c r="E375" s="31" t="s">
        <v>194</v>
      </c>
      <c r="F375" s="31">
        <v>45540828</v>
      </c>
      <c r="G375" s="31" t="s">
        <v>304</v>
      </c>
      <c r="H375" s="31" t="s">
        <v>275</v>
      </c>
      <c r="I375" s="31">
        <v>1</v>
      </c>
      <c r="J375" s="31" t="s">
        <v>276</v>
      </c>
    </row>
    <row r="376" spans="1:13" x14ac:dyDescent="0.15">
      <c r="A376" s="31" t="s">
        <v>263</v>
      </c>
      <c r="B376" s="31" t="s">
        <v>44</v>
      </c>
      <c r="C376" s="31" t="s">
        <v>95</v>
      </c>
      <c r="D376" s="31" t="s">
        <v>96</v>
      </c>
      <c r="E376" s="31" t="s">
        <v>161</v>
      </c>
      <c r="F376" s="31" t="s">
        <v>264</v>
      </c>
      <c r="G376" s="31" t="s">
        <v>266</v>
      </c>
      <c r="H376" s="31" t="s">
        <v>267</v>
      </c>
      <c r="I376" s="31" t="s">
        <v>305</v>
      </c>
      <c r="J376" s="31" t="s">
        <v>306</v>
      </c>
      <c r="K376" s="31" t="s">
        <v>268</v>
      </c>
      <c r="L376" s="31" t="s">
        <v>307</v>
      </c>
      <c r="M376" s="31" t="s">
        <v>106</v>
      </c>
    </row>
    <row r="377" spans="1:13" x14ac:dyDescent="0.15">
      <c r="A377" s="31" t="s">
        <v>263</v>
      </c>
      <c r="B377" s="31" t="s">
        <v>47</v>
      </c>
      <c r="C377" s="31" t="s">
        <v>108</v>
      </c>
      <c r="D377" s="31" t="s">
        <v>308</v>
      </c>
      <c r="E377" s="31" t="s">
        <v>109</v>
      </c>
      <c r="F377" s="31">
        <v>459117412</v>
      </c>
      <c r="G377" s="31" t="s">
        <v>309</v>
      </c>
      <c r="H377" s="31">
        <v>100</v>
      </c>
      <c r="I377" s="34">
        <v>44582</v>
      </c>
      <c r="J377" s="31" t="s">
        <v>310</v>
      </c>
      <c r="K377" s="31" t="s">
        <v>311</v>
      </c>
      <c r="L377" s="31">
        <v>175</v>
      </c>
    </row>
    <row r="378" spans="1:13" x14ac:dyDescent="0.15">
      <c r="A378" s="31" t="s">
        <v>263</v>
      </c>
      <c r="B378" s="31" t="s">
        <v>47</v>
      </c>
      <c r="C378" s="31" t="s">
        <v>108</v>
      </c>
      <c r="D378" s="31" t="s">
        <v>498</v>
      </c>
      <c r="E378" s="31" t="s">
        <v>468</v>
      </c>
      <c r="F378" s="31">
        <v>520650210</v>
      </c>
      <c r="G378" s="31" t="s">
        <v>309</v>
      </c>
      <c r="H378" s="31">
        <v>100</v>
      </c>
      <c r="I378" s="34">
        <v>44610</v>
      </c>
      <c r="J378" s="31" t="s">
        <v>318</v>
      </c>
      <c r="K378" s="31" t="s">
        <v>313</v>
      </c>
      <c r="L378" s="31">
        <v>105</v>
      </c>
    </row>
    <row r="379" spans="1:13" x14ac:dyDescent="0.15">
      <c r="A379" s="31" t="s">
        <v>263</v>
      </c>
      <c r="B379" s="31" t="s">
        <v>47</v>
      </c>
      <c r="C379" s="31" t="s">
        <v>108</v>
      </c>
      <c r="D379" s="31" t="s">
        <v>312</v>
      </c>
      <c r="E379" s="31" t="s">
        <v>110</v>
      </c>
      <c r="F379" s="31">
        <v>444915180</v>
      </c>
      <c r="G379" s="31" t="s">
        <v>309</v>
      </c>
      <c r="H379" s="31">
        <v>100</v>
      </c>
      <c r="I379" s="34">
        <v>44582</v>
      </c>
      <c r="J379" s="31" t="s">
        <v>310</v>
      </c>
      <c r="K379" s="31" t="s">
        <v>313</v>
      </c>
      <c r="L379" s="31">
        <v>89.18</v>
      </c>
    </row>
    <row r="380" spans="1:13" x14ac:dyDescent="0.15">
      <c r="A380" s="31" t="s">
        <v>263</v>
      </c>
      <c r="B380" s="31" t="s">
        <v>47</v>
      </c>
      <c r="C380" s="31" t="s">
        <v>108</v>
      </c>
      <c r="D380" s="31" t="s">
        <v>314</v>
      </c>
      <c r="E380" s="31" t="s">
        <v>111</v>
      </c>
      <c r="F380" s="31">
        <v>483326851</v>
      </c>
      <c r="G380" s="31" t="s">
        <v>309</v>
      </c>
      <c r="H380" s="31">
        <v>100</v>
      </c>
      <c r="I380" s="34">
        <v>44582</v>
      </c>
      <c r="J380" s="31" t="s">
        <v>310</v>
      </c>
      <c r="K380" s="31" t="s">
        <v>311</v>
      </c>
      <c r="L380" s="31">
        <v>300</v>
      </c>
    </row>
    <row r="381" spans="1:13" x14ac:dyDescent="0.15">
      <c r="A381" s="31" t="s">
        <v>263</v>
      </c>
      <c r="B381" s="31" t="s">
        <v>47</v>
      </c>
      <c r="C381" s="31" t="s">
        <v>108</v>
      </c>
      <c r="D381" s="31" t="s">
        <v>499</v>
      </c>
      <c r="E381" s="31" t="s">
        <v>469</v>
      </c>
      <c r="F381" s="31">
        <v>526906864</v>
      </c>
      <c r="G381" s="31" t="s">
        <v>309</v>
      </c>
      <c r="H381" s="31">
        <v>100</v>
      </c>
      <c r="I381" s="34">
        <v>44610</v>
      </c>
      <c r="J381" s="31" t="s">
        <v>318</v>
      </c>
      <c r="K381" s="31" t="s">
        <v>311</v>
      </c>
      <c r="L381" s="31">
        <v>7</v>
      </c>
    </row>
    <row r="382" spans="1:13" x14ac:dyDescent="0.15">
      <c r="A382" s="31" t="s">
        <v>263</v>
      </c>
      <c r="B382" s="31" t="s">
        <v>47</v>
      </c>
      <c r="C382" s="31" t="s">
        <v>108</v>
      </c>
      <c r="D382" s="31" t="s">
        <v>500</v>
      </c>
      <c r="E382" s="31" t="s">
        <v>470</v>
      </c>
      <c r="F382" s="31">
        <v>523230330</v>
      </c>
      <c r="G382" s="31" t="s">
        <v>309</v>
      </c>
      <c r="H382" s="31">
        <v>100</v>
      </c>
      <c r="I382" s="34">
        <v>44610</v>
      </c>
      <c r="J382" s="31" t="s">
        <v>318</v>
      </c>
      <c r="K382" s="31" t="s">
        <v>311</v>
      </c>
      <c r="L382" s="31">
        <v>350</v>
      </c>
    </row>
    <row r="383" spans="1:13" x14ac:dyDescent="0.15">
      <c r="A383" s="31" t="s">
        <v>263</v>
      </c>
      <c r="B383" s="31" t="s">
        <v>47</v>
      </c>
      <c r="C383" s="31" t="s">
        <v>108</v>
      </c>
      <c r="D383" s="31" t="s">
        <v>315</v>
      </c>
      <c r="E383" s="31" t="s">
        <v>114</v>
      </c>
      <c r="F383" s="31">
        <v>506310957</v>
      </c>
      <c r="G383" s="31" t="s">
        <v>309</v>
      </c>
      <c r="H383" s="31">
        <v>100</v>
      </c>
      <c r="I383" s="34">
        <v>44582</v>
      </c>
      <c r="J383" s="31" t="s">
        <v>310</v>
      </c>
      <c r="K383" s="31" t="s">
        <v>311</v>
      </c>
      <c r="L383" s="31">
        <v>65</v>
      </c>
    </row>
    <row r="384" spans="1:13" x14ac:dyDescent="0.15">
      <c r="A384" s="31" t="s">
        <v>263</v>
      </c>
      <c r="B384" s="31" t="s">
        <v>47</v>
      </c>
      <c r="C384" s="31" t="s">
        <v>108</v>
      </c>
      <c r="D384" s="31" t="s">
        <v>316</v>
      </c>
      <c r="E384" s="31" t="s">
        <v>113</v>
      </c>
      <c r="F384" s="31">
        <v>533940230</v>
      </c>
      <c r="G384" s="31" t="s">
        <v>309</v>
      </c>
      <c r="H384" s="31">
        <v>100</v>
      </c>
      <c r="I384" s="34">
        <v>44582</v>
      </c>
      <c r="J384" s="31" t="s">
        <v>310</v>
      </c>
      <c r="K384" s="31" t="s">
        <v>313</v>
      </c>
      <c r="L384" s="31">
        <v>53</v>
      </c>
    </row>
    <row r="385" spans="1:12" x14ac:dyDescent="0.15">
      <c r="A385" s="31" t="s">
        <v>263</v>
      </c>
      <c r="B385" s="31" t="s">
        <v>47</v>
      </c>
      <c r="C385" s="31" t="s">
        <v>108</v>
      </c>
      <c r="D385" s="31" t="s">
        <v>317</v>
      </c>
      <c r="E385" s="31" t="s">
        <v>115</v>
      </c>
      <c r="F385" s="31">
        <v>498090388</v>
      </c>
      <c r="G385" s="31" t="s">
        <v>309</v>
      </c>
      <c r="H385" s="31">
        <v>100</v>
      </c>
      <c r="I385" s="34">
        <v>44610</v>
      </c>
      <c r="J385" s="31" t="s">
        <v>318</v>
      </c>
      <c r="K385" s="31" t="s">
        <v>313</v>
      </c>
      <c r="L385" s="31">
        <v>15</v>
      </c>
    </row>
    <row r="386" spans="1:12" x14ac:dyDescent="0.15">
      <c r="A386" s="31" t="s">
        <v>263</v>
      </c>
      <c r="B386" s="31" t="s">
        <v>47</v>
      </c>
      <c r="C386" s="31" t="s">
        <v>108</v>
      </c>
      <c r="D386" s="31" t="s">
        <v>501</v>
      </c>
      <c r="E386" s="31" t="s">
        <v>472</v>
      </c>
      <c r="F386" s="31">
        <v>525028868</v>
      </c>
      <c r="G386" s="31" t="s">
        <v>309</v>
      </c>
      <c r="H386" s="31">
        <v>100</v>
      </c>
      <c r="I386" s="34">
        <v>44610</v>
      </c>
      <c r="J386" s="31" t="s">
        <v>318</v>
      </c>
      <c r="K386" s="31" t="s">
        <v>311</v>
      </c>
      <c r="L386" s="31">
        <v>230</v>
      </c>
    </row>
    <row r="387" spans="1:12" x14ac:dyDescent="0.15">
      <c r="A387" s="31" t="s">
        <v>263</v>
      </c>
      <c r="B387" s="31" t="s">
        <v>47</v>
      </c>
      <c r="C387" s="31" t="s">
        <v>108</v>
      </c>
      <c r="D387" s="31" t="s">
        <v>502</v>
      </c>
      <c r="E387" s="31" t="s">
        <v>471</v>
      </c>
      <c r="F387" s="31">
        <v>516715752</v>
      </c>
      <c r="G387" s="31" t="s">
        <v>309</v>
      </c>
      <c r="H387" s="31">
        <v>100</v>
      </c>
      <c r="I387" s="34">
        <v>44610</v>
      </c>
      <c r="J387" s="31" t="s">
        <v>318</v>
      </c>
      <c r="K387" s="31" t="s">
        <v>313</v>
      </c>
      <c r="L387" s="31">
        <v>155</v>
      </c>
    </row>
    <row r="388" spans="1:12" x14ac:dyDescent="0.15">
      <c r="A388" s="31" t="s">
        <v>263</v>
      </c>
      <c r="B388" s="31" t="s">
        <v>47</v>
      </c>
      <c r="C388" s="31" t="s">
        <v>108</v>
      </c>
      <c r="D388" s="31" t="s">
        <v>503</v>
      </c>
      <c r="E388" s="31" t="s">
        <v>473</v>
      </c>
      <c r="F388" s="31">
        <v>533433313</v>
      </c>
      <c r="G388" s="31" t="s">
        <v>309</v>
      </c>
      <c r="H388" s="31">
        <v>100</v>
      </c>
      <c r="I388" s="34">
        <v>44610</v>
      </c>
      <c r="J388" s="31" t="s">
        <v>318</v>
      </c>
      <c r="K388" s="31" t="s">
        <v>311</v>
      </c>
      <c r="L388" s="31">
        <v>185</v>
      </c>
    </row>
    <row r="389" spans="1:12" x14ac:dyDescent="0.15">
      <c r="A389" s="31" t="s">
        <v>263</v>
      </c>
      <c r="B389" s="31" t="s">
        <v>47</v>
      </c>
      <c r="C389" s="31" t="s">
        <v>108</v>
      </c>
      <c r="D389" s="31" t="s">
        <v>319</v>
      </c>
      <c r="E389" s="31" t="s">
        <v>116</v>
      </c>
      <c r="F389" s="31">
        <v>400818024</v>
      </c>
      <c r="G389" s="31" t="s">
        <v>309</v>
      </c>
      <c r="H389" s="31">
        <v>100</v>
      </c>
      <c r="I389" s="34">
        <v>44582</v>
      </c>
      <c r="J389" s="31" t="s">
        <v>310</v>
      </c>
      <c r="K389" s="31" t="s">
        <v>311</v>
      </c>
      <c r="L389" s="31">
        <v>55</v>
      </c>
    </row>
    <row r="390" spans="1:12" x14ac:dyDescent="0.15">
      <c r="A390" s="31" t="s">
        <v>263</v>
      </c>
      <c r="B390" s="31" t="s">
        <v>47</v>
      </c>
      <c r="C390" s="31" t="s">
        <v>108</v>
      </c>
      <c r="D390" s="31" t="s">
        <v>504</v>
      </c>
      <c r="E390" s="31" t="s">
        <v>474</v>
      </c>
      <c r="F390" s="31">
        <v>512005204</v>
      </c>
      <c r="G390" s="31" t="s">
        <v>309</v>
      </c>
      <c r="H390" s="31">
        <v>100</v>
      </c>
      <c r="I390" s="34">
        <v>44610</v>
      </c>
      <c r="J390" s="31" t="s">
        <v>318</v>
      </c>
      <c r="K390" s="31" t="s">
        <v>313</v>
      </c>
      <c r="L390" s="31">
        <v>35</v>
      </c>
    </row>
    <row r="391" spans="1:12" x14ac:dyDescent="0.15">
      <c r="A391" s="31" t="s">
        <v>320</v>
      </c>
      <c r="B391" s="31" t="s">
        <v>44</v>
      </c>
      <c r="C391" s="31" t="s">
        <v>106</v>
      </c>
      <c r="D391" s="31" t="s">
        <v>321</v>
      </c>
      <c r="E391" s="31" t="s">
        <v>322</v>
      </c>
      <c r="F391" s="31" t="s">
        <v>323</v>
      </c>
    </row>
    <row r="392" spans="1:12" x14ac:dyDescent="0.15">
      <c r="A392" s="31" t="s">
        <v>320</v>
      </c>
      <c r="B392" s="31" t="s">
        <v>47</v>
      </c>
      <c r="C392" s="31" t="s">
        <v>324</v>
      </c>
      <c r="D392" s="31" t="s">
        <v>325</v>
      </c>
    </row>
    <row r="393" spans="1:12" x14ac:dyDescent="0.15">
      <c r="A393" s="31" t="s">
        <v>320</v>
      </c>
      <c r="B393" s="31" t="s">
        <v>47</v>
      </c>
      <c r="C393" s="31" t="s">
        <v>279</v>
      </c>
      <c r="D393" s="31" t="s">
        <v>326</v>
      </c>
    </row>
    <row r="394" spans="1:12" x14ac:dyDescent="0.15">
      <c r="A394" s="31" t="s">
        <v>320</v>
      </c>
      <c r="B394" s="31" t="s">
        <v>47</v>
      </c>
      <c r="C394" s="31" t="s">
        <v>327</v>
      </c>
      <c r="D394" s="31" t="s">
        <v>328</v>
      </c>
    </row>
    <row r="395" spans="1:12" x14ac:dyDescent="0.15">
      <c r="A395" s="31" t="s">
        <v>320</v>
      </c>
      <c r="B395" s="31" t="s">
        <v>47</v>
      </c>
      <c r="C395" s="31" t="s">
        <v>329</v>
      </c>
      <c r="D395" s="31" t="s">
        <v>330</v>
      </c>
    </row>
    <row r="396" spans="1:12" x14ac:dyDescent="0.15">
      <c r="A396" s="31" t="s">
        <v>320</v>
      </c>
      <c r="B396" s="31" t="s">
        <v>47</v>
      </c>
      <c r="C396" s="31" t="s">
        <v>331</v>
      </c>
      <c r="D396" s="31" t="s">
        <v>332</v>
      </c>
    </row>
    <row r="397" spans="1:12" x14ac:dyDescent="0.15">
      <c r="A397" s="31" t="s">
        <v>320</v>
      </c>
      <c r="B397" s="31" t="s">
        <v>47</v>
      </c>
      <c r="C397" s="31" t="s">
        <v>333</v>
      </c>
      <c r="D397" s="31" t="s">
        <v>334</v>
      </c>
    </row>
    <row r="398" spans="1:12" x14ac:dyDescent="0.15">
      <c r="A398" s="31" t="s">
        <v>320</v>
      </c>
      <c r="B398" s="31" t="s">
        <v>47</v>
      </c>
      <c r="C398" s="31" t="s">
        <v>335</v>
      </c>
      <c r="D398" s="31" t="s">
        <v>336</v>
      </c>
    </row>
    <row r="399" spans="1:12" x14ac:dyDescent="0.15">
      <c r="A399" s="31" t="s">
        <v>320</v>
      </c>
      <c r="B399" s="31" t="s">
        <v>47</v>
      </c>
      <c r="C399" s="31" t="s">
        <v>337</v>
      </c>
      <c r="D399" s="31" t="s">
        <v>338</v>
      </c>
    </row>
    <row r="400" spans="1:12" x14ac:dyDescent="0.15">
      <c r="A400" s="31" t="s">
        <v>320</v>
      </c>
      <c r="B400" s="31" t="s">
        <v>47</v>
      </c>
      <c r="C400" s="31" t="s">
        <v>311</v>
      </c>
      <c r="D400" s="31" t="s">
        <v>339</v>
      </c>
    </row>
    <row r="401" spans="1:4" x14ac:dyDescent="0.15">
      <c r="A401" s="31" t="s">
        <v>320</v>
      </c>
      <c r="B401" s="31" t="s">
        <v>47</v>
      </c>
      <c r="C401" s="31" t="s">
        <v>340</v>
      </c>
      <c r="D401" s="31" t="s">
        <v>341</v>
      </c>
    </row>
    <row r="402" spans="1:4" x14ac:dyDescent="0.15">
      <c r="A402" s="31" t="s">
        <v>320</v>
      </c>
      <c r="B402" s="31" t="s">
        <v>47</v>
      </c>
      <c r="C402" s="31" t="s">
        <v>342</v>
      </c>
      <c r="D402" s="31" t="s">
        <v>343</v>
      </c>
    </row>
    <row r="403" spans="1:4" x14ac:dyDescent="0.15">
      <c r="A403" s="31" t="s">
        <v>320</v>
      </c>
      <c r="B403" s="31" t="s">
        <v>47</v>
      </c>
      <c r="C403" s="31" t="s">
        <v>344</v>
      </c>
      <c r="D403" s="31" t="s">
        <v>345</v>
      </c>
    </row>
    <row r="404" spans="1:4" x14ac:dyDescent="0.15">
      <c r="A404" s="31" t="s">
        <v>320</v>
      </c>
      <c r="B404" s="31" t="s">
        <v>47</v>
      </c>
      <c r="C404" s="31" t="s">
        <v>346</v>
      </c>
      <c r="D404" s="31" t="s">
        <v>347</v>
      </c>
    </row>
    <row r="405" spans="1:4" x14ac:dyDescent="0.15">
      <c r="A405" s="31" t="s">
        <v>320</v>
      </c>
      <c r="B405" s="31" t="s">
        <v>47</v>
      </c>
      <c r="C405" s="31" t="s">
        <v>348</v>
      </c>
      <c r="D405" s="31" t="s">
        <v>349</v>
      </c>
    </row>
    <row r="406" spans="1:4" x14ac:dyDescent="0.15">
      <c r="A406" s="31" t="s">
        <v>320</v>
      </c>
      <c r="B406" s="31" t="s">
        <v>47</v>
      </c>
      <c r="C406" s="31" t="s">
        <v>276</v>
      </c>
      <c r="D406" s="31" t="s">
        <v>350</v>
      </c>
    </row>
    <row r="407" spans="1:4" x14ac:dyDescent="0.15">
      <c r="A407" s="31" t="s">
        <v>320</v>
      </c>
      <c r="B407" s="31" t="s">
        <v>47</v>
      </c>
      <c r="C407" s="31" t="s">
        <v>351</v>
      </c>
      <c r="D407" s="31" t="s">
        <v>352</v>
      </c>
    </row>
    <row r="408" spans="1:4" x14ac:dyDescent="0.15">
      <c r="A408" s="31" t="s">
        <v>320</v>
      </c>
      <c r="B408" s="31" t="s">
        <v>47</v>
      </c>
      <c r="C408" s="31" t="s">
        <v>353</v>
      </c>
      <c r="D408" s="31" t="s">
        <v>354</v>
      </c>
    </row>
    <row r="409" spans="1:4" x14ac:dyDescent="0.15">
      <c r="A409" s="31" t="s">
        <v>320</v>
      </c>
      <c r="B409" s="31" t="s">
        <v>47</v>
      </c>
      <c r="C409" s="31" t="s">
        <v>355</v>
      </c>
      <c r="D409" s="31" t="s">
        <v>356</v>
      </c>
    </row>
    <row r="410" spans="1:4" x14ac:dyDescent="0.15">
      <c r="A410" s="31" t="s">
        <v>320</v>
      </c>
      <c r="B410" s="31" t="s">
        <v>47</v>
      </c>
      <c r="C410" s="31" t="s">
        <v>357</v>
      </c>
      <c r="D410" s="31" t="s">
        <v>358</v>
      </c>
    </row>
    <row r="411" spans="1:4" x14ac:dyDescent="0.15">
      <c r="A411" s="31" t="s">
        <v>320</v>
      </c>
      <c r="B411" s="31" t="s">
        <v>47</v>
      </c>
      <c r="C411" s="31" t="s">
        <v>359</v>
      </c>
      <c r="D411" s="31" t="s">
        <v>360</v>
      </c>
    </row>
    <row r="412" spans="1:4" x14ac:dyDescent="0.15">
      <c r="A412" s="31" t="s">
        <v>320</v>
      </c>
      <c r="B412" s="31" t="s">
        <v>47</v>
      </c>
      <c r="C412" s="31" t="s">
        <v>361</v>
      </c>
      <c r="D412" s="31" t="s">
        <v>362</v>
      </c>
    </row>
    <row r="413" spans="1:4" x14ac:dyDescent="0.15">
      <c r="A413" s="31" t="s">
        <v>320</v>
      </c>
      <c r="B413" s="31" t="s">
        <v>47</v>
      </c>
      <c r="C413" s="31" t="s">
        <v>363</v>
      </c>
      <c r="D413" s="31" t="s">
        <v>364</v>
      </c>
    </row>
    <row r="414" spans="1:4" x14ac:dyDescent="0.15">
      <c r="A414" s="31" t="s">
        <v>320</v>
      </c>
      <c r="B414" s="31" t="s">
        <v>47</v>
      </c>
      <c r="C414" s="31" t="s">
        <v>365</v>
      </c>
      <c r="D414" s="31" t="s">
        <v>366</v>
      </c>
    </row>
    <row r="415" spans="1:4" x14ac:dyDescent="0.15">
      <c r="A415" s="31" t="s">
        <v>320</v>
      </c>
      <c r="B415" s="31" t="s">
        <v>47</v>
      </c>
      <c r="C415" s="31" t="s">
        <v>367</v>
      </c>
      <c r="D415" s="31" t="s">
        <v>368</v>
      </c>
    </row>
    <row r="416" spans="1:4" x14ac:dyDescent="0.15">
      <c r="A416" s="31" t="s">
        <v>320</v>
      </c>
      <c r="B416" s="31" t="s">
        <v>47</v>
      </c>
      <c r="C416" s="31" t="s">
        <v>369</v>
      </c>
      <c r="D416" s="31" t="s">
        <v>370</v>
      </c>
    </row>
    <row r="417" spans="1:4" x14ac:dyDescent="0.15">
      <c r="A417" s="31" t="s">
        <v>320</v>
      </c>
      <c r="B417" s="31" t="s">
        <v>47</v>
      </c>
      <c r="C417" s="31" t="s">
        <v>371</v>
      </c>
      <c r="D417" s="31" t="s">
        <v>372</v>
      </c>
    </row>
    <row r="418" spans="1:4" x14ac:dyDescent="0.15">
      <c r="A418" s="31" t="s">
        <v>320</v>
      </c>
      <c r="B418" s="31" t="s">
        <v>47</v>
      </c>
      <c r="C418" s="31" t="s">
        <v>373</v>
      </c>
      <c r="D418" s="31" t="s">
        <v>374</v>
      </c>
    </row>
    <row r="419" spans="1:4" x14ac:dyDescent="0.15">
      <c r="A419" s="31" t="s">
        <v>320</v>
      </c>
      <c r="B419" s="31" t="s">
        <v>47</v>
      </c>
      <c r="C419" s="31" t="s">
        <v>375</v>
      </c>
      <c r="D419" s="31" t="s">
        <v>376</v>
      </c>
    </row>
    <row r="420" spans="1:4" x14ac:dyDescent="0.15">
      <c r="A420" s="31" t="s">
        <v>320</v>
      </c>
      <c r="B420" s="31" t="s">
        <v>47</v>
      </c>
      <c r="C420" s="31" t="s">
        <v>377</v>
      </c>
      <c r="D420" s="31" t="s">
        <v>378</v>
      </c>
    </row>
    <row r="421" spans="1:4" x14ac:dyDescent="0.15">
      <c r="A421" s="31" t="s">
        <v>320</v>
      </c>
      <c r="B421" s="31" t="s">
        <v>47</v>
      </c>
      <c r="C421" s="31" t="s">
        <v>379</v>
      </c>
      <c r="D421" s="31" t="s">
        <v>380</v>
      </c>
    </row>
    <row r="422" spans="1:4" x14ac:dyDescent="0.15">
      <c r="A422" s="31" t="s">
        <v>320</v>
      </c>
      <c r="B422" s="31" t="s">
        <v>47</v>
      </c>
      <c r="C422" s="31" t="s">
        <v>381</v>
      </c>
      <c r="D422" s="31" t="s">
        <v>382</v>
      </c>
    </row>
    <row r="423" spans="1:4" x14ac:dyDescent="0.15">
      <c r="A423" s="31" t="s">
        <v>320</v>
      </c>
      <c r="B423" s="31" t="s">
        <v>47</v>
      </c>
      <c r="C423" s="31" t="s">
        <v>383</v>
      </c>
      <c r="D423" s="31" t="s">
        <v>384</v>
      </c>
    </row>
    <row r="424" spans="1:4" x14ac:dyDescent="0.15">
      <c r="A424" s="31" t="s">
        <v>320</v>
      </c>
      <c r="B424" s="31" t="s">
        <v>47</v>
      </c>
      <c r="C424" s="31" t="s">
        <v>385</v>
      </c>
      <c r="D424" s="31" t="s">
        <v>386</v>
      </c>
    </row>
    <row r="425" spans="1:4" x14ac:dyDescent="0.15">
      <c r="A425" s="31" t="s">
        <v>320</v>
      </c>
      <c r="B425" s="31" t="s">
        <v>47</v>
      </c>
      <c r="C425" s="31" t="s">
        <v>387</v>
      </c>
      <c r="D425" s="31" t="s">
        <v>388</v>
      </c>
    </row>
    <row r="426" spans="1:4" x14ac:dyDescent="0.15">
      <c r="A426" s="31" t="s">
        <v>320</v>
      </c>
      <c r="B426" s="31" t="s">
        <v>47</v>
      </c>
      <c r="C426" s="31" t="s">
        <v>389</v>
      </c>
      <c r="D426" s="31" t="s">
        <v>390</v>
      </c>
    </row>
    <row r="427" spans="1:4" x14ac:dyDescent="0.15">
      <c r="A427" s="31" t="s">
        <v>320</v>
      </c>
      <c r="B427" s="31" t="s">
        <v>47</v>
      </c>
      <c r="C427" s="31" t="s">
        <v>391</v>
      </c>
      <c r="D427" s="31" t="s">
        <v>392</v>
      </c>
    </row>
    <row r="428" spans="1:4" x14ac:dyDescent="0.15">
      <c r="A428" s="31" t="s">
        <v>320</v>
      </c>
      <c r="B428" s="31" t="s">
        <v>47</v>
      </c>
      <c r="C428" s="31" t="s">
        <v>393</v>
      </c>
      <c r="D428" s="31" t="s">
        <v>394</v>
      </c>
    </row>
    <row r="429" spans="1:4" x14ac:dyDescent="0.15">
      <c r="A429" s="31" t="s">
        <v>320</v>
      </c>
      <c r="B429" s="31" t="s">
        <v>47</v>
      </c>
      <c r="C429" s="31" t="s">
        <v>395</v>
      </c>
      <c r="D429" s="31" t="s">
        <v>396</v>
      </c>
    </row>
    <row r="430" spans="1:4" x14ac:dyDescent="0.15">
      <c r="A430" s="31" t="s">
        <v>320</v>
      </c>
      <c r="B430" s="31" t="s">
        <v>47</v>
      </c>
      <c r="C430" s="31" t="s">
        <v>397</v>
      </c>
      <c r="D430" s="31" t="s">
        <v>398</v>
      </c>
    </row>
    <row r="431" spans="1:4" x14ac:dyDescent="0.15">
      <c r="A431" s="31" t="s">
        <v>320</v>
      </c>
      <c r="B431" s="31" t="s">
        <v>47</v>
      </c>
      <c r="C431" s="31" t="s">
        <v>399</v>
      </c>
      <c r="D431" s="31" t="s">
        <v>400</v>
      </c>
    </row>
    <row r="432" spans="1:4" x14ac:dyDescent="0.15">
      <c r="A432" s="31" t="s">
        <v>320</v>
      </c>
      <c r="B432" s="31" t="s">
        <v>47</v>
      </c>
      <c r="C432" s="31" t="s">
        <v>206</v>
      </c>
      <c r="D432" s="31" t="s">
        <v>401</v>
      </c>
    </row>
    <row r="433" spans="1:4" x14ac:dyDescent="0.15">
      <c r="A433" s="31" t="s">
        <v>320</v>
      </c>
      <c r="B433" s="31" t="s">
        <v>47</v>
      </c>
      <c r="C433" s="31" t="s">
        <v>313</v>
      </c>
      <c r="D433" s="31" t="s">
        <v>402</v>
      </c>
    </row>
    <row r="434" spans="1:4" x14ac:dyDescent="0.15">
      <c r="A434" s="31" t="s">
        <v>320</v>
      </c>
      <c r="B434" s="31" t="s">
        <v>47</v>
      </c>
      <c r="C434" s="31" t="s">
        <v>403</v>
      </c>
      <c r="D434" s="31" t="s">
        <v>404</v>
      </c>
    </row>
    <row r="435" spans="1:4" x14ac:dyDescent="0.15">
      <c r="A435" s="31" t="s">
        <v>320</v>
      </c>
      <c r="B435" s="31" t="s">
        <v>47</v>
      </c>
      <c r="C435" s="31" t="s">
        <v>240</v>
      </c>
      <c r="D435" s="31" t="s">
        <v>405</v>
      </c>
    </row>
    <row r="436" spans="1:4" x14ac:dyDescent="0.15">
      <c r="A436" s="31" t="s">
        <v>320</v>
      </c>
      <c r="B436" s="31" t="s">
        <v>47</v>
      </c>
      <c r="C436" s="31" t="s">
        <v>406</v>
      </c>
      <c r="D436" s="31" t="s">
        <v>407</v>
      </c>
    </row>
    <row r="437" spans="1:4" x14ac:dyDescent="0.15">
      <c r="A437" s="31" t="s">
        <v>320</v>
      </c>
      <c r="B437" s="31" t="s">
        <v>47</v>
      </c>
      <c r="C437" s="31" t="s">
        <v>408</v>
      </c>
      <c r="D437" s="31" t="s">
        <v>409</v>
      </c>
    </row>
    <row r="438" spans="1:4" x14ac:dyDescent="0.15">
      <c r="A438" s="31" t="s">
        <v>320</v>
      </c>
      <c r="B438" s="31" t="s">
        <v>47</v>
      </c>
      <c r="C438" s="31" t="s">
        <v>410</v>
      </c>
      <c r="D438" s="31" t="s">
        <v>411</v>
      </c>
    </row>
    <row r="439" spans="1:4" x14ac:dyDescent="0.15">
      <c r="A439" s="31" t="s">
        <v>320</v>
      </c>
      <c r="B439" s="31" t="s">
        <v>47</v>
      </c>
      <c r="C439" s="31" t="s">
        <v>412</v>
      </c>
      <c r="D439" s="31" t="s">
        <v>413</v>
      </c>
    </row>
    <row r="440" spans="1:4" x14ac:dyDescent="0.15">
      <c r="A440" s="31" t="s">
        <v>320</v>
      </c>
      <c r="B440" s="31" t="s">
        <v>47</v>
      </c>
      <c r="C440" s="31" t="s">
        <v>414</v>
      </c>
      <c r="D440" s="31" t="s">
        <v>415</v>
      </c>
    </row>
    <row r="441" spans="1:4" x14ac:dyDescent="0.15">
      <c r="A441" s="31" t="s">
        <v>320</v>
      </c>
      <c r="B441" s="31" t="s">
        <v>47</v>
      </c>
      <c r="C441" s="31" t="s">
        <v>237</v>
      </c>
      <c r="D441" s="31" t="s">
        <v>416</v>
      </c>
    </row>
    <row r="442" spans="1:4" x14ac:dyDescent="0.15">
      <c r="A442" s="31" t="s">
        <v>320</v>
      </c>
      <c r="B442" s="31" t="s">
        <v>47</v>
      </c>
      <c r="C442" s="31" t="s">
        <v>417</v>
      </c>
      <c r="D442" s="31" t="s">
        <v>418</v>
      </c>
    </row>
    <row r="443" spans="1:4" x14ac:dyDescent="0.15">
      <c r="A443" s="31" t="s">
        <v>320</v>
      </c>
      <c r="B443" s="31" t="s">
        <v>47</v>
      </c>
      <c r="C443" s="31" t="s">
        <v>419</v>
      </c>
      <c r="D443" s="31" t="s">
        <v>420</v>
      </c>
    </row>
    <row r="444" spans="1:4" x14ac:dyDescent="0.15">
      <c r="A444" s="31" t="s">
        <v>320</v>
      </c>
      <c r="B444" s="31" t="s">
        <v>47</v>
      </c>
      <c r="C444" s="31" t="s">
        <v>421</v>
      </c>
      <c r="D444" s="31" t="s">
        <v>422</v>
      </c>
    </row>
    <row r="445" spans="1:4" x14ac:dyDescent="0.15">
      <c r="A445" s="31" t="s">
        <v>320</v>
      </c>
      <c r="B445" s="31" t="s">
        <v>47</v>
      </c>
      <c r="C445" s="31" t="s">
        <v>423</v>
      </c>
      <c r="D445" s="31" t="s">
        <v>424</v>
      </c>
    </row>
    <row r="446" spans="1:4" x14ac:dyDescent="0.15">
      <c r="A446" s="31" t="s">
        <v>320</v>
      </c>
      <c r="B446" s="31" t="s">
        <v>47</v>
      </c>
      <c r="C446" s="31" t="s">
        <v>425</v>
      </c>
      <c r="D446" s="31" t="s">
        <v>426</v>
      </c>
    </row>
    <row r="447" spans="1:4" x14ac:dyDescent="0.15">
      <c r="A447" s="31" t="s">
        <v>320</v>
      </c>
      <c r="B447" s="31" t="s">
        <v>47</v>
      </c>
      <c r="C447" s="31" t="s">
        <v>427</v>
      </c>
      <c r="D447" s="31" t="s">
        <v>428</v>
      </c>
    </row>
    <row r="448" spans="1:4" x14ac:dyDescent="0.15">
      <c r="A448" s="31" t="s">
        <v>320</v>
      </c>
      <c r="B448" s="31" t="s">
        <v>47</v>
      </c>
      <c r="C448" s="31" t="s">
        <v>429</v>
      </c>
      <c r="D448" s="31" t="s">
        <v>430</v>
      </c>
    </row>
    <row r="449" spans="1:4" x14ac:dyDescent="0.15">
      <c r="A449" s="31" t="s">
        <v>320</v>
      </c>
      <c r="B449" s="31" t="s">
        <v>47</v>
      </c>
      <c r="C449" s="31" t="s">
        <v>431</v>
      </c>
      <c r="D449" s="31" t="s">
        <v>432</v>
      </c>
    </row>
    <row r="450" spans="1:4" x14ac:dyDescent="0.15">
      <c r="A450" s="31" t="s">
        <v>433</v>
      </c>
      <c r="B450" s="31" t="s">
        <v>44</v>
      </c>
      <c r="C450" s="31" t="s">
        <v>268</v>
      </c>
      <c r="D450" s="31" t="s">
        <v>434</v>
      </c>
    </row>
    <row r="451" spans="1:4" x14ac:dyDescent="0.15">
      <c r="A451" s="31" t="s">
        <v>433</v>
      </c>
      <c r="B451" s="31" t="s">
        <v>47</v>
      </c>
      <c r="C451" s="31" t="s">
        <v>255</v>
      </c>
      <c r="D451" s="31" t="s">
        <v>435</v>
      </c>
    </row>
    <row r="452" spans="1:4" x14ac:dyDescent="0.15">
      <c r="A452" s="31" t="s">
        <v>433</v>
      </c>
      <c r="B452" s="31" t="s">
        <v>47</v>
      </c>
      <c r="C452" s="31" t="s">
        <v>255</v>
      </c>
      <c r="D452" s="31" t="s">
        <v>436</v>
      </c>
    </row>
    <row r="453" spans="1:4" x14ac:dyDescent="0.15">
      <c r="A453" s="31" t="s">
        <v>433</v>
      </c>
      <c r="B453" s="31" t="s">
        <v>47</v>
      </c>
      <c r="C453" s="31" t="s">
        <v>255</v>
      </c>
      <c r="D453" s="31" t="s">
        <v>437</v>
      </c>
    </row>
    <row r="454" spans="1:4" x14ac:dyDescent="0.15">
      <c r="A454" s="31" t="s">
        <v>433</v>
      </c>
      <c r="B454" s="31" t="s">
        <v>47</v>
      </c>
      <c r="C454" s="31" t="s">
        <v>255</v>
      </c>
      <c r="D454" s="31" t="s">
        <v>438</v>
      </c>
    </row>
    <row r="455" spans="1:4" x14ac:dyDescent="0.15">
      <c r="A455" s="31" t="s">
        <v>433</v>
      </c>
      <c r="B455" s="31" t="s">
        <v>47</v>
      </c>
      <c r="C455" s="31" t="s">
        <v>255</v>
      </c>
      <c r="D455" s="31" t="s">
        <v>439</v>
      </c>
    </row>
    <row r="456" spans="1:4" x14ac:dyDescent="0.15">
      <c r="A456" s="31" t="s">
        <v>433</v>
      </c>
      <c r="B456" s="31" t="s">
        <v>47</v>
      </c>
      <c r="C456" s="31" t="s">
        <v>255</v>
      </c>
      <c r="D456" s="31" t="s">
        <v>440</v>
      </c>
    </row>
    <row r="457" spans="1:4" x14ac:dyDescent="0.15">
      <c r="A457" s="31" t="s">
        <v>433</v>
      </c>
      <c r="B457" s="31" t="s">
        <v>47</v>
      </c>
      <c r="C457" s="31" t="s">
        <v>255</v>
      </c>
      <c r="D457" s="31" t="s">
        <v>441</v>
      </c>
    </row>
    <row r="458" spans="1:4" x14ac:dyDescent="0.15">
      <c r="A458" s="31" t="s">
        <v>433</v>
      </c>
      <c r="B458" s="31" t="s">
        <v>47</v>
      </c>
      <c r="C458" s="31" t="s">
        <v>255</v>
      </c>
      <c r="D458" s="31" t="s">
        <v>442</v>
      </c>
    </row>
    <row r="459" spans="1:4" x14ac:dyDescent="0.15">
      <c r="A459" s="31" t="s">
        <v>433</v>
      </c>
      <c r="B459" s="31" t="s">
        <v>47</v>
      </c>
      <c r="C459" s="31" t="s">
        <v>255</v>
      </c>
      <c r="D459" s="31" t="s">
        <v>443</v>
      </c>
    </row>
    <row r="460" spans="1:4" x14ac:dyDescent="0.15">
      <c r="A460" s="31" t="s">
        <v>433</v>
      </c>
      <c r="B460" s="31" t="s">
        <v>47</v>
      </c>
      <c r="C460" s="31" t="s">
        <v>255</v>
      </c>
      <c r="D460" s="31" t="s">
        <v>444</v>
      </c>
    </row>
    <row r="461" spans="1:4" x14ac:dyDescent="0.15">
      <c r="A461" s="31" t="s">
        <v>433</v>
      </c>
      <c r="B461" s="31" t="s">
        <v>47</v>
      </c>
      <c r="C461" s="31" t="s">
        <v>255</v>
      </c>
      <c r="D461" s="31" t="s">
        <v>445</v>
      </c>
    </row>
    <row r="462" spans="1:4" x14ac:dyDescent="0.15">
      <c r="A462" s="31" t="s">
        <v>433</v>
      </c>
      <c r="B462" s="31" t="s">
        <v>47</v>
      </c>
      <c r="C462" s="31" t="s">
        <v>255</v>
      </c>
      <c r="D462" s="31" t="s">
        <v>446</v>
      </c>
    </row>
    <row r="463" spans="1:4" x14ac:dyDescent="0.15">
      <c r="A463" s="31" t="s">
        <v>433</v>
      </c>
      <c r="B463" s="31" t="s">
        <v>47</v>
      </c>
      <c r="C463" s="31" t="s">
        <v>255</v>
      </c>
      <c r="D463" s="31" t="s">
        <v>447</v>
      </c>
    </row>
    <row r="464" spans="1:4" x14ac:dyDescent="0.15">
      <c r="A464" s="31" t="s">
        <v>433</v>
      </c>
      <c r="B464" s="31" t="s">
        <v>47</v>
      </c>
      <c r="C464" s="31" t="s">
        <v>255</v>
      </c>
      <c r="D464" s="31" t="s">
        <v>448</v>
      </c>
    </row>
    <row r="465" spans="1:4" x14ac:dyDescent="0.15">
      <c r="A465" s="31" t="s">
        <v>433</v>
      </c>
      <c r="B465" s="31" t="s">
        <v>47</v>
      </c>
      <c r="C465" s="31" t="s">
        <v>449</v>
      </c>
      <c r="D465" s="31" t="s">
        <v>450</v>
      </c>
    </row>
    <row r="466" spans="1:4" x14ac:dyDescent="0.15">
      <c r="A466" s="31" t="s">
        <v>433</v>
      </c>
      <c r="B466" s="31" t="s">
        <v>47</v>
      </c>
      <c r="C466" s="31" t="s">
        <v>451</v>
      </c>
      <c r="D466" s="31" t="s">
        <v>452</v>
      </c>
    </row>
    <row r="467" spans="1:4" x14ac:dyDescent="0.15">
      <c r="A467" s="31" t="s">
        <v>433</v>
      </c>
      <c r="B467" s="31" t="s">
        <v>47</v>
      </c>
      <c r="C467" s="31" t="s">
        <v>451</v>
      </c>
      <c r="D467" s="31" t="s">
        <v>453</v>
      </c>
    </row>
    <row r="468" spans="1:4" x14ac:dyDescent="0.15">
      <c r="A468" s="31" t="s">
        <v>433</v>
      </c>
      <c r="B468" s="31" t="s">
        <v>47</v>
      </c>
      <c r="C468" s="31" t="s">
        <v>451</v>
      </c>
      <c r="D468" s="31" t="s">
        <v>454</v>
      </c>
    </row>
    <row r="469" spans="1:4" x14ac:dyDescent="0.15">
      <c r="A469" s="31" t="s">
        <v>433</v>
      </c>
      <c r="B469" s="31" t="s">
        <v>47</v>
      </c>
      <c r="C469" s="31" t="s">
        <v>451</v>
      </c>
      <c r="D469" s="31" t="s">
        <v>455</v>
      </c>
    </row>
    <row r="470" spans="1:4" x14ac:dyDescent="0.15">
      <c r="A470" s="31" t="s">
        <v>433</v>
      </c>
      <c r="B470" s="31" t="s">
        <v>47</v>
      </c>
      <c r="C470" s="31" t="s">
        <v>451</v>
      </c>
      <c r="D470" s="31" t="s">
        <v>456</v>
      </c>
    </row>
    <row r="471" spans="1:4" x14ac:dyDescent="0.15">
      <c r="A471" s="31" t="s">
        <v>433</v>
      </c>
      <c r="B471" s="31" t="s">
        <v>47</v>
      </c>
      <c r="C471" s="31" t="s">
        <v>451</v>
      </c>
      <c r="D471" s="31" t="s">
        <v>457</v>
      </c>
    </row>
    <row r="472" spans="1:4" x14ac:dyDescent="0.15">
      <c r="A472" s="31" t="s">
        <v>433</v>
      </c>
      <c r="B472" s="31" t="s">
        <v>47</v>
      </c>
      <c r="C472" s="31" t="s">
        <v>451</v>
      </c>
      <c r="D472" s="31" t="s">
        <v>458</v>
      </c>
    </row>
    <row r="473" spans="1:4" x14ac:dyDescent="0.15">
      <c r="A473" s="31" t="s">
        <v>433</v>
      </c>
      <c r="B473" s="31" t="s">
        <v>47</v>
      </c>
      <c r="C473" s="31" t="s">
        <v>451</v>
      </c>
      <c r="D473" s="31" t="s">
        <v>459</v>
      </c>
    </row>
    <row r="474" spans="1:4" x14ac:dyDescent="0.15">
      <c r="A474" s="31" t="s">
        <v>433</v>
      </c>
      <c r="B474" s="31" t="s">
        <v>47</v>
      </c>
      <c r="C474" s="31" t="s">
        <v>451</v>
      </c>
      <c r="D474" s="31" t="s">
        <v>460</v>
      </c>
    </row>
    <row r="475" spans="1:4" x14ac:dyDescent="0.15">
      <c r="A475" s="31" t="s">
        <v>433</v>
      </c>
      <c r="B475" s="31" t="s">
        <v>47</v>
      </c>
      <c r="C475" s="31" t="s">
        <v>451</v>
      </c>
      <c r="D475" s="31" t="s">
        <v>461</v>
      </c>
    </row>
    <row r="476" spans="1:4" x14ac:dyDescent="0.15">
      <c r="A476" s="31" t="s">
        <v>433</v>
      </c>
      <c r="B476" s="31" t="s">
        <v>47</v>
      </c>
      <c r="C476" s="31" t="s">
        <v>451</v>
      </c>
      <c r="D476" s="31" t="s">
        <v>462</v>
      </c>
    </row>
    <row r="477" spans="1:4" x14ac:dyDescent="0.15">
      <c r="A477" s="31" t="s">
        <v>433</v>
      </c>
      <c r="B477" s="31" t="s">
        <v>47</v>
      </c>
      <c r="C477" s="31" t="s">
        <v>451</v>
      </c>
      <c r="D477" s="31" t="s">
        <v>463</v>
      </c>
    </row>
    <row r="478" spans="1:4" x14ac:dyDescent="0.15">
      <c r="A478" s="31" t="s">
        <v>433</v>
      </c>
      <c r="B478" s="31" t="s">
        <v>47</v>
      </c>
      <c r="D478" s="31" t="s">
        <v>464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Z12"/>
  <sheetViews>
    <sheetView workbookViewId="0"/>
  </sheetViews>
  <sheetFormatPr baseColWidth="10" defaultColWidth="12.6640625" defaultRowHeight="15" customHeight="1" x14ac:dyDescent="0.15"/>
  <cols>
    <col min="1" max="1" width="18.83203125" customWidth="1"/>
  </cols>
  <sheetData>
    <row r="1" spans="1:26" ht="15" customHeight="1" x14ac:dyDescent="0.15">
      <c r="A1" s="2" t="str">
        <f ca="1">IFERROR(__xludf.DUMMYFUNCTION("index(importhtml(""https://finviz.com/groups.ashx?g=sector&amp;v=152&amp;o=name&amp;c=1,2,3,4,5,6,7,8,9,10,11,12,13,14,15,16,17,18,19,20,21,22,23,24,25,26"",""table"",9),0,0)"),"#N/A")</f>
        <v>#N/A</v>
      </c>
      <c r="B1" s="2"/>
      <c r="C1" s="2"/>
      <c r="D1" s="2"/>
      <c r="E1" s="2"/>
      <c r="F1" s="2"/>
      <c r="G1" s="2"/>
      <c r="H1" s="2"/>
      <c r="I1" s="2"/>
      <c r="J1" s="2"/>
      <c r="K1" s="2"/>
      <c r="L1" s="2"/>
      <c r="M1" s="2"/>
      <c r="N1" s="2"/>
      <c r="O1" s="2"/>
      <c r="P1" s="2"/>
      <c r="Q1" s="2"/>
      <c r="R1" s="2"/>
      <c r="S1" s="2"/>
      <c r="T1" s="2"/>
      <c r="U1" s="2"/>
      <c r="V1" s="2"/>
      <c r="W1" s="2"/>
      <c r="X1" s="2"/>
      <c r="Y1" s="2"/>
      <c r="Z1" s="2"/>
    </row>
    <row r="2" spans="1:26" ht="15" customHeight="1" x14ac:dyDescent="0.15">
      <c r="A2" s="3"/>
      <c r="B2" s="3"/>
      <c r="C2" s="3"/>
      <c r="D2" s="3"/>
      <c r="E2" s="3"/>
      <c r="F2" s="3"/>
      <c r="G2" s="3"/>
      <c r="H2" s="3"/>
      <c r="I2" s="3"/>
      <c r="J2" s="3"/>
      <c r="K2" s="3"/>
      <c r="L2" s="3"/>
      <c r="M2" s="3"/>
      <c r="N2" s="3"/>
      <c r="O2" s="3"/>
      <c r="P2" s="3"/>
      <c r="Q2" s="3"/>
      <c r="R2" s="3"/>
      <c r="S2" s="3"/>
      <c r="T2" s="3"/>
      <c r="U2" s="3"/>
      <c r="V2" s="3"/>
      <c r="W2" s="3"/>
      <c r="X2" s="3"/>
      <c r="Y2" s="3"/>
      <c r="Z2" s="3"/>
    </row>
    <row r="3" spans="1:26" ht="15" customHeight="1" x14ac:dyDescent="0.15">
      <c r="A3" s="3"/>
      <c r="B3" s="3"/>
      <c r="C3" s="3"/>
      <c r="D3" s="3"/>
      <c r="E3" s="3"/>
      <c r="F3" s="3"/>
      <c r="G3" s="3"/>
      <c r="H3" s="3"/>
      <c r="I3" s="3"/>
      <c r="J3" s="3"/>
      <c r="K3" s="3"/>
      <c r="L3" s="3"/>
      <c r="M3" s="3"/>
      <c r="N3" s="3"/>
      <c r="O3" s="3"/>
      <c r="P3" s="3"/>
      <c r="Q3" s="3"/>
      <c r="R3" s="3"/>
      <c r="S3" s="3"/>
      <c r="T3" s="3"/>
      <c r="U3" s="3"/>
      <c r="V3" s="3"/>
      <c r="W3" s="3"/>
      <c r="X3" s="3"/>
      <c r="Y3" s="3"/>
      <c r="Z3" s="3"/>
    </row>
    <row r="4" spans="1:26" ht="15" customHeight="1" x14ac:dyDescent="0.15">
      <c r="A4" s="3"/>
      <c r="B4" s="3"/>
      <c r="C4" s="3"/>
      <c r="D4" s="3"/>
      <c r="E4" s="3"/>
      <c r="F4" s="3"/>
      <c r="G4" s="3"/>
      <c r="H4" s="3"/>
      <c r="I4" s="3"/>
      <c r="J4" s="3"/>
      <c r="K4" s="3"/>
      <c r="L4" s="3"/>
      <c r="M4" s="3"/>
      <c r="N4" s="3"/>
      <c r="O4" s="3"/>
      <c r="P4" s="3"/>
      <c r="Q4" s="3"/>
      <c r="R4" s="3"/>
      <c r="S4" s="3"/>
      <c r="T4" s="3"/>
      <c r="U4" s="3"/>
      <c r="V4" s="3"/>
      <c r="W4" s="3"/>
      <c r="X4" s="3"/>
      <c r="Y4" s="3"/>
      <c r="Z4" s="3"/>
    </row>
    <row r="5" spans="1:26" ht="15" customHeight="1" x14ac:dyDescent="0.15">
      <c r="A5" s="3"/>
      <c r="B5" s="3"/>
      <c r="C5" s="3"/>
      <c r="D5" s="3"/>
      <c r="E5" s="3"/>
      <c r="F5" s="3"/>
      <c r="G5" s="3"/>
      <c r="H5" s="3"/>
      <c r="I5" s="3"/>
      <c r="J5" s="3"/>
      <c r="K5" s="3"/>
      <c r="L5" s="3"/>
      <c r="M5" s="3"/>
      <c r="N5" s="3"/>
      <c r="O5" s="3"/>
      <c r="P5" s="3"/>
      <c r="Q5" s="3"/>
      <c r="R5" s="3"/>
      <c r="S5" s="3"/>
      <c r="T5" s="3"/>
      <c r="U5" s="3"/>
      <c r="V5" s="3"/>
      <c r="W5" s="3"/>
      <c r="X5" s="3"/>
      <c r="Y5" s="3"/>
      <c r="Z5" s="3"/>
    </row>
    <row r="6" spans="1:26" ht="15" customHeight="1" x14ac:dyDescent="0.15">
      <c r="A6" s="3"/>
      <c r="B6" s="3"/>
      <c r="C6" s="3"/>
      <c r="D6" s="3"/>
      <c r="E6" s="3"/>
      <c r="F6" s="3"/>
      <c r="G6" s="3"/>
      <c r="H6" s="3"/>
      <c r="I6" s="3"/>
      <c r="J6" s="3"/>
      <c r="K6" s="3"/>
      <c r="L6" s="3"/>
      <c r="M6" s="3"/>
      <c r="N6" s="3"/>
      <c r="O6" s="3"/>
      <c r="P6" s="3"/>
      <c r="Q6" s="3"/>
      <c r="R6" s="3"/>
      <c r="S6" s="3"/>
      <c r="T6" s="3"/>
      <c r="U6" s="3"/>
      <c r="V6" s="3"/>
      <c r="W6" s="3"/>
      <c r="X6" s="3"/>
      <c r="Y6" s="3"/>
      <c r="Z6" s="3"/>
    </row>
    <row r="7" spans="1:26" ht="15" customHeight="1" x14ac:dyDescent="0.15">
      <c r="A7" s="3"/>
      <c r="B7" s="3"/>
      <c r="C7" s="3"/>
      <c r="D7" s="3"/>
      <c r="E7" s="3"/>
      <c r="F7" s="3"/>
      <c r="G7" s="3"/>
      <c r="H7" s="3"/>
      <c r="I7" s="3"/>
      <c r="J7" s="3"/>
      <c r="K7" s="3"/>
      <c r="L7" s="3"/>
      <c r="M7" s="3"/>
      <c r="N7" s="3"/>
      <c r="O7" s="3"/>
      <c r="P7" s="3"/>
      <c r="Q7" s="3"/>
      <c r="R7" s="3"/>
      <c r="S7" s="3"/>
      <c r="T7" s="3"/>
      <c r="U7" s="3"/>
      <c r="V7" s="3"/>
      <c r="W7" s="3"/>
      <c r="X7" s="3"/>
      <c r="Y7" s="3"/>
      <c r="Z7" s="3"/>
    </row>
    <row r="8" spans="1:26" ht="15" customHeight="1" x14ac:dyDescent="0.15">
      <c r="A8" s="3"/>
      <c r="B8" s="3"/>
      <c r="C8" s="3"/>
      <c r="D8" s="3"/>
      <c r="E8" s="3"/>
      <c r="F8" s="3"/>
      <c r="G8" s="3"/>
      <c r="H8" s="3"/>
      <c r="I8" s="3"/>
      <c r="J8" s="3"/>
      <c r="K8" s="3"/>
      <c r="L8" s="3"/>
      <c r="M8" s="3"/>
      <c r="N8" s="3"/>
      <c r="O8" s="3"/>
      <c r="P8" s="3"/>
      <c r="Q8" s="3"/>
      <c r="R8" s="3"/>
      <c r="S8" s="3"/>
      <c r="T8" s="3"/>
      <c r="U8" s="3"/>
      <c r="V8" s="3"/>
      <c r="W8" s="3"/>
      <c r="X8" s="3"/>
      <c r="Y8" s="3"/>
      <c r="Z8" s="3"/>
    </row>
    <row r="9" spans="1:26" ht="15" customHeight="1" x14ac:dyDescent="0.15">
      <c r="A9" s="3"/>
      <c r="B9" s="3"/>
      <c r="C9" s="3"/>
      <c r="D9" s="3"/>
      <c r="E9" s="3"/>
      <c r="F9" s="3"/>
      <c r="G9" s="3"/>
      <c r="H9" s="3"/>
      <c r="I9" s="3"/>
      <c r="J9" s="3"/>
      <c r="K9" s="3"/>
      <c r="L9" s="3"/>
      <c r="M9" s="3"/>
      <c r="N9" s="3"/>
      <c r="O9" s="3"/>
      <c r="P9" s="3"/>
      <c r="Q9" s="3"/>
      <c r="R9" s="3"/>
      <c r="S9" s="3"/>
      <c r="T9" s="3"/>
      <c r="U9" s="3"/>
      <c r="V9" s="3"/>
      <c r="W9" s="3"/>
      <c r="X9" s="3"/>
      <c r="Y9" s="3"/>
      <c r="Z9" s="3"/>
    </row>
    <row r="10" spans="1:26" ht="15" customHeight="1" x14ac:dyDescent="0.15">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5" customHeight="1" x14ac:dyDescent="0.15">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15">
      <c r="A12" s="3"/>
      <c r="B12" s="3"/>
      <c r="C12" s="3"/>
      <c r="D12" s="3"/>
      <c r="E12" s="3"/>
      <c r="F12" s="3"/>
      <c r="G12" s="3"/>
      <c r="H12" s="3"/>
      <c r="I12" s="3"/>
      <c r="J12" s="3"/>
      <c r="K12" s="3"/>
      <c r="L12" s="3"/>
      <c r="M12" s="3"/>
      <c r="N12" s="3"/>
      <c r="O12" s="3"/>
      <c r="P12" s="3"/>
      <c r="Q12" s="3"/>
      <c r="R12" s="3"/>
      <c r="S12" s="3"/>
      <c r="T12" s="3"/>
      <c r="U12" s="3"/>
      <c r="V12" s="3"/>
      <c r="W12" s="3"/>
      <c r="X12" s="3"/>
      <c r="Y12" s="3"/>
      <c r="Z12"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L1001"/>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width="31.1640625" customWidth="1"/>
    <col min="2" max="2" width="9.6640625" customWidth="1"/>
    <col min="3" max="3" width="6" customWidth="1"/>
    <col min="4" max="4" width="7" customWidth="1"/>
    <col min="5" max="6" width="5.1640625" customWidth="1"/>
    <col min="7" max="7" width="6" customWidth="1"/>
    <col min="8" max="8" width="6.83203125" customWidth="1"/>
    <col min="9" max="9" width="6" customWidth="1"/>
    <col min="10" max="10" width="7.6640625" customWidth="1"/>
    <col min="11" max="11" width="9.5" customWidth="1"/>
    <col min="12" max="12" width="9.6640625" customWidth="1"/>
    <col min="13" max="13" width="10.6640625" customWidth="1"/>
    <col min="14" max="14" width="9.1640625" customWidth="1"/>
    <col min="15" max="15" width="8.6640625" customWidth="1"/>
    <col min="16" max="16" width="9.5" customWidth="1"/>
    <col min="17" max="17" width="8.6640625" customWidth="1"/>
    <col min="18" max="18" width="7.5" customWidth="1"/>
    <col min="19" max="19" width="7.6640625" customWidth="1"/>
    <col min="20" max="20" width="7.33203125" customWidth="1"/>
    <col min="21" max="21" width="6" customWidth="1"/>
    <col min="22" max="22" width="9.6640625" customWidth="1"/>
    <col min="23" max="23" width="9.33203125" customWidth="1"/>
    <col min="24" max="24" width="6.5" customWidth="1"/>
    <col min="25" max="25" width="7.5" customWidth="1"/>
    <col min="26" max="27" width="5.6640625" customWidth="1"/>
  </cols>
  <sheetData>
    <row r="1" spans="1:38" x14ac:dyDescent="0.2">
      <c r="A1" s="2" t="str">
        <f ca="1">IFERROR(__xludf.DUMMYFUNCTION("index(importhtml(""https://finviz.com/groups.ashx?g=industry&amp;v=152&amp;o=name&amp;c=1,2,3,4,5,6,7,8,9,10,11,12,13,14,15,16,17,18,19,20,21,22,23,24,25,26"",""table"",9),0,0)"),"#N/A")</f>
        <v>#N/A</v>
      </c>
      <c r="B1" s="4"/>
      <c r="C1" s="4"/>
      <c r="D1" s="4"/>
      <c r="E1" s="4"/>
      <c r="F1" s="4"/>
      <c r="G1" s="4"/>
      <c r="H1" s="4"/>
      <c r="I1" s="4"/>
      <c r="J1" s="4"/>
      <c r="K1" s="4"/>
      <c r="L1" s="4"/>
      <c r="M1" s="4"/>
      <c r="N1" s="4"/>
      <c r="O1" s="4"/>
      <c r="P1" s="4"/>
      <c r="Q1" s="4"/>
      <c r="R1" s="4"/>
      <c r="S1" s="4"/>
      <c r="T1" s="4"/>
      <c r="U1" s="4"/>
      <c r="V1" s="4"/>
      <c r="W1" s="4"/>
      <c r="X1" s="4"/>
      <c r="Y1" s="4"/>
      <c r="Z1" s="4"/>
      <c r="AA1" s="4"/>
      <c r="AB1" s="4"/>
      <c r="AC1" s="5"/>
      <c r="AD1" s="5"/>
      <c r="AE1" s="5"/>
      <c r="AF1" s="5"/>
      <c r="AG1" s="5"/>
      <c r="AH1" s="5"/>
      <c r="AI1" s="5"/>
      <c r="AJ1" s="5"/>
      <c r="AK1" s="5"/>
      <c r="AL1" s="5"/>
    </row>
    <row r="2" spans="1:38" x14ac:dyDescent="0.2">
      <c r="A2" s="3"/>
      <c r="B2" s="6"/>
      <c r="C2" s="6"/>
      <c r="D2" s="6"/>
      <c r="E2" s="6"/>
      <c r="F2" s="6"/>
      <c r="G2" s="6"/>
      <c r="H2" s="6"/>
      <c r="I2" s="6"/>
      <c r="J2" s="6"/>
      <c r="K2" s="6"/>
      <c r="L2" s="6"/>
      <c r="M2" s="6"/>
      <c r="N2" s="6"/>
      <c r="O2" s="6"/>
      <c r="P2" s="6"/>
      <c r="Q2" s="6"/>
      <c r="R2" s="6"/>
      <c r="S2" s="6"/>
      <c r="T2" s="6"/>
      <c r="U2" s="6"/>
      <c r="V2" s="6"/>
      <c r="W2" s="6"/>
      <c r="X2" s="6"/>
      <c r="Y2" s="6"/>
      <c r="Z2" s="6"/>
      <c r="AA2" s="6"/>
      <c r="AB2" s="6"/>
      <c r="AC2" s="5"/>
      <c r="AD2" s="5"/>
      <c r="AE2" s="5"/>
      <c r="AF2" s="5"/>
      <c r="AG2" s="5"/>
      <c r="AH2" s="5"/>
      <c r="AI2" s="5"/>
      <c r="AJ2" s="5"/>
      <c r="AK2" s="5"/>
      <c r="AL2" s="5"/>
    </row>
    <row r="3" spans="1:38" x14ac:dyDescent="0.2">
      <c r="A3" s="3"/>
      <c r="B3" s="6"/>
      <c r="C3" s="6"/>
      <c r="D3" s="6"/>
      <c r="E3" s="6"/>
      <c r="F3" s="6"/>
      <c r="G3" s="6"/>
      <c r="H3" s="6"/>
      <c r="I3" s="6"/>
      <c r="J3" s="6"/>
      <c r="K3" s="6"/>
      <c r="L3" s="6"/>
      <c r="M3" s="6"/>
      <c r="N3" s="6"/>
      <c r="O3" s="6"/>
      <c r="P3" s="6"/>
      <c r="Q3" s="6"/>
      <c r="R3" s="6"/>
      <c r="S3" s="6"/>
      <c r="T3" s="6"/>
      <c r="U3" s="6"/>
      <c r="V3" s="6"/>
      <c r="W3" s="6"/>
      <c r="X3" s="6"/>
      <c r="Y3" s="6"/>
      <c r="Z3" s="6"/>
      <c r="AA3" s="6"/>
      <c r="AB3" s="6"/>
      <c r="AC3" s="5"/>
      <c r="AD3" s="5"/>
      <c r="AE3" s="5"/>
      <c r="AF3" s="5"/>
      <c r="AG3" s="5"/>
      <c r="AH3" s="5"/>
      <c r="AI3" s="5"/>
      <c r="AJ3" s="5"/>
      <c r="AK3" s="5"/>
      <c r="AL3" s="5"/>
    </row>
    <row r="4" spans="1:38" x14ac:dyDescent="0.2">
      <c r="A4" s="6"/>
      <c r="B4" s="6"/>
      <c r="C4" s="6"/>
      <c r="D4" s="6"/>
      <c r="E4" s="6"/>
      <c r="F4" s="6"/>
      <c r="G4" s="6"/>
      <c r="H4" s="6"/>
      <c r="I4" s="6"/>
      <c r="J4" s="6"/>
      <c r="K4" s="6"/>
      <c r="L4" s="6"/>
      <c r="M4" s="6"/>
      <c r="N4" s="6"/>
      <c r="O4" s="6"/>
      <c r="P4" s="6"/>
      <c r="Q4" s="6"/>
      <c r="R4" s="6"/>
      <c r="S4" s="6"/>
      <c r="T4" s="6"/>
      <c r="U4" s="6"/>
      <c r="V4" s="6"/>
      <c r="W4" s="6"/>
      <c r="X4" s="6"/>
      <c r="Y4" s="6"/>
      <c r="Z4" s="6"/>
      <c r="AA4" s="6"/>
      <c r="AB4" s="6"/>
      <c r="AC4" s="5"/>
      <c r="AD4" s="5"/>
      <c r="AE4" s="5"/>
      <c r="AF4" s="5"/>
      <c r="AG4" s="5"/>
      <c r="AH4" s="5"/>
      <c r="AI4" s="5"/>
      <c r="AJ4" s="5"/>
      <c r="AK4" s="5"/>
      <c r="AL4" s="5"/>
    </row>
    <row r="5" spans="1:38" x14ac:dyDescent="0.2">
      <c r="A5" s="3"/>
      <c r="B5" s="6"/>
      <c r="C5" s="6"/>
      <c r="D5" s="6"/>
      <c r="E5" s="6"/>
      <c r="F5" s="6"/>
      <c r="G5" s="6"/>
      <c r="H5" s="6"/>
      <c r="I5" s="6"/>
      <c r="J5" s="6"/>
      <c r="K5" s="6"/>
      <c r="L5" s="6"/>
      <c r="M5" s="6"/>
      <c r="N5" s="6"/>
      <c r="O5" s="6"/>
      <c r="P5" s="6"/>
      <c r="Q5" s="6"/>
      <c r="R5" s="6"/>
      <c r="S5" s="6"/>
      <c r="T5" s="6"/>
      <c r="U5" s="6"/>
      <c r="V5" s="6"/>
      <c r="W5" s="6"/>
      <c r="X5" s="6"/>
      <c r="Y5" s="6"/>
      <c r="Z5" s="6"/>
      <c r="AA5" s="6"/>
      <c r="AB5" s="6"/>
      <c r="AC5" s="5"/>
      <c r="AD5" s="5"/>
      <c r="AE5" s="5"/>
      <c r="AF5" s="5"/>
      <c r="AG5" s="5"/>
      <c r="AH5" s="5"/>
      <c r="AI5" s="5"/>
      <c r="AJ5" s="5"/>
      <c r="AK5" s="5"/>
      <c r="AL5" s="5"/>
    </row>
    <row r="6" spans="1:38" x14ac:dyDescent="0.2">
      <c r="A6" s="6"/>
      <c r="B6" s="6"/>
      <c r="C6" s="6"/>
      <c r="D6" s="6"/>
      <c r="E6" s="6"/>
      <c r="F6" s="6"/>
      <c r="G6" s="6"/>
      <c r="H6" s="6"/>
      <c r="I6" s="6"/>
      <c r="J6" s="6"/>
      <c r="K6" s="6"/>
      <c r="L6" s="6"/>
      <c r="M6" s="6"/>
      <c r="N6" s="6"/>
      <c r="O6" s="6"/>
      <c r="P6" s="6"/>
      <c r="Q6" s="6"/>
      <c r="R6" s="6"/>
      <c r="S6" s="6"/>
      <c r="T6" s="6"/>
      <c r="U6" s="6"/>
      <c r="V6" s="6"/>
      <c r="W6" s="6"/>
      <c r="X6" s="6"/>
      <c r="Y6" s="6"/>
      <c r="Z6" s="6"/>
      <c r="AA6" s="6"/>
      <c r="AB6" s="6"/>
      <c r="AC6" s="5"/>
      <c r="AD6" s="5"/>
      <c r="AE6" s="5"/>
      <c r="AF6" s="5"/>
      <c r="AG6" s="5"/>
      <c r="AH6" s="5"/>
      <c r="AI6" s="5"/>
      <c r="AJ6" s="5"/>
      <c r="AK6" s="5"/>
      <c r="AL6" s="5"/>
    </row>
    <row r="7" spans="1:38" x14ac:dyDescent="0.2">
      <c r="A7" s="6"/>
      <c r="B7" s="6"/>
      <c r="C7" s="6"/>
      <c r="D7" s="6"/>
      <c r="E7" s="6"/>
      <c r="F7" s="6"/>
      <c r="G7" s="6"/>
      <c r="H7" s="6"/>
      <c r="I7" s="6"/>
      <c r="J7" s="6"/>
      <c r="K7" s="6"/>
      <c r="L7" s="6"/>
      <c r="M7" s="6"/>
      <c r="N7" s="6"/>
      <c r="O7" s="6"/>
      <c r="P7" s="6"/>
      <c r="Q7" s="6"/>
      <c r="R7" s="6"/>
      <c r="S7" s="6"/>
      <c r="T7" s="6"/>
      <c r="U7" s="6"/>
      <c r="V7" s="6"/>
      <c r="W7" s="6"/>
      <c r="X7" s="6"/>
      <c r="Y7" s="6"/>
      <c r="Z7" s="6"/>
      <c r="AA7" s="6"/>
      <c r="AB7" s="6"/>
      <c r="AC7" s="5"/>
      <c r="AD7" s="5"/>
      <c r="AE7" s="5"/>
      <c r="AF7" s="5"/>
      <c r="AG7" s="5"/>
      <c r="AH7" s="5"/>
      <c r="AI7" s="5"/>
      <c r="AJ7" s="5"/>
      <c r="AK7" s="5"/>
      <c r="AL7" s="5"/>
    </row>
    <row r="8" spans="1:38" x14ac:dyDescent="0.2">
      <c r="A8" s="7"/>
      <c r="B8" s="6"/>
      <c r="C8" s="6"/>
      <c r="D8" s="6"/>
      <c r="E8" s="6"/>
      <c r="F8" s="6"/>
      <c r="G8" s="6"/>
      <c r="H8" s="6"/>
      <c r="I8" s="6"/>
      <c r="J8" s="6"/>
      <c r="K8" s="6"/>
      <c r="L8" s="6"/>
      <c r="M8" s="6"/>
      <c r="N8" s="6"/>
      <c r="O8" s="6"/>
      <c r="P8" s="6"/>
      <c r="Q8" s="6"/>
      <c r="R8" s="6"/>
      <c r="S8" s="6"/>
      <c r="T8" s="6"/>
      <c r="U8" s="6"/>
      <c r="V8" s="6"/>
      <c r="W8" s="6"/>
      <c r="X8" s="6"/>
      <c r="Y8" s="6"/>
      <c r="Z8" s="6"/>
      <c r="AA8" s="6"/>
      <c r="AB8" s="6"/>
      <c r="AC8" s="5"/>
      <c r="AD8" s="5"/>
      <c r="AE8" s="5"/>
      <c r="AF8" s="5"/>
      <c r="AG8" s="5"/>
      <c r="AH8" s="5"/>
      <c r="AI8" s="5"/>
      <c r="AJ8" s="5"/>
      <c r="AK8" s="5"/>
      <c r="AL8" s="5"/>
    </row>
    <row r="9" spans="1:38" x14ac:dyDescent="0.2">
      <c r="A9" s="6"/>
      <c r="B9" s="6"/>
      <c r="C9" s="6"/>
      <c r="D9" s="6"/>
      <c r="E9" s="6"/>
      <c r="F9" s="6"/>
      <c r="G9" s="6"/>
      <c r="H9" s="6"/>
      <c r="I9" s="6"/>
      <c r="J9" s="6"/>
      <c r="K9" s="6"/>
      <c r="L9" s="6"/>
      <c r="M9" s="6"/>
      <c r="N9" s="6"/>
      <c r="O9" s="6"/>
      <c r="P9" s="6"/>
      <c r="Q9" s="6"/>
      <c r="R9" s="6"/>
      <c r="S9" s="6"/>
      <c r="T9" s="6"/>
      <c r="U9" s="6"/>
      <c r="V9" s="6"/>
      <c r="W9" s="6"/>
      <c r="X9" s="6"/>
      <c r="Y9" s="6"/>
      <c r="Z9" s="6"/>
      <c r="AA9" s="6"/>
      <c r="AB9" s="6"/>
      <c r="AC9" s="5"/>
      <c r="AD9" s="5"/>
      <c r="AE9" s="5"/>
      <c r="AF9" s="5"/>
      <c r="AG9" s="5"/>
      <c r="AH9" s="5"/>
      <c r="AI9" s="5"/>
      <c r="AJ9" s="5"/>
      <c r="AK9" s="5"/>
      <c r="AL9" s="5"/>
    </row>
    <row r="10" spans="1:38" x14ac:dyDescent="0.2">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5"/>
      <c r="AD10" s="5"/>
      <c r="AE10" s="5"/>
      <c r="AF10" s="5"/>
      <c r="AG10" s="5"/>
      <c r="AH10" s="5"/>
      <c r="AI10" s="5"/>
      <c r="AJ10" s="5"/>
      <c r="AK10" s="5"/>
      <c r="AL10" s="5"/>
    </row>
    <row r="11" spans="1:38" x14ac:dyDescent="0.2">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5"/>
      <c r="AD11" s="5"/>
      <c r="AE11" s="5"/>
      <c r="AF11" s="5"/>
      <c r="AG11" s="5"/>
      <c r="AH11" s="5"/>
      <c r="AI11" s="5"/>
      <c r="AJ11" s="5"/>
      <c r="AK11" s="5"/>
      <c r="AL11" s="5"/>
    </row>
    <row r="12" spans="1:38" x14ac:dyDescent="0.2">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5"/>
      <c r="AD12" s="5"/>
      <c r="AE12" s="5"/>
      <c r="AF12" s="5"/>
      <c r="AG12" s="5"/>
      <c r="AH12" s="5"/>
      <c r="AI12" s="5"/>
      <c r="AJ12" s="5"/>
      <c r="AK12" s="5"/>
      <c r="AL12" s="5"/>
    </row>
    <row r="13" spans="1:38" x14ac:dyDescent="0.2">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5"/>
      <c r="AD13" s="5"/>
      <c r="AE13" s="5"/>
      <c r="AF13" s="5"/>
      <c r="AG13" s="5"/>
      <c r="AH13" s="5"/>
      <c r="AI13" s="5"/>
      <c r="AJ13" s="5"/>
      <c r="AK13" s="5"/>
      <c r="AL13" s="5"/>
    </row>
    <row r="14" spans="1:38" x14ac:dyDescent="0.2">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5"/>
      <c r="AD14" s="5"/>
      <c r="AE14" s="5"/>
      <c r="AF14" s="5"/>
      <c r="AG14" s="5"/>
      <c r="AH14" s="5"/>
      <c r="AI14" s="5"/>
      <c r="AJ14" s="5"/>
      <c r="AK14" s="5"/>
      <c r="AL14" s="5"/>
    </row>
    <row r="15" spans="1:38" x14ac:dyDescent="0.2">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5"/>
      <c r="AD15" s="5"/>
      <c r="AE15" s="5"/>
      <c r="AF15" s="5"/>
      <c r="AG15" s="5"/>
      <c r="AH15" s="5"/>
      <c r="AI15" s="5"/>
      <c r="AJ15" s="5"/>
      <c r="AK15" s="5"/>
      <c r="AL15" s="5"/>
    </row>
    <row r="16" spans="1:38" x14ac:dyDescent="0.2">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5"/>
      <c r="AD16" s="5"/>
      <c r="AE16" s="5"/>
      <c r="AF16" s="5"/>
      <c r="AG16" s="5"/>
      <c r="AH16" s="5"/>
      <c r="AI16" s="5"/>
      <c r="AJ16" s="5"/>
      <c r="AK16" s="5"/>
      <c r="AL16" s="5"/>
    </row>
    <row r="17" spans="1:38" x14ac:dyDescent="0.2">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5"/>
      <c r="AD17" s="5"/>
      <c r="AE17" s="5"/>
      <c r="AF17" s="5"/>
      <c r="AG17" s="5"/>
      <c r="AH17" s="5"/>
      <c r="AI17" s="5"/>
      <c r="AJ17" s="5"/>
      <c r="AK17" s="5"/>
      <c r="AL17" s="5"/>
    </row>
    <row r="18" spans="1:38" x14ac:dyDescent="0.2">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5"/>
      <c r="AD18" s="5"/>
      <c r="AE18" s="5"/>
      <c r="AF18" s="5"/>
      <c r="AG18" s="5"/>
      <c r="AH18" s="5"/>
      <c r="AI18" s="5"/>
      <c r="AJ18" s="5"/>
      <c r="AK18" s="5"/>
      <c r="AL18" s="5"/>
    </row>
    <row r="19" spans="1:38" x14ac:dyDescent="0.2">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5"/>
      <c r="AD19" s="5"/>
      <c r="AE19" s="5"/>
      <c r="AF19" s="5"/>
      <c r="AG19" s="5"/>
      <c r="AH19" s="5"/>
      <c r="AI19" s="5"/>
      <c r="AJ19" s="5"/>
      <c r="AK19" s="5"/>
      <c r="AL19" s="5"/>
    </row>
    <row r="20" spans="1:38" x14ac:dyDescent="0.2">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5"/>
      <c r="AD20" s="5"/>
      <c r="AE20" s="5"/>
      <c r="AF20" s="5"/>
      <c r="AG20" s="5"/>
      <c r="AH20" s="5"/>
      <c r="AI20" s="5"/>
      <c r="AJ20" s="5"/>
      <c r="AK20" s="5"/>
      <c r="AL20" s="5"/>
    </row>
    <row r="21" spans="1:38" x14ac:dyDescent="0.2">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5"/>
      <c r="AD21" s="5"/>
      <c r="AE21" s="5"/>
      <c r="AF21" s="5"/>
      <c r="AG21" s="5"/>
      <c r="AH21" s="5"/>
      <c r="AI21" s="5"/>
      <c r="AJ21" s="5"/>
      <c r="AK21" s="5"/>
      <c r="AL21" s="5"/>
    </row>
    <row r="22" spans="1:38" x14ac:dyDescent="0.2">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5"/>
      <c r="AD22" s="5"/>
      <c r="AE22" s="5"/>
      <c r="AF22" s="5"/>
      <c r="AG22" s="5"/>
      <c r="AH22" s="5"/>
      <c r="AI22" s="5"/>
      <c r="AJ22" s="5"/>
      <c r="AK22" s="5"/>
      <c r="AL22" s="5"/>
    </row>
    <row r="23" spans="1:38" x14ac:dyDescent="0.2">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5"/>
      <c r="AD23" s="5"/>
      <c r="AE23" s="5"/>
      <c r="AF23" s="5"/>
      <c r="AG23" s="5"/>
      <c r="AH23" s="5"/>
      <c r="AI23" s="5"/>
      <c r="AJ23" s="5"/>
      <c r="AK23" s="5"/>
      <c r="AL23" s="5"/>
    </row>
    <row r="24" spans="1:38" x14ac:dyDescent="0.2">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5"/>
      <c r="AD24" s="5"/>
      <c r="AE24" s="5"/>
      <c r="AF24" s="5"/>
      <c r="AG24" s="5"/>
      <c r="AH24" s="5"/>
      <c r="AI24" s="5"/>
      <c r="AJ24" s="5"/>
      <c r="AK24" s="5"/>
      <c r="AL24" s="5"/>
    </row>
    <row r="25" spans="1:38" x14ac:dyDescent="0.2">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5"/>
      <c r="AD25" s="5"/>
      <c r="AE25" s="5"/>
      <c r="AF25" s="5"/>
      <c r="AG25" s="5"/>
      <c r="AH25" s="5"/>
      <c r="AI25" s="5"/>
      <c r="AJ25" s="5"/>
      <c r="AK25" s="5"/>
      <c r="AL25" s="5"/>
    </row>
    <row r="26" spans="1:38" x14ac:dyDescent="0.2">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5"/>
      <c r="AD26" s="5"/>
      <c r="AE26" s="5"/>
      <c r="AF26" s="5"/>
      <c r="AG26" s="5"/>
      <c r="AH26" s="5"/>
      <c r="AI26" s="5"/>
      <c r="AJ26" s="5"/>
      <c r="AK26" s="5"/>
      <c r="AL26" s="5"/>
    </row>
    <row r="27" spans="1:38" x14ac:dyDescent="0.2">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5"/>
      <c r="AD27" s="5"/>
      <c r="AE27" s="5"/>
      <c r="AF27" s="5"/>
      <c r="AG27" s="5"/>
      <c r="AH27" s="5"/>
      <c r="AI27" s="5"/>
      <c r="AJ27" s="5"/>
      <c r="AK27" s="5"/>
      <c r="AL27" s="5"/>
    </row>
    <row r="28" spans="1:38" x14ac:dyDescent="0.2">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5"/>
      <c r="AD28" s="5"/>
      <c r="AE28" s="5"/>
      <c r="AF28" s="5"/>
      <c r="AG28" s="5"/>
      <c r="AH28" s="5"/>
      <c r="AI28" s="5"/>
      <c r="AJ28" s="5"/>
      <c r="AK28" s="5"/>
      <c r="AL28" s="5"/>
    </row>
    <row r="29" spans="1:38" x14ac:dyDescent="0.2">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5"/>
      <c r="AD29" s="5"/>
      <c r="AE29" s="5"/>
      <c r="AF29" s="5"/>
      <c r="AG29" s="5"/>
      <c r="AH29" s="5"/>
      <c r="AI29" s="5"/>
      <c r="AJ29" s="5"/>
      <c r="AK29" s="5"/>
      <c r="AL29" s="5"/>
    </row>
    <row r="30" spans="1:38" x14ac:dyDescent="0.2">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5"/>
      <c r="AD30" s="5"/>
      <c r="AE30" s="5"/>
      <c r="AF30" s="5"/>
      <c r="AG30" s="5"/>
      <c r="AH30" s="5"/>
      <c r="AI30" s="5"/>
      <c r="AJ30" s="5"/>
      <c r="AK30" s="5"/>
      <c r="AL30" s="5"/>
    </row>
    <row r="31" spans="1:38" x14ac:dyDescent="0.2">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5"/>
      <c r="AD31" s="5"/>
      <c r="AE31" s="5"/>
      <c r="AF31" s="5"/>
      <c r="AG31" s="5"/>
      <c r="AH31" s="5"/>
      <c r="AI31" s="5"/>
      <c r="AJ31" s="5"/>
      <c r="AK31" s="5"/>
      <c r="AL31" s="5"/>
    </row>
    <row r="32" spans="1:38" x14ac:dyDescent="0.2">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5"/>
      <c r="AD32" s="5"/>
      <c r="AE32" s="5"/>
      <c r="AF32" s="5"/>
      <c r="AG32" s="5"/>
      <c r="AH32" s="5"/>
      <c r="AI32" s="5"/>
      <c r="AJ32" s="5"/>
      <c r="AK32" s="5"/>
      <c r="AL32" s="5"/>
    </row>
    <row r="33" spans="1:38" x14ac:dyDescent="0.2">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5"/>
      <c r="AD33" s="5"/>
      <c r="AE33" s="5"/>
      <c r="AF33" s="5"/>
      <c r="AG33" s="5"/>
      <c r="AH33" s="5"/>
      <c r="AI33" s="5"/>
      <c r="AJ33" s="5"/>
      <c r="AK33" s="5"/>
      <c r="AL33" s="5"/>
    </row>
    <row r="34" spans="1:38" x14ac:dyDescent="0.2">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5"/>
      <c r="AD34" s="5"/>
      <c r="AE34" s="5"/>
      <c r="AF34" s="5"/>
      <c r="AG34" s="5"/>
      <c r="AH34" s="5"/>
      <c r="AI34" s="5"/>
      <c r="AJ34" s="5"/>
      <c r="AK34" s="5"/>
      <c r="AL34" s="5"/>
    </row>
    <row r="35" spans="1:38" x14ac:dyDescent="0.2">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5"/>
      <c r="AD35" s="5"/>
      <c r="AE35" s="5"/>
      <c r="AF35" s="5"/>
      <c r="AG35" s="5"/>
      <c r="AH35" s="5"/>
      <c r="AI35" s="5"/>
      <c r="AJ35" s="5"/>
      <c r="AK35" s="5"/>
      <c r="AL35" s="5"/>
    </row>
    <row r="36" spans="1:38" x14ac:dyDescent="0.2">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5"/>
      <c r="AD36" s="5"/>
      <c r="AE36" s="5"/>
      <c r="AF36" s="5"/>
      <c r="AG36" s="5"/>
      <c r="AH36" s="5"/>
      <c r="AI36" s="5"/>
      <c r="AJ36" s="5"/>
      <c r="AK36" s="5"/>
      <c r="AL36" s="5"/>
    </row>
    <row r="37" spans="1:38" x14ac:dyDescent="0.2">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5"/>
      <c r="AD37" s="5"/>
      <c r="AE37" s="5"/>
      <c r="AF37" s="5"/>
      <c r="AG37" s="5"/>
      <c r="AH37" s="5"/>
      <c r="AI37" s="5"/>
      <c r="AJ37" s="5"/>
      <c r="AK37" s="5"/>
      <c r="AL37" s="5"/>
    </row>
    <row r="38" spans="1:38" x14ac:dyDescent="0.2">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5"/>
      <c r="AD38" s="5"/>
      <c r="AE38" s="5"/>
      <c r="AF38" s="5"/>
      <c r="AG38" s="5"/>
      <c r="AH38" s="5"/>
      <c r="AI38" s="5"/>
      <c r="AJ38" s="5"/>
      <c r="AK38" s="5"/>
      <c r="AL38" s="5"/>
    </row>
    <row r="39" spans="1:38" x14ac:dyDescent="0.2">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5"/>
      <c r="AD39" s="5"/>
      <c r="AE39" s="5"/>
      <c r="AF39" s="5"/>
      <c r="AG39" s="5"/>
      <c r="AH39" s="5"/>
      <c r="AI39" s="5"/>
      <c r="AJ39" s="5"/>
      <c r="AK39" s="5"/>
      <c r="AL39" s="5"/>
    </row>
    <row r="40" spans="1:38" x14ac:dyDescent="0.2">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5"/>
      <c r="AD40" s="5"/>
      <c r="AE40" s="5"/>
      <c r="AF40" s="5"/>
      <c r="AG40" s="5"/>
      <c r="AH40" s="5"/>
      <c r="AI40" s="5"/>
      <c r="AJ40" s="5"/>
      <c r="AK40" s="5"/>
      <c r="AL40" s="5"/>
    </row>
    <row r="41" spans="1:38" x14ac:dyDescent="0.2">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5"/>
      <c r="AD41" s="5"/>
      <c r="AE41" s="5"/>
      <c r="AF41" s="5"/>
      <c r="AG41" s="5"/>
      <c r="AH41" s="5"/>
      <c r="AI41" s="5"/>
      <c r="AJ41" s="5"/>
      <c r="AK41" s="5"/>
      <c r="AL41" s="5"/>
    </row>
    <row r="42" spans="1:38" x14ac:dyDescent="0.2">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5"/>
      <c r="AD42" s="5"/>
      <c r="AE42" s="5"/>
      <c r="AF42" s="5"/>
      <c r="AG42" s="5"/>
      <c r="AH42" s="5"/>
      <c r="AI42" s="5"/>
      <c r="AJ42" s="5"/>
      <c r="AK42" s="5"/>
      <c r="AL42" s="5"/>
    </row>
    <row r="43" spans="1:38" x14ac:dyDescent="0.2">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5"/>
      <c r="AD43" s="5"/>
      <c r="AE43" s="5"/>
      <c r="AF43" s="5"/>
      <c r="AG43" s="5"/>
      <c r="AH43" s="5"/>
      <c r="AI43" s="5"/>
      <c r="AJ43" s="5"/>
      <c r="AK43" s="5"/>
      <c r="AL43" s="5"/>
    </row>
    <row r="44" spans="1:38" x14ac:dyDescent="0.2">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5"/>
      <c r="AD44" s="5"/>
      <c r="AE44" s="5"/>
      <c r="AF44" s="5"/>
      <c r="AG44" s="5"/>
      <c r="AH44" s="5"/>
      <c r="AI44" s="5"/>
      <c r="AJ44" s="5"/>
      <c r="AK44" s="5"/>
      <c r="AL44" s="5"/>
    </row>
    <row r="45" spans="1:38" x14ac:dyDescent="0.2">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5"/>
      <c r="AD45" s="5"/>
      <c r="AE45" s="5"/>
      <c r="AF45" s="5"/>
      <c r="AG45" s="5"/>
      <c r="AH45" s="5"/>
      <c r="AI45" s="5"/>
      <c r="AJ45" s="5"/>
      <c r="AK45" s="5"/>
      <c r="AL45" s="5"/>
    </row>
    <row r="46" spans="1:38" x14ac:dyDescent="0.2">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5"/>
      <c r="AD46" s="5"/>
      <c r="AE46" s="5"/>
      <c r="AF46" s="5"/>
      <c r="AG46" s="5"/>
      <c r="AH46" s="5"/>
      <c r="AI46" s="5"/>
      <c r="AJ46" s="5"/>
      <c r="AK46" s="5"/>
      <c r="AL46" s="5"/>
    </row>
    <row r="47" spans="1:38" x14ac:dyDescent="0.2">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5"/>
      <c r="AD47" s="5"/>
      <c r="AE47" s="5"/>
      <c r="AF47" s="5"/>
      <c r="AG47" s="5"/>
      <c r="AH47" s="5"/>
      <c r="AI47" s="5"/>
      <c r="AJ47" s="5"/>
      <c r="AK47" s="5"/>
      <c r="AL47" s="5"/>
    </row>
    <row r="48" spans="1:38" x14ac:dyDescent="0.2">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5"/>
      <c r="AD48" s="5"/>
      <c r="AE48" s="5"/>
      <c r="AF48" s="5"/>
      <c r="AG48" s="5"/>
      <c r="AH48" s="5"/>
      <c r="AI48" s="5"/>
      <c r="AJ48" s="5"/>
      <c r="AK48" s="5"/>
      <c r="AL48" s="5"/>
    </row>
    <row r="49" spans="1:38" x14ac:dyDescent="0.2">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5"/>
      <c r="AD49" s="5"/>
      <c r="AE49" s="5"/>
      <c r="AF49" s="5"/>
      <c r="AG49" s="5"/>
      <c r="AH49" s="5"/>
      <c r="AI49" s="5"/>
      <c r="AJ49" s="5"/>
      <c r="AK49" s="5"/>
      <c r="AL49" s="5"/>
    </row>
    <row r="50" spans="1:38" x14ac:dyDescent="0.2">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5"/>
      <c r="AD50" s="5"/>
      <c r="AE50" s="5"/>
      <c r="AF50" s="5"/>
      <c r="AG50" s="5"/>
      <c r="AH50" s="5"/>
      <c r="AI50" s="5"/>
      <c r="AJ50" s="5"/>
      <c r="AK50" s="5"/>
      <c r="AL50" s="5"/>
    </row>
    <row r="51" spans="1:38" x14ac:dyDescent="0.2">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5"/>
      <c r="AD51" s="5"/>
      <c r="AE51" s="5"/>
      <c r="AF51" s="5"/>
      <c r="AG51" s="5"/>
      <c r="AH51" s="5"/>
      <c r="AI51" s="5"/>
      <c r="AJ51" s="5"/>
      <c r="AK51" s="5"/>
      <c r="AL51" s="5"/>
    </row>
    <row r="52" spans="1:38" x14ac:dyDescent="0.2">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5"/>
      <c r="AD52" s="5"/>
      <c r="AE52" s="5"/>
      <c r="AF52" s="5"/>
      <c r="AG52" s="5"/>
      <c r="AH52" s="5"/>
      <c r="AI52" s="5"/>
      <c r="AJ52" s="5"/>
      <c r="AK52" s="5"/>
      <c r="AL52" s="5"/>
    </row>
    <row r="53" spans="1:38" x14ac:dyDescent="0.2">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5"/>
      <c r="AD53" s="5"/>
      <c r="AE53" s="5"/>
      <c r="AF53" s="5"/>
      <c r="AG53" s="5"/>
      <c r="AH53" s="5"/>
      <c r="AI53" s="5"/>
      <c r="AJ53" s="5"/>
      <c r="AK53" s="5"/>
      <c r="AL53" s="5"/>
    </row>
    <row r="54" spans="1:38" x14ac:dyDescent="0.2">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5"/>
      <c r="AD54" s="5"/>
      <c r="AE54" s="5"/>
      <c r="AF54" s="5"/>
      <c r="AG54" s="5"/>
      <c r="AH54" s="5"/>
      <c r="AI54" s="5"/>
      <c r="AJ54" s="5"/>
      <c r="AK54" s="5"/>
      <c r="AL54" s="5"/>
    </row>
    <row r="55" spans="1:38" x14ac:dyDescent="0.2">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5"/>
      <c r="AD55" s="5"/>
      <c r="AE55" s="5"/>
      <c r="AF55" s="5"/>
      <c r="AG55" s="5"/>
      <c r="AH55" s="5"/>
      <c r="AI55" s="5"/>
      <c r="AJ55" s="5"/>
      <c r="AK55" s="5"/>
      <c r="AL55" s="5"/>
    </row>
    <row r="56" spans="1:38" x14ac:dyDescent="0.2">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5"/>
      <c r="AD56" s="5"/>
      <c r="AE56" s="5"/>
      <c r="AF56" s="5"/>
      <c r="AG56" s="5"/>
      <c r="AH56" s="5"/>
      <c r="AI56" s="5"/>
      <c r="AJ56" s="5"/>
      <c r="AK56" s="5"/>
      <c r="AL56" s="5"/>
    </row>
    <row r="57" spans="1:38" x14ac:dyDescent="0.2">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5"/>
      <c r="AD57" s="5"/>
      <c r="AE57" s="5"/>
      <c r="AF57" s="5"/>
      <c r="AG57" s="5"/>
      <c r="AH57" s="5"/>
      <c r="AI57" s="5"/>
      <c r="AJ57" s="5"/>
      <c r="AK57" s="5"/>
      <c r="AL57" s="5"/>
    </row>
    <row r="58" spans="1:38" x14ac:dyDescent="0.2">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5"/>
      <c r="AD58" s="5"/>
      <c r="AE58" s="5"/>
      <c r="AF58" s="5"/>
      <c r="AG58" s="5"/>
      <c r="AH58" s="5"/>
      <c r="AI58" s="5"/>
      <c r="AJ58" s="5"/>
      <c r="AK58" s="5"/>
      <c r="AL58" s="5"/>
    </row>
    <row r="59" spans="1:38" x14ac:dyDescent="0.2">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5"/>
      <c r="AD59" s="5"/>
      <c r="AE59" s="5"/>
      <c r="AF59" s="5"/>
      <c r="AG59" s="5"/>
      <c r="AH59" s="5"/>
      <c r="AI59" s="5"/>
      <c r="AJ59" s="5"/>
      <c r="AK59" s="5"/>
      <c r="AL59" s="5"/>
    </row>
    <row r="60" spans="1:38" x14ac:dyDescent="0.2">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5"/>
      <c r="AD60" s="5"/>
      <c r="AE60" s="5"/>
      <c r="AF60" s="5"/>
      <c r="AG60" s="5"/>
      <c r="AH60" s="5"/>
      <c r="AI60" s="5"/>
      <c r="AJ60" s="5"/>
      <c r="AK60" s="5"/>
      <c r="AL60" s="5"/>
    </row>
    <row r="61" spans="1:38" x14ac:dyDescent="0.2">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5"/>
      <c r="AD61" s="5"/>
      <c r="AE61" s="5"/>
      <c r="AF61" s="5"/>
      <c r="AG61" s="5"/>
      <c r="AH61" s="5"/>
      <c r="AI61" s="5"/>
      <c r="AJ61" s="5"/>
      <c r="AK61" s="5"/>
      <c r="AL61" s="5"/>
    </row>
    <row r="62" spans="1:38" x14ac:dyDescent="0.2">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5"/>
      <c r="AD62" s="5"/>
      <c r="AE62" s="5"/>
      <c r="AF62" s="5"/>
      <c r="AG62" s="5"/>
      <c r="AH62" s="5"/>
      <c r="AI62" s="5"/>
      <c r="AJ62" s="5"/>
      <c r="AK62" s="5"/>
      <c r="AL62" s="5"/>
    </row>
    <row r="63" spans="1:38" x14ac:dyDescent="0.2">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5"/>
      <c r="AD63" s="5"/>
      <c r="AE63" s="5"/>
      <c r="AF63" s="5"/>
      <c r="AG63" s="5"/>
      <c r="AH63" s="5"/>
      <c r="AI63" s="5"/>
      <c r="AJ63" s="5"/>
      <c r="AK63" s="5"/>
      <c r="AL63" s="5"/>
    </row>
    <row r="64" spans="1:38" x14ac:dyDescent="0.2">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5"/>
      <c r="AD64" s="5"/>
      <c r="AE64" s="5"/>
      <c r="AF64" s="5"/>
      <c r="AG64" s="5"/>
      <c r="AH64" s="5"/>
      <c r="AI64" s="5"/>
      <c r="AJ64" s="5"/>
      <c r="AK64" s="5"/>
      <c r="AL64" s="5"/>
    </row>
    <row r="65" spans="1:38" x14ac:dyDescent="0.2">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5"/>
      <c r="AD65" s="5"/>
      <c r="AE65" s="5"/>
      <c r="AF65" s="5"/>
      <c r="AG65" s="5"/>
      <c r="AH65" s="5"/>
      <c r="AI65" s="5"/>
      <c r="AJ65" s="5"/>
      <c r="AK65" s="5"/>
      <c r="AL65" s="5"/>
    </row>
    <row r="66" spans="1:38" x14ac:dyDescent="0.2">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5"/>
      <c r="AD66" s="5"/>
      <c r="AE66" s="5"/>
      <c r="AF66" s="5"/>
      <c r="AG66" s="5"/>
      <c r="AH66" s="5"/>
      <c r="AI66" s="5"/>
      <c r="AJ66" s="5"/>
      <c r="AK66" s="5"/>
      <c r="AL66" s="5"/>
    </row>
    <row r="67" spans="1:38" x14ac:dyDescent="0.2">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5"/>
      <c r="AD67" s="5"/>
      <c r="AE67" s="5"/>
      <c r="AF67" s="5"/>
      <c r="AG67" s="5"/>
      <c r="AH67" s="5"/>
      <c r="AI67" s="5"/>
      <c r="AJ67" s="5"/>
      <c r="AK67" s="5"/>
      <c r="AL67" s="5"/>
    </row>
    <row r="68" spans="1:38" x14ac:dyDescent="0.2">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5"/>
      <c r="AD68" s="5"/>
      <c r="AE68" s="5"/>
      <c r="AF68" s="5"/>
      <c r="AG68" s="5"/>
      <c r="AH68" s="5"/>
      <c r="AI68" s="5"/>
      <c r="AJ68" s="5"/>
      <c r="AK68" s="5"/>
      <c r="AL68" s="5"/>
    </row>
    <row r="69" spans="1:38" x14ac:dyDescent="0.2">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5"/>
      <c r="AD69" s="5"/>
      <c r="AE69" s="5"/>
      <c r="AF69" s="5"/>
      <c r="AG69" s="5"/>
      <c r="AH69" s="5"/>
      <c r="AI69" s="5"/>
      <c r="AJ69" s="5"/>
      <c r="AK69" s="5"/>
      <c r="AL69" s="5"/>
    </row>
    <row r="70" spans="1:38" x14ac:dyDescent="0.2">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5"/>
      <c r="AD70" s="5"/>
      <c r="AE70" s="5"/>
      <c r="AF70" s="5"/>
      <c r="AG70" s="5"/>
      <c r="AH70" s="5"/>
      <c r="AI70" s="5"/>
      <c r="AJ70" s="5"/>
      <c r="AK70" s="5"/>
      <c r="AL70" s="5"/>
    </row>
    <row r="71" spans="1:38" x14ac:dyDescent="0.2">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5"/>
      <c r="AD71" s="5"/>
      <c r="AE71" s="5"/>
      <c r="AF71" s="5"/>
      <c r="AG71" s="5"/>
      <c r="AH71" s="5"/>
      <c r="AI71" s="5"/>
      <c r="AJ71" s="5"/>
      <c r="AK71" s="5"/>
      <c r="AL71" s="5"/>
    </row>
    <row r="72" spans="1:38" x14ac:dyDescent="0.2">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5"/>
      <c r="AD72" s="5"/>
      <c r="AE72" s="5"/>
      <c r="AF72" s="5"/>
      <c r="AG72" s="5"/>
      <c r="AH72" s="5"/>
      <c r="AI72" s="5"/>
      <c r="AJ72" s="5"/>
      <c r="AK72" s="5"/>
      <c r="AL72" s="5"/>
    </row>
    <row r="73" spans="1:38" x14ac:dyDescent="0.2">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5"/>
      <c r="AD73" s="5"/>
      <c r="AE73" s="5"/>
      <c r="AF73" s="5"/>
      <c r="AG73" s="5"/>
      <c r="AH73" s="5"/>
      <c r="AI73" s="5"/>
      <c r="AJ73" s="5"/>
      <c r="AK73" s="5"/>
      <c r="AL73" s="5"/>
    </row>
    <row r="74" spans="1:38" x14ac:dyDescent="0.2">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5"/>
      <c r="AD74" s="5"/>
      <c r="AE74" s="5"/>
      <c r="AF74" s="5"/>
      <c r="AG74" s="5"/>
      <c r="AH74" s="5"/>
      <c r="AI74" s="5"/>
      <c r="AJ74" s="5"/>
      <c r="AK74" s="5"/>
      <c r="AL74" s="5"/>
    </row>
    <row r="75" spans="1:38" x14ac:dyDescent="0.2">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5"/>
      <c r="AD75" s="5"/>
      <c r="AE75" s="5"/>
      <c r="AF75" s="5"/>
      <c r="AG75" s="5"/>
      <c r="AH75" s="5"/>
      <c r="AI75" s="5"/>
      <c r="AJ75" s="5"/>
      <c r="AK75" s="5"/>
      <c r="AL75" s="5"/>
    </row>
    <row r="76" spans="1:38" x14ac:dyDescent="0.2">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5"/>
      <c r="AD76" s="5"/>
      <c r="AE76" s="5"/>
      <c r="AF76" s="5"/>
      <c r="AG76" s="5"/>
      <c r="AH76" s="5"/>
      <c r="AI76" s="5"/>
      <c r="AJ76" s="5"/>
      <c r="AK76" s="5"/>
      <c r="AL76" s="5"/>
    </row>
    <row r="77" spans="1:38" x14ac:dyDescent="0.2">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5"/>
      <c r="AD77" s="5"/>
      <c r="AE77" s="5"/>
      <c r="AF77" s="5"/>
      <c r="AG77" s="5"/>
      <c r="AH77" s="5"/>
      <c r="AI77" s="5"/>
      <c r="AJ77" s="5"/>
      <c r="AK77" s="5"/>
      <c r="AL77" s="5"/>
    </row>
    <row r="78" spans="1:38" x14ac:dyDescent="0.2">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5"/>
      <c r="AD78" s="5"/>
      <c r="AE78" s="5"/>
      <c r="AF78" s="5"/>
      <c r="AG78" s="5"/>
      <c r="AH78" s="5"/>
      <c r="AI78" s="5"/>
      <c r="AJ78" s="5"/>
      <c r="AK78" s="5"/>
      <c r="AL78" s="5"/>
    </row>
    <row r="79" spans="1:38" x14ac:dyDescent="0.2">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5"/>
      <c r="AD79" s="5"/>
      <c r="AE79" s="5"/>
      <c r="AF79" s="5"/>
      <c r="AG79" s="5"/>
      <c r="AH79" s="5"/>
      <c r="AI79" s="5"/>
      <c r="AJ79" s="5"/>
      <c r="AK79" s="5"/>
      <c r="AL79" s="5"/>
    </row>
    <row r="80" spans="1:38" x14ac:dyDescent="0.2">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5"/>
      <c r="AD80" s="5"/>
      <c r="AE80" s="5"/>
      <c r="AF80" s="5"/>
      <c r="AG80" s="5"/>
      <c r="AH80" s="5"/>
      <c r="AI80" s="5"/>
      <c r="AJ80" s="5"/>
      <c r="AK80" s="5"/>
      <c r="AL80" s="5"/>
    </row>
    <row r="81" spans="1:38" x14ac:dyDescent="0.2">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5"/>
      <c r="AD81" s="5"/>
      <c r="AE81" s="5"/>
      <c r="AF81" s="5"/>
      <c r="AG81" s="5"/>
      <c r="AH81" s="5"/>
      <c r="AI81" s="5"/>
      <c r="AJ81" s="5"/>
      <c r="AK81" s="5"/>
      <c r="AL81" s="5"/>
    </row>
    <row r="82" spans="1:38" x14ac:dyDescent="0.2">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5"/>
      <c r="AD82" s="5"/>
      <c r="AE82" s="5"/>
      <c r="AF82" s="5"/>
      <c r="AG82" s="5"/>
      <c r="AH82" s="5"/>
      <c r="AI82" s="5"/>
      <c r="AJ82" s="5"/>
      <c r="AK82" s="5"/>
      <c r="AL82" s="5"/>
    </row>
    <row r="83" spans="1:38" x14ac:dyDescent="0.2">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5"/>
      <c r="AD83" s="5"/>
      <c r="AE83" s="5"/>
      <c r="AF83" s="5"/>
      <c r="AG83" s="5"/>
      <c r="AH83" s="5"/>
      <c r="AI83" s="5"/>
      <c r="AJ83" s="5"/>
      <c r="AK83" s="5"/>
      <c r="AL83" s="5"/>
    </row>
    <row r="84" spans="1:38" x14ac:dyDescent="0.2">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5"/>
      <c r="AD84" s="5"/>
      <c r="AE84" s="5"/>
      <c r="AF84" s="5"/>
      <c r="AG84" s="5"/>
      <c r="AH84" s="5"/>
      <c r="AI84" s="5"/>
      <c r="AJ84" s="5"/>
      <c r="AK84" s="5"/>
      <c r="AL84" s="5"/>
    </row>
    <row r="85" spans="1:38" x14ac:dyDescent="0.2">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5"/>
      <c r="AD85" s="5"/>
      <c r="AE85" s="5"/>
      <c r="AF85" s="5"/>
      <c r="AG85" s="5"/>
      <c r="AH85" s="5"/>
      <c r="AI85" s="5"/>
      <c r="AJ85" s="5"/>
      <c r="AK85" s="5"/>
      <c r="AL85" s="5"/>
    </row>
    <row r="86" spans="1:38" x14ac:dyDescent="0.2">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5"/>
      <c r="AD86" s="5"/>
      <c r="AE86" s="5"/>
      <c r="AF86" s="5"/>
      <c r="AG86" s="5"/>
      <c r="AH86" s="5"/>
      <c r="AI86" s="5"/>
      <c r="AJ86" s="5"/>
      <c r="AK86" s="5"/>
      <c r="AL86" s="5"/>
    </row>
    <row r="87" spans="1:38" x14ac:dyDescent="0.2">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5"/>
      <c r="AD87" s="5"/>
      <c r="AE87" s="5"/>
      <c r="AF87" s="5"/>
      <c r="AG87" s="5"/>
      <c r="AH87" s="5"/>
      <c r="AI87" s="5"/>
      <c r="AJ87" s="5"/>
      <c r="AK87" s="5"/>
      <c r="AL87" s="5"/>
    </row>
    <row r="88" spans="1:38" x14ac:dyDescent="0.2">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5"/>
      <c r="AD88" s="5"/>
      <c r="AE88" s="5"/>
      <c r="AF88" s="5"/>
      <c r="AG88" s="5"/>
      <c r="AH88" s="5"/>
      <c r="AI88" s="5"/>
      <c r="AJ88" s="5"/>
      <c r="AK88" s="5"/>
      <c r="AL88" s="5"/>
    </row>
    <row r="89" spans="1:38" x14ac:dyDescent="0.2">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5"/>
      <c r="AD89" s="5"/>
      <c r="AE89" s="5"/>
      <c r="AF89" s="5"/>
      <c r="AG89" s="5"/>
      <c r="AH89" s="5"/>
      <c r="AI89" s="5"/>
      <c r="AJ89" s="5"/>
      <c r="AK89" s="5"/>
      <c r="AL89" s="5"/>
    </row>
    <row r="90" spans="1:38" x14ac:dyDescent="0.2">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5"/>
      <c r="AD90" s="5"/>
      <c r="AE90" s="5"/>
      <c r="AF90" s="5"/>
      <c r="AG90" s="5"/>
      <c r="AH90" s="5"/>
      <c r="AI90" s="5"/>
      <c r="AJ90" s="5"/>
      <c r="AK90" s="5"/>
      <c r="AL90" s="5"/>
    </row>
    <row r="91" spans="1:38" x14ac:dyDescent="0.2">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5"/>
      <c r="AD91" s="5"/>
      <c r="AE91" s="5"/>
      <c r="AF91" s="5"/>
      <c r="AG91" s="5"/>
      <c r="AH91" s="5"/>
      <c r="AI91" s="5"/>
      <c r="AJ91" s="5"/>
      <c r="AK91" s="5"/>
      <c r="AL91" s="5"/>
    </row>
    <row r="92" spans="1:38" x14ac:dyDescent="0.2">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5"/>
      <c r="AD92" s="5"/>
      <c r="AE92" s="5"/>
      <c r="AF92" s="5"/>
      <c r="AG92" s="5"/>
      <c r="AH92" s="5"/>
      <c r="AI92" s="5"/>
      <c r="AJ92" s="5"/>
      <c r="AK92" s="5"/>
      <c r="AL92" s="5"/>
    </row>
    <row r="93" spans="1:38" x14ac:dyDescent="0.2">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5"/>
      <c r="AD93" s="5"/>
      <c r="AE93" s="5"/>
      <c r="AF93" s="5"/>
      <c r="AG93" s="5"/>
      <c r="AH93" s="5"/>
      <c r="AI93" s="5"/>
      <c r="AJ93" s="5"/>
      <c r="AK93" s="5"/>
      <c r="AL93" s="5"/>
    </row>
    <row r="94" spans="1:38" x14ac:dyDescent="0.2">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5"/>
      <c r="AD94" s="5"/>
      <c r="AE94" s="5"/>
      <c r="AF94" s="5"/>
      <c r="AG94" s="5"/>
      <c r="AH94" s="5"/>
      <c r="AI94" s="5"/>
      <c r="AJ94" s="5"/>
      <c r="AK94" s="5"/>
      <c r="AL94" s="5"/>
    </row>
    <row r="95" spans="1:38" x14ac:dyDescent="0.2">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5"/>
      <c r="AD95" s="5"/>
      <c r="AE95" s="5"/>
      <c r="AF95" s="5"/>
      <c r="AG95" s="5"/>
      <c r="AH95" s="5"/>
      <c r="AI95" s="5"/>
      <c r="AJ95" s="5"/>
      <c r="AK95" s="5"/>
      <c r="AL95" s="5"/>
    </row>
    <row r="96" spans="1:38" x14ac:dyDescent="0.2">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5"/>
      <c r="AD96" s="5"/>
      <c r="AE96" s="5"/>
      <c r="AF96" s="5"/>
      <c r="AG96" s="5"/>
      <c r="AH96" s="5"/>
      <c r="AI96" s="5"/>
      <c r="AJ96" s="5"/>
      <c r="AK96" s="5"/>
      <c r="AL96" s="5"/>
    </row>
    <row r="97" spans="1:38" x14ac:dyDescent="0.2">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5"/>
      <c r="AD97" s="5"/>
      <c r="AE97" s="5"/>
      <c r="AF97" s="5"/>
      <c r="AG97" s="5"/>
      <c r="AH97" s="5"/>
      <c r="AI97" s="5"/>
      <c r="AJ97" s="5"/>
      <c r="AK97" s="5"/>
      <c r="AL97" s="5"/>
    </row>
    <row r="98" spans="1:38" x14ac:dyDescent="0.2">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5"/>
      <c r="AD98" s="5"/>
      <c r="AE98" s="5"/>
      <c r="AF98" s="5"/>
      <c r="AG98" s="5"/>
      <c r="AH98" s="5"/>
      <c r="AI98" s="5"/>
      <c r="AJ98" s="5"/>
      <c r="AK98" s="5"/>
      <c r="AL98" s="5"/>
    </row>
    <row r="99" spans="1:38" x14ac:dyDescent="0.2">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5"/>
      <c r="AD99" s="5"/>
      <c r="AE99" s="5"/>
      <c r="AF99" s="5"/>
      <c r="AG99" s="5"/>
      <c r="AH99" s="5"/>
      <c r="AI99" s="5"/>
      <c r="AJ99" s="5"/>
      <c r="AK99" s="5"/>
      <c r="AL99" s="5"/>
    </row>
    <row r="100" spans="1:38" x14ac:dyDescent="0.2">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5"/>
      <c r="AD100" s="5"/>
      <c r="AE100" s="5"/>
      <c r="AF100" s="5"/>
      <c r="AG100" s="5"/>
      <c r="AH100" s="5"/>
      <c r="AI100" s="5"/>
      <c r="AJ100" s="5"/>
      <c r="AK100" s="5"/>
      <c r="AL100" s="5"/>
    </row>
    <row r="101" spans="1:38" x14ac:dyDescent="0.2">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5"/>
      <c r="AD101" s="5"/>
      <c r="AE101" s="5"/>
      <c r="AF101" s="5"/>
      <c r="AG101" s="5"/>
      <c r="AH101" s="5"/>
      <c r="AI101" s="5"/>
      <c r="AJ101" s="5"/>
      <c r="AK101" s="5"/>
      <c r="AL101" s="5"/>
    </row>
    <row r="102" spans="1:38" x14ac:dyDescent="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5"/>
      <c r="AD102" s="5"/>
      <c r="AE102" s="5"/>
      <c r="AF102" s="5"/>
      <c r="AG102" s="5"/>
      <c r="AH102" s="5"/>
      <c r="AI102" s="5"/>
      <c r="AJ102" s="5"/>
      <c r="AK102" s="5"/>
      <c r="AL102" s="5"/>
    </row>
    <row r="103" spans="1:38" x14ac:dyDescent="0.2">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5"/>
      <c r="AD103" s="5"/>
      <c r="AE103" s="5"/>
      <c r="AF103" s="5"/>
      <c r="AG103" s="5"/>
      <c r="AH103" s="5"/>
      <c r="AI103" s="5"/>
      <c r="AJ103" s="5"/>
      <c r="AK103" s="5"/>
      <c r="AL103" s="5"/>
    </row>
    <row r="104" spans="1:38" x14ac:dyDescent="0.2">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5"/>
      <c r="AD104" s="5"/>
      <c r="AE104" s="5"/>
      <c r="AF104" s="5"/>
      <c r="AG104" s="5"/>
      <c r="AH104" s="5"/>
      <c r="AI104" s="5"/>
      <c r="AJ104" s="5"/>
      <c r="AK104" s="5"/>
      <c r="AL104" s="5"/>
    </row>
    <row r="105" spans="1:38" x14ac:dyDescent="0.2">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5"/>
      <c r="AD105" s="5"/>
      <c r="AE105" s="5"/>
      <c r="AF105" s="5"/>
      <c r="AG105" s="5"/>
      <c r="AH105" s="5"/>
      <c r="AI105" s="5"/>
      <c r="AJ105" s="5"/>
      <c r="AK105" s="5"/>
      <c r="AL105" s="5"/>
    </row>
    <row r="106" spans="1:38" x14ac:dyDescent="0.2">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5"/>
      <c r="AD106" s="5"/>
      <c r="AE106" s="5"/>
      <c r="AF106" s="5"/>
      <c r="AG106" s="5"/>
      <c r="AH106" s="5"/>
      <c r="AI106" s="5"/>
      <c r="AJ106" s="5"/>
      <c r="AK106" s="5"/>
      <c r="AL106" s="5"/>
    </row>
    <row r="107" spans="1:38" x14ac:dyDescent="0.2">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5"/>
      <c r="AD107" s="5"/>
      <c r="AE107" s="5"/>
      <c r="AF107" s="5"/>
      <c r="AG107" s="5"/>
      <c r="AH107" s="5"/>
      <c r="AI107" s="5"/>
      <c r="AJ107" s="5"/>
      <c r="AK107" s="5"/>
      <c r="AL107" s="5"/>
    </row>
    <row r="108" spans="1:38" x14ac:dyDescent="0.2">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5"/>
      <c r="AD108" s="5"/>
      <c r="AE108" s="5"/>
      <c r="AF108" s="5"/>
      <c r="AG108" s="5"/>
      <c r="AH108" s="5"/>
      <c r="AI108" s="5"/>
      <c r="AJ108" s="5"/>
      <c r="AK108" s="5"/>
      <c r="AL108" s="5"/>
    </row>
    <row r="109" spans="1:38" x14ac:dyDescent="0.2">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5"/>
      <c r="AD109" s="5"/>
      <c r="AE109" s="5"/>
      <c r="AF109" s="5"/>
      <c r="AG109" s="5"/>
      <c r="AH109" s="5"/>
      <c r="AI109" s="5"/>
      <c r="AJ109" s="5"/>
      <c r="AK109" s="5"/>
      <c r="AL109" s="5"/>
    </row>
    <row r="110" spans="1:38" x14ac:dyDescent="0.2">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5"/>
      <c r="AD110" s="5"/>
      <c r="AE110" s="5"/>
      <c r="AF110" s="5"/>
      <c r="AG110" s="5"/>
      <c r="AH110" s="5"/>
      <c r="AI110" s="5"/>
      <c r="AJ110" s="5"/>
      <c r="AK110" s="5"/>
      <c r="AL110" s="5"/>
    </row>
    <row r="111" spans="1:38" x14ac:dyDescent="0.2">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5"/>
      <c r="AD111" s="5"/>
      <c r="AE111" s="5"/>
      <c r="AF111" s="5"/>
      <c r="AG111" s="5"/>
      <c r="AH111" s="5"/>
      <c r="AI111" s="5"/>
      <c r="AJ111" s="5"/>
      <c r="AK111" s="5"/>
      <c r="AL111" s="5"/>
    </row>
    <row r="112" spans="1:38" x14ac:dyDescent="0.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5"/>
      <c r="AD112" s="5"/>
      <c r="AE112" s="5"/>
      <c r="AF112" s="5"/>
      <c r="AG112" s="5"/>
      <c r="AH112" s="5"/>
      <c r="AI112" s="5"/>
      <c r="AJ112" s="5"/>
      <c r="AK112" s="5"/>
      <c r="AL112" s="5"/>
    </row>
    <row r="113" spans="1:38" x14ac:dyDescent="0.2">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5"/>
      <c r="AD113" s="5"/>
      <c r="AE113" s="5"/>
      <c r="AF113" s="5"/>
      <c r="AG113" s="5"/>
      <c r="AH113" s="5"/>
      <c r="AI113" s="5"/>
      <c r="AJ113" s="5"/>
      <c r="AK113" s="5"/>
      <c r="AL113" s="5"/>
    </row>
    <row r="114" spans="1:38" x14ac:dyDescent="0.2">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5"/>
      <c r="AD114" s="5"/>
      <c r="AE114" s="5"/>
      <c r="AF114" s="5"/>
      <c r="AG114" s="5"/>
      <c r="AH114" s="5"/>
      <c r="AI114" s="5"/>
      <c r="AJ114" s="5"/>
      <c r="AK114" s="5"/>
      <c r="AL114" s="5"/>
    </row>
    <row r="115" spans="1:38" x14ac:dyDescent="0.2">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5"/>
      <c r="AD115" s="5"/>
      <c r="AE115" s="5"/>
      <c r="AF115" s="5"/>
      <c r="AG115" s="5"/>
      <c r="AH115" s="5"/>
      <c r="AI115" s="5"/>
      <c r="AJ115" s="5"/>
      <c r="AK115" s="5"/>
      <c r="AL115" s="5"/>
    </row>
    <row r="116" spans="1:38" x14ac:dyDescent="0.2">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5"/>
      <c r="AD116" s="5"/>
      <c r="AE116" s="5"/>
      <c r="AF116" s="5"/>
      <c r="AG116" s="5"/>
      <c r="AH116" s="5"/>
      <c r="AI116" s="5"/>
      <c r="AJ116" s="5"/>
      <c r="AK116" s="5"/>
      <c r="AL116" s="5"/>
    </row>
    <row r="117" spans="1:38" x14ac:dyDescent="0.2">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5"/>
      <c r="AD117" s="5"/>
      <c r="AE117" s="5"/>
      <c r="AF117" s="5"/>
      <c r="AG117" s="5"/>
      <c r="AH117" s="5"/>
      <c r="AI117" s="5"/>
      <c r="AJ117" s="5"/>
      <c r="AK117" s="5"/>
      <c r="AL117" s="5"/>
    </row>
    <row r="118" spans="1:38" x14ac:dyDescent="0.2">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5"/>
      <c r="AD118" s="5"/>
      <c r="AE118" s="5"/>
      <c r="AF118" s="5"/>
      <c r="AG118" s="5"/>
      <c r="AH118" s="5"/>
      <c r="AI118" s="5"/>
      <c r="AJ118" s="5"/>
      <c r="AK118" s="5"/>
      <c r="AL118" s="5"/>
    </row>
    <row r="119" spans="1:38" x14ac:dyDescent="0.2">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5"/>
      <c r="AD119" s="5"/>
      <c r="AE119" s="5"/>
      <c r="AF119" s="5"/>
      <c r="AG119" s="5"/>
      <c r="AH119" s="5"/>
      <c r="AI119" s="5"/>
      <c r="AJ119" s="5"/>
      <c r="AK119" s="5"/>
      <c r="AL119" s="5"/>
    </row>
    <row r="120" spans="1:38" x14ac:dyDescent="0.2">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5"/>
      <c r="AD120" s="5"/>
      <c r="AE120" s="5"/>
      <c r="AF120" s="5"/>
      <c r="AG120" s="5"/>
      <c r="AH120" s="5"/>
      <c r="AI120" s="5"/>
      <c r="AJ120" s="5"/>
      <c r="AK120" s="5"/>
      <c r="AL120" s="5"/>
    </row>
    <row r="121" spans="1:38" x14ac:dyDescent="0.2">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5"/>
      <c r="AD121" s="5"/>
      <c r="AE121" s="5"/>
      <c r="AF121" s="5"/>
      <c r="AG121" s="5"/>
      <c r="AH121" s="5"/>
      <c r="AI121" s="5"/>
      <c r="AJ121" s="5"/>
      <c r="AK121" s="5"/>
      <c r="AL121" s="5"/>
    </row>
    <row r="122" spans="1:38" x14ac:dyDescent="0.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5"/>
      <c r="AD122" s="5"/>
      <c r="AE122" s="5"/>
      <c r="AF122" s="5"/>
      <c r="AG122" s="5"/>
      <c r="AH122" s="5"/>
      <c r="AI122" s="5"/>
      <c r="AJ122" s="5"/>
      <c r="AK122" s="5"/>
      <c r="AL122" s="5"/>
    </row>
    <row r="123" spans="1:38" x14ac:dyDescent="0.2">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5"/>
      <c r="AD123" s="5"/>
      <c r="AE123" s="5"/>
      <c r="AF123" s="5"/>
      <c r="AG123" s="5"/>
      <c r="AH123" s="5"/>
      <c r="AI123" s="5"/>
      <c r="AJ123" s="5"/>
      <c r="AK123" s="5"/>
      <c r="AL123" s="5"/>
    </row>
    <row r="124" spans="1:38" x14ac:dyDescent="0.2">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5"/>
      <c r="AD124" s="5"/>
      <c r="AE124" s="5"/>
      <c r="AF124" s="5"/>
      <c r="AG124" s="5"/>
      <c r="AH124" s="5"/>
      <c r="AI124" s="5"/>
      <c r="AJ124" s="5"/>
      <c r="AK124" s="5"/>
      <c r="AL124" s="5"/>
    </row>
    <row r="125" spans="1:38" x14ac:dyDescent="0.2">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5"/>
      <c r="AD125" s="5"/>
      <c r="AE125" s="5"/>
      <c r="AF125" s="5"/>
      <c r="AG125" s="5"/>
      <c r="AH125" s="5"/>
      <c r="AI125" s="5"/>
      <c r="AJ125" s="5"/>
      <c r="AK125" s="5"/>
      <c r="AL125" s="5"/>
    </row>
    <row r="126" spans="1:38" x14ac:dyDescent="0.2">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5"/>
      <c r="AD126" s="5"/>
      <c r="AE126" s="5"/>
      <c r="AF126" s="5"/>
      <c r="AG126" s="5"/>
      <c r="AH126" s="5"/>
      <c r="AI126" s="5"/>
      <c r="AJ126" s="5"/>
      <c r="AK126" s="5"/>
      <c r="AL126" s="5"/>
    </row>
    <row r="127" spans="1:38" x14ac:dyDescent="0.2">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5"/>
      <c r="AD127" s="5"/>
      <c r="AE127" s="5"/>
      <c r="AF127" s="5"/>
      <c r="AG127" s="5"/>
      <c r="AH127" s="5"/>
      <c r="AI127" s="5"/>
      <c r="AJ127" s="5"/>
      <c r="AK127" s="5"/>
      <c r="AL127" s="5"/>
    </row>
    <row r="128" spans="1:38" x14ac:dyDescent="0.2">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5"/>
      <c r="AD128" s="5"/>
      <c r="AE128" s="5"/>
      <c r="AF128" s="5"/>
      <c r="AG128" s="5"/>
      <c r="AH128" s="5"/>
      <c r="AI128" s="5"/>
      <c r="AJ128" s="5"/>
      <c r="AK128" s="5"/>
      <c r="AL128" s="5"/>
    </row>
    <row r="129" spans="1:38" x14ac:dyDescent="0.2">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5"/>
      <c r="AD129" s="5"/>
      <c r="AE129" s="5"/>
      <c r="AF129" s="5"/>
      <c r="AG129" s="5"/>
      <c r="AH129" s="5"/>
      <c r="AI129" s="5"/>
      <c r="AJ129" s="5"/>
      <c r="AK129" s="5"/>
      <c r="AL129" s="5"/>
    </row>
    <row r="130" spans="1:38" x14ac:dyDescent="0.2">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5"/>
      <c r="AD130" s="5"/>
      <c r="AE130" s="5"/>
      <c r="AF130" s="5"/>
      <c r="AG130" s="5"/>
      <c r="AH130" s="5"/>
      <c r="AI130" s="5"/>
      <c r="AJ130" s="5"/>
      <c r="AK130" s="5"/>
      <c r="AL130" s="5"/>
    </row>
    <row r="131" spans="1:38" x14ac:dyDescent="0.2">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5"/>
      <c r="AD131" s="5"/>
      <c r="AE131" s="5"/>
      <c r="AF131" s="5"/>
      <c r="AG131" s="5"/>
      <c r="AH131" s="5"/>
      <c r="AI131" s="5"/>
      <c r="AJ131" s="5"/>
      <c r="AK131" s="5"/>
      <c r="AL131" s="5"/>
    </row>
    <row r="132" spans="1:38" x14ac:dyDescent="0.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5"/>
      <c r="AD132" s="5"/>
      <c r="AE132" s="5"/>
      <c r="AF132" s="5"/>
      <c r="AG132" s="5"/>
      <c r="AH132" s="5"/>
      <c r="AI132" s="5"/>
      <c r="AJ132" s="5"/>
      <c r="AK132" s="5"/>
      <c r="AL132" s="5"/>
    </row>
    <row r="133" spans="1:38" x14ac:dyDescent="0.2">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5"/>
      <c r="AD133" s="5"/>
      <c r="AE133" s="5"/>
      <c r="AF133" s="5"/>
      <c r="AG133" s="5"/>
      <c r="AH133" s="5"/>
      <c r="AI133" s="5"/>
      <c r="AJ133" s="5"/>
      <c r="AK133" s="5"/>
      <c r="AL133" s="5"/>
    </row>
    <row r="134" spans="1:38" x14ac:dyDescent="0.2">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5"/>
      <c r="AD134" s="5"/>
      <c r="AE134" s="5"/>
      <c r="AF134" s="5"/>
      <c r="AG134" s="5"/>
      <c r="AH134" s="5"/>
      <c r="AI134" s="5"/>
      <c r="AJ134" s="5"/>
      <c r="AK134" s="5"/>
      <c r="AL134" s="5"/>
    </row>
    <row r="135" spans="1:38" x14ac:dyDescent="0.2">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5"/>
      <c r="AD135" s="5"/>
      <c r="AE135" s="5"/>
      <c r="AF135" s="5"/>
      <c r="AG135" s="5"/>
      <c r="AH135" s="5"/>
      <c r="AI135" s="5"/>
      <c r="AJ135" s="5"/>
      <c r="AK135" s="5"/>
      <c r="AL135" s="5"/>
    </row>
    <row r="136" spans="1:38" x14ac:dyDescent="0.2">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5"/>
      <c r="AD136" s="5"/>
      <c r="AE136" s="5"/>
      <c r="AF136" s="5"/>
      <c r="AG136" s="5"/>
      <c r="AH136" s="5"/>
      <c r="AI136" s="5"/>
      <c r="AJ136" s="5"/>
      <c r="AK136" s="5"/>
      <c r="AL136" s="5"/>
    </row>
    <row r="137" spans="1:38" x14ac:dyDescent="0.2">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5"/>
      <c r="AD137" s="5"/>
      <c r="AE137" s="5"/>
      <c r="AF137" s="5"/>
      <c r="AG137" s="5"/>
      <c r="AH137" s="5"/>
      <c r="AI137" s="5"/>
      <c r="AJ137" s="5"/>
      <c r="AK137" s="5"/>
      <c r="AL137" s="5"/>
    </row>
    <row r="138" spans="1:38" x14ac:dyDescent="0.2">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5"/>
      <c r="AD138" s="5"/>
      <c r="AE138" s="5"/>
      <c r="AF138" s="5"/>
      <c r="AG138" s="5"/>
      <c r="AH138" s="5"/>
      <c r="AI138" s="5"/>
      <c r="AJ138" s="5"/>
      <c r="AK138" s="5"/>
      <c r="AL138" s="5"/>
    </row>
    <row r="139" spans="1:38" x14ac:dyDescent="0.2">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5"/>
      <c r="AD139" s="5"/>
      <c r="AE139" s="5"/>
      <c r="AF139" s="5"/>
      <c r="AG139" s="5"/>
      <c r="AH139" s="5"/>
      <c r="AI139" s="5"/>
      <c r="AJ139" s="5"/>
      <c r="AK139" s="5"/>
      <c r="AL139" s="5"/>
    </row>
    <row r="140" spans="1:38" x14ac:dyDescent="0.2">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5"/>
      <c r="AD140" s="5"/>
      <c r="AE140" s="5"/>
      <c r="AF140" s="5"/>
      <c r="AG140" s="5"/>
      <c r="AH140" s="5"/>
      <c r="AI140" s="5"/>
      <c r="AJ140" s="5"/>
      <c r="AK140" s="5"/>
      <c r="AL140" s="5"/>
    </row>
    <row r="141" spans="1:38" x14ac:dyDescent="0.2">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5"/>
      <c r="AD141" s="5"/>
      <c r="AE141" s="5"/>
      <c r="AF141" s="5"/>
      <c r="AG141" s="5"/>
      <c r="AH141" s="5"/>
      <c r="AI141" s="5"/>
      <c r="AJ141" s="5"/>
      <c r="AK141" s="5"/>
      <c r="AL141" s="5"/>
    </row>
    <row r="142" spans="1:38" x14ac:dyDescent="0.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5"/>
      <c r="AD142" s="5"/>
      <c r="AE142" s="5"/>
      <c r="AF142" s="5"/>
      <c r="AG142" s="5"/>
      <c r="AH142" s="5"/>
      <c r="AI142" s="5"/>
      <c r="AJ142" s="5"/>
      <c r="AK142" s="5"/>
      <c r="AL142" s="5"/>
    </row>
    <row r="143" spans="1:38" x14ac:dyDescent="0.2">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5"/>
      <c r="AD143" s="5"/>
      <c r="AE143" s="5"/>
      <c r="AF143" s="5"/>
      <c r="AG143" s="5"/>
      <c r="AH143" s="5"/>
      <c r="AI143" s="5"/>
      <c r="AJ143" s="5"/>
      <c r="AK143" s="5"/>
      <c r="AL143" s="5"/>
    </row>
    <row r="144" spans="1:38" x14ac:dyDescent="0.2">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5"/>
      <c r="AD144" s="5"/>
      <c r="AE144" s="5"/>
      <c r="AF144" s="5"/>
      <c r="AG144" s="5"/>
      <c r="AH144" s="5"/>
      <c r="AI144" s="5"/>
      <c r="AJ144" s="5"/>
      <c r="AK144" s="5"/>
      <c r="AL144" s="5"/>
    </row>
    <row r="145" spans="1:38" x14ac:dyDescent="0.2">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5"/>
      <c r="AD145" s="5"/>
      <c r="AE145" s="5"/>
      <c r="AF145" s="5"/>
      <c r="AG145" s="5"/>
      <c r="AH145" s="5"/>
      <c r="AI145" s="5"/>
      <c r="AJ145" s="5"/>
      <c r="AK145" s="5"/>
      <c r="AL145" s="5"/>
    </row>
    <row r="146" spans="1:38"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row>
    <row r="147" spans="1:38"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row>
    <row r="148" spans="1:38"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row>
    <row r="149" spans="1:38"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row>
    <row r="150" spans="1:38"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row>
    <row r="151" spans="1:38"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row>
    <row r="152" spans="1:38"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row>
    <row r="153" spans="1:38"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row>
    <row r="154" spans="1:38"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row>
    <row r="155" spans="1:38"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row>
    <row r="156" spans="1:38"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row>
    <row r="157" spans="1:38"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row>
    <row r="158" spans="1:38"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row>
    <row r="159" spans="1:38"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row>
    <row r="160" spans="1:38"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row>
    <row r="161" spans="1:38"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row>
    <row r="162" spans="1:38"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row>
    <row r="163" spans="1:38"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row>
    <row r="164" spans="1:38"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row>
    <row r="165" spans="1:38"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row>
    <row r="166" spans="1:38"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row>
    <row r="167" spans="1:38"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row>
    <row r="168" spans="1:38"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row>
    <row r="169" spans="1:38"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row>
    <row r="170" spans="1:38"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row>
    <row r="171" spans="1:38"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row>
    <row r="172" spans="1:38"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row>
    <row r="173" spans="1:38"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row>
    <row r="174" spans="1:38"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row>
    <row r="175" spans="1:38"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row>
    <row r="176" spans="1:38"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row>
    <row r="177" spans="1:38"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row>
    <row r="178" spans="1:38"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row>
    <row r="179" spans="1:38"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row>
    <row r="180" spans="1:38"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row>
    <row r="181" spans="1:38"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row>
    <row r="182" spans="1:38"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row>
    <row r="183" spans="1:38"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row>
    <row r="184" spans="1:38"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row>
    <row r="185" spans="1:38"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row>
    <row r="186" spans="1:38"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row>
    <row r="187" spans="1:38"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row>
    <row r="188" spans="1:38"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row>
    <row r="189" spans="1:38"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row>
    <row r="190" spans="1:38"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row>
    <row r="191" spans="1:38"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row>
    <row r="192" spans="1:38"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row>
    <row r="193" spans="1:38"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row>
    <row r="194" spans="1:38"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row>
    <row r="195" spans="1:38"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row>
    <row r="196" spans="1:38"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row>
    <row r="197" spans="1:38"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row>
    <row r="198" spans="1:38"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row>
    <row r="199" spans="1:38"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row>
    <row r="200" spans="1:38"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row>
    <row r="201" spans="1:38"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row>
    <row r="202" spans="1:38"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row>
    <row r="203" spans="1:38"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row>
    <row r="204" spans="1:38"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row>
    <row r="205" spans="1:38"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row>
    <row r="206" spans="1:38"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row>
    <row r="207" spans="1:38"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row>
    <row r="208" spans="1:38"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row>
    <row r="209" spans="1:38"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row>
    <row r="210" spans="1:38"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row>
    <row r="211" spans="1:38"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row>
    <row r="212" spans="1:38"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row>
    <row r="213" spans="1:38"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row>
    <row r="214" spans="1:38"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row>
    <row r="215" spans="1:38"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row>
    <row r="216" spans="1:38"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row>
    <row r="217" spans="1:38"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row>
    <row r="218" spans="1:38"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row>
    <row r="219" spans="1:38"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row>
    <row r="220" spans="1:38"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row>
    <row r="221" spans="1:38"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row>
    <row r="222" spans="1:38"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row>
    <row r="223" spans="1:38"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row>
    <row r="224" spans="1:38"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row>
    <row r="225" spans="1:38"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row>
    <row r="226" spans="1:38"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row>
    <row r="227" spans="1:38"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row>
    <row r="228" spans="1:38"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row>
    <row r="229" spans="1:38"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row>
    <row r="230" spans="1:38"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row>
    <row r="231" spans="1:38"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row>
    <row r="232" spans="1:38"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row>
    <row r="233" spans="1:38"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row>
    <row r="234" spans="1:38"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row>
    <row r="235" spans="1:38"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row>
    <row r="236" spans="1:38"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row>
    <row r="237" spans="1:38"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row>
    <row r="238" spans="1:38"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row>
    <row r="239" spans="1:38"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row>
    <row r="240" spans="1:38"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row>
    <row r="241" spans="1:38"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row>
    <row r="242" spans="1:38"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row>
    <row r="243" spans="1:38"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row>
    <row r="244" spans="1:38"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row>
    <row r="245" spans="1:38"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row>
    <row r="246" spans="1:38"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row>
    <row r="247" spans="1:38"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row>
    <row r="248" spans="1:38"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row>
    <row r="249" spans="1:38"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row>
    <row r="250" spans="1:38"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row>
    <row r="251" spans="1:38"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row>
    <row r="252" spans="1:38"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row>
    <row r="253" spans="1:38"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row>
    <row r="254" spans="1:38"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row>
    <row r="255" spans="1:38"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row>
    <row r="256" spans="1:38"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row>
    <row r="257" spans="1:38"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row>
    <row r="258" spans="1:38"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row>
    <row r="259" spans="1:38"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row>
    <row r="260" spans="1:38"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row>
    <row r="261" spans="1:38"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row>
    <row r="262" spans="1:38"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row>
    <row r="263" spans="1:38"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row>
    <row r="264" spans="1:38"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row>
    <row r="265" spans="1:38"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row>
    <row r="266" spans="1:38"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row>
    <row r="267" spans="1:38"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row>
    <row r="268" spans="1:38"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row>
    <row r="269" spans="1:38"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row>
    <row r="270" spans="1:38"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row>
    <row r="271" spans="1:38"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row>
    <row r="272" spans="1:38"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row>
    <row r="273" spans="1:38"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row>
    <row r="274" spans="1:38"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row>
    <row r="275" spans="1:38"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row>
    <row r="276" spans="1:38"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row>
    <row r="277" spans="1:38"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row>
    <row r="278" spans="1:38"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row>
    <row r="279" spans="1:38"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row>
    <row r="280" spans="1:38"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row>
    <row r="281" spans="1:38"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row>
    <row r="282" spans="1:38"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row>
    <row r="283" spans="1:38"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row>
    <row r="284" spans="1:38"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row>
    <row r="285" spans="1:38"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row>
    <row r="286" spans="1:38"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row>
    <row r="287" spans="1:38"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row>
    <row r="288" spans="1:38"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row>
    <row r="289" spans="1:38"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row>
    <row r="290" spans="1:38"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row>
    <row r="291" spans="1:38"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row>
    <row r="292" spans="1:38"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row>
    <row r="293" spans="1:38"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row>
    <row r="294" spans="1:38"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row>
    <row r="295" spans="1:38"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row>
    <row r="296" spans="1:38"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row>
    <row r="297" spans="1:38"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row>
    <row r="298" spans="1:38"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row>
    <row r="299" spans="1:38"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row>
    <row r="300" spans="1:38"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row>
    <row r="301" spans="1:38"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row>
    <row r="302" spans="1:38"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row>
    <row r="303" spans="1:38"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row>
    <row r="304" spans="1:38"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row>
    <row r="305" spans="1:38"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row>
    <row r="306" spans="1:38"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row>
    <row r="307" spans="1:38"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row>
    <row r="308" spans="1:38"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row>
    <row r="309" spans="1:38"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row>
    <row r="310" spans="1:38"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row>
    <row r="311" spans="1:38"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row>
    <row r="312" spans="1:38"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row>
    <row r="313" spans="1:38"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row>
    <row r="314" spans="1:38"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row>
    <row r="315" spans="1:38"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row>
    <row r="316" spans="1:38"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row>
    <row r="317" spans="1:38"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row>
    <row r="318" spans="1:38"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row>
    <row r="319" spans="1:38"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row>
    <row r="320" spans="1:38"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row>
    <row r="321" spans="1:38"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row>
    <row r="322" spans="1:38"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row>
    <row r="323" spans="1:38"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row>
    <row r="324" spans="1:38"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row>
    <row r="325" spans="1:38"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row>
    <row r="326" spans="1:38"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row>
    <row r="327" spans="1:38"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row>
    <row r="328" spans="1:38"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row>
    <row r="329" spans="1:38"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row>
    <row r="330" spans="1:38"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row>
    <row r="331" spans="1:38"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row>
    <row r="332" spans="1:38"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row>
    <row r="333" spans="1:38"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row>
    <row r="334" spans="1:38"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row>
    <row r="335" spans="1:38"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row>
    <row r="336" spans="1:38"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row>
    <row r="337" spans="1:38"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row>
    <row r="338" spans="1:38"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row>
    <row r="339" spans="1:38"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row>
    <row r="340" spans="1:38"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row>
    <row r="341" spans="1:38"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row>
    <row r="342" spans="1:38"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row>
    <row r="343" spans="1:38"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row>
    <row r="344" spans="1:38"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row>
    <row r="345" spans="1:38"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row>
    <row r="346" spans="1:38"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row>
    <row r="347" spans="1:38"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row>
    <row r="348" spans="1:38"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row>
    <row r="349" spans="1:38"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row>
    <row r="350" spans="1:38"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row>
    <row r="351" spans="1:38"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row>
    <row r="352" spans="1:38"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row>
    <row r="353" spans="1:38"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row>
    <row r="354" spans="1:38"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row>
    <row r="355" spans="1:38"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row>
    <row r="356" spans="1:38"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row>
    <row r="357" spans="1:38"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row>
    <row r="358" spans="1:38"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row>
    <row r="359" spans="1:38"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row>
    <row r="360" spans="1:38"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row>
    <row r="361" spans="1:38"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row>
    <row r="362" spans="1:38"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row>
    <row r="363" spans="1:38"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row>
    <row r="364" spans="1:38"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row>
    <row r="365" spans="1:38"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row>
    <row r="366" spans="1:38"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row>
    <row r="367" spans="1:38"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row>
    <row r="368" spans="1:38"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row>
    <row r="369" spans="1:38"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row>
    <row r="370" spans="1:38"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row>
    <row r="371" spans="1:38"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row>
    <row r="372" spans="1:38"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row>
    <row r="373" spans="1:38"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row>
    <row r="374" spans="1:38"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row>
    <row r="375" spans="1:38"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row>
    <row r="376" spans="1:38"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row>
    <row r="377" spans="1:38"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row>
    <row r="378" spans="1:38"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row>
    <row r="379" spans="1:38"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row>
    <row r="380" spans="1:38"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row>
    <row r="381" spans="1:38"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row>
    <row r="382" spans="1:38"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row>
    <row r="383" spans="1:38"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row>
    <row r="384" spans="1:38"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row>
    <row r="385" spans="1:38"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row>
    <row r="386" spans="1:38"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row>
    <row r="387" spans="1:38"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row>
    <row r="388" spans="1:38"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row>
    <row r="389" spans="1:38"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row>
    <row r="390" spans="1:38"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row>
    <row r="391" spans="1:38"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row>
    <row r="392" spans="1:38"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row>
    <row r="393" spans="1:38"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row>
    <row r="394" spans="1:38"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row>
    <row r="395" spans="1:38"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row>
    <row r="396" spans="1:38"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row>
    <row r="397" spans="1:38"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row>
    <row r="398" spans="1:38"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row>
    <row r="399" spans="1:38"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row>
    <row r="400" spans="1:38"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row>
    <row r="401" spans="1:38"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row>
    <row r="402" spans="1:38"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row>
    <row r="403" spans="1:38"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row>
    <row r="404" spans="1:38"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row>
    <row r="405" spans="1:38"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row>
    <row r="406" spans="1:38"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row>
    <row r="407" spans="1:38"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row>
    <row r="408" spans="1:38"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row>
    <row r="409" spans="1:38"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row>
    <row r="410" spans="1:38"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row>
    <row r="411" spans="1:38"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row>
    <row r="412" spans="1:38"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row>
    <row r="413" spans="1:38"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row>
    <row r="414" spans="1:38"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row>
    <row r="415" spans="1:38"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row>
    <row r="416" spans="1:38"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row>
    <row r="417" spans="1:38"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row>
    <row r="418" spans="1:38"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row>
    <row r="419" spans="1:38"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row>
    <row r="420" spans="1:38"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row>
    <row r="421" spans="1:38"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row>
    <row r="422" spans="1:38"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row>
    <row r="423" spans="1:38"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row>
    <row r="424" spans="1:38"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row>
    <row r="425" spans="1:38"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row>
    <row r="426" spans="1:38"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row>
    <row r="427" spans="1:38"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row>
    <row r="428" spans="1:38"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row>
    <row r="429" spans="1:38"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row>
    <row r="430" spans="1:38"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row>
    <row r="431" spans="1:38"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row>
    <row r="432" spans="1:38"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row>
    <row r="433" spans="1:38"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row>
    <row r="434" spans="1:38"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row>
    <row r="435" spans="1:38"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row>
    <row r="436" spans="1:38"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row>
    <row r="437" spans="1:38"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row>
    <row r="438" spans="1:38"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row>
    <row r="439" spans="1:38"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row>
    <row r="440" spans="1:38"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row>
    <row r="441" spans="1:38"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row>
    <row r="442" spans="1:38"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row>
    <row r="443" spans="1:38"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row>
    <row r="444" spans="1:38"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row>
    <row r="445" spans="1:38"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row>
    <row r="446" spans="1:38"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row>
    <row r="447" spans="1:38"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row>
    <row r="448" spans="1:38"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row>
    <row r="449" spans="1:38"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row>
    <row r="450" spans="1:38"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row>
    <row r="451" spans="1:38"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row>
    <row r="452" spans="1:38"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row>
    <row r="453" spans="1:38"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row>
    <row r="454" spans="1:38"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row>
    <row r="455" spans="1:38"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row>
    <row r="456" spans="1:38"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row>
    <row r="457" spans="1:38"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row>
    <row r="458" spans="1:38"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row>
    <row r="459" spans="1:38"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row>
    <row r="460" spans="1:38"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row>
    <row r="461" spans="1:38"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row>
    <row r="462" spans="1:38"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row>
    <row r="463" spans="1:38"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row>
    <row r="464" spans="1:38"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row>
    <row r="465" spans="1:38"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row>
    <row r="466" spans="1:38"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row>
    <row r="467" spans="1:38"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row>
    <row r="468" spans="1:38"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row>
    <row r="469" spans="1:38"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row>
    <row r="470" spans="1:38"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row>
    <row r="471" spans="1:38"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row>
    <row r="472" spans="1:38"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row>
    <row r="473" spans="1:38"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row>
    <row r="474" spans="1:38"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row>
    <row r="475" spans="1:38"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row>
    <row r="476" spans="1:38"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row>
    <row r="477" spans="1:38"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row>
    <row r="478" spans="1:38"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row>
    <row r="479" spans="1:38"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row>
    <row r="480" spans="1:38"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row>
    <row r="481" spans="1:38"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row>
    <row r="482" spans="1:38"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row>
    <row r="483" spans="1:38"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row>
    <row r="484" spans="1:38"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row>
    <row r="485" spans="1:38"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row>
    <row r="486" spans="1:38"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row>
    <row r="487" spans="1:38"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row>
    <row r="488" spans="1:38"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row>
    <row r="489" spans="1:38"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row>
    <row r="490" spans="1:38"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row>
    <row r="491" spans="1:38"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row>
    <row r="492" spans="1:38"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row>
    <row r="493" spans="1:38"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row>
    <row r="494" spans="1:38"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row>
    <row r="495" spans="1:38"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row>
    <row r="496" spans="1:38"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row>
    <row r="497" spans="1:38"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row>
    <row r="498" spans="1:38"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row>
    <row r="499" spans="1:38"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row>
    <row r="500" spans="1:38"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row>
    <row r="501" spans="1:38"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row>
    <row r="502" spans="1:38"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row>
    <row r="503" spans="1:38"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row>
    <row r="504" spans="1:38"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row>
    <row r="505" spans="1:38"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row>
    <row r="506" spans="1:38"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row>
    <row r="507" spans="1:38"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row>
    <row r="508" spans="1:38"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row>
    <row r="509" spans="1:38"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row>
    <row r="510" spans="1:38"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row>
    <row r="511" spans="1:38"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row>
    <row r="512" spans="1:38"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row>
    <row r="513" spans="1:38"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row>
    <row r="514" spans="1:38"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row>
    <row r="515" spans="1:38"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row>
    <row r="516" spans="1:38"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row>
    <row r="517" spans="1:38"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row>
    <row r="518" spans="1:38"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row>
    <row r="519" spans="1:38"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row>
    <row r="520" spans="1:38"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row>
    <row r="521" spans="1:38"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row>
    <row r="522" spans="1:38"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row>
    <row r="523" spans="1:38"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row>
    <row r="524" spans="1:38"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row>
    <row r="525" spans="1:38"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row>
    <row r="526" spans="1:38"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row>
    <row r="527" spans="1:38"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row>
    <row r="528" spans="1:38"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row>
    <row r="529" spans="1:38"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row>
    <row r="530" spans="1:38"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row>
    <row r="531" spans="1:38"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row>
    <row r="532" spans="1:38"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row>
    <row r="533" spans="1:38"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row>
    <row r="534" spans="1:38"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row>
    <row r="535" spans="1:38" x14ac:dyDescent="0.2">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row>
    <row r="536" spans="1:38" x14ac:dyDescent="0.2">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row>
    <row r="537" spans="1:38" x14ac:dyDescent="0.2">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row>
    <row r="538" spans="1:38" x14ac:dyDescent="0.2">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row>
    <row r="539" spans="1:38" x14ac:dyDescent="0.2">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row>
    <row r="540" spans="1:38" x14ac:dyDescent="0.2">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row>
    <row r="541" spans="1:38" x14ac:dyDescent="0.2">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row>
    <row r="542" spans="1:38" x14ac:dyDescent="0.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row>
    <row r="543" spans="1:38" x14ac:dyDescent="0.2">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row>
    <row r="544" spans="1:38" x14ac:dyDescent="0.2">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row>
    <row r="545" spans="1:38" x14ac:dyDescent="0.2">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row>
    <row r="546" spans="1:38" x14ac:dyDescent="0.2">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row>
    <row r="547" spans="1:38" x14ac:dyDescent="0.2">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row>
    <row r="548" spans="1:38" x14ac:dyDescent="0.2">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row>
    <row r="549" spans="1:38" x14ac:dyDescent="0.2">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row>
    <row r="550" spans="1:38" x14ac:dyDescent="0.2">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row>
    <row r="551" spans="1:38" x14ac:dyDescent="0.2">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row>
    <row r="552" spans="1:38" x14ac:dyDescent="0.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row>
    <row r="553" spans="1:38" x14ac:dyDescent="0.2">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row>
    <row r="554" spans="1:38" x14ac:dyDescent="0.2">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row>
    <row r="555" spans="1:38" x14ac:dyDescent="0.2">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row>
    <row r="556" spans="1:38" x14ac:dyDescent="0.2">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row>
    <row r="557" spans="1:38" x14ac:dyDescent="0.2">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row>
    <row r="558" spans="1:38" x14ac:dyDescent="0.2">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row>
    <row r="559" spans="1:38" x14ac:dyDescent="0.2">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row>
    <row r="560" spans="1:38" x14ac:dyDescent="0.2">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row>
    <row r="561" spans="1:38" x14ac:dyDescent="0.2">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row>
    <row r="562" spans="1:38" x14ac:dyDescent="0.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row>
    <row r="563" spans="1:38" x14ac:dyDescent="0.2">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row>
    <row r="564" spans="1:38" x14ac:dyDescent="0.2">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row>
    <row r="565" spans="1:38" x14ac:dyDescent="0.2">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row>
    <row r="566" spans="1:38" x14ac:dyDescent="0.2">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row>
    <row r="567" spans="1:38" x14ac:dyDescent="0.2">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row>
    <row r="568" spans="1:38" x14ac:dyDescent="0.2">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row>
    <row r="569" spans="1:38" x14ac:dyDescent="0.2">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row>
    <row r="570" spans="1:38" x14ac:dyDescent="0.2">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row>
    <row r="571" spans="1:38" x14ac:dyDescent="0.2">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row>
    <row r="572" spans="1:38" x14ac:dyDescent="0.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row>
    <row r="573" spans="1:38" x14ac:dyDescent="0.2">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row>
    <row r="574" spans="1:38" x14ac:dyDescent="0.2">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row>
    <row r="575" spans="1:38" x14ac:dyDescent="0.2">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row>
    <row r="576" spans="1:38" x14ac:dyDescent="0.2">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row>
    <row r="577" spans="1:38" x14ac:dyDescent="0.2">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row>
    <row r="578" spans="1:38" x14ac:dyDescent="0.2">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row>
    <row r="579" spans="1:38" x14ac:dyDescent="0.2">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row>
    <row r="580" spans="1:38" x14ac:dyDescent="0.2">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row>
    <row r="581" spans="1:38" x14ac:dyDescent="0.2">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row>
    <row r="582" spans="1:38" x14ac:dyDescent="0.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row>
    <row r="583" spans="1:38" x14ac:dyDescent="0.2">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row>
    <row r="584" spans="1:38" x14ac:dyDescent="0.2">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row>
    <row r="585" spans="1:38" x14ac:dyDescent="0.2">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row>
    <row r="586" spans="1:38" x14ac:dyDescent="0.2">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row>
    <row r="587" spans="1:38" x14ac:dyDescent="0.2">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row>
    <row r="588" spans="1:38" x14ac:dyDescent="0.2">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row>
    <row r="589" spans="1:38" x14ac:dyDescent="0.2">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row>
    <row r="590" spans="1:38" x14ac:dyDescent="0.2">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row>
    <row r="591" spans="1:38" x14ac:dyDescent="0.2">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row>
    <row r="592" spans="1:38" x14ac:dyDescent="0.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row>
    <row r="593" spans="1:38" x14ac:dyDescent="0.2">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row>
    <row r="594" spans="1:38" x14ac:dyDescent="0.2">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row>
    <row r="595" spans="1:38" x14ac:dyDescent="0.2">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row>
    <row r="596" spans="1:38" x14ac:dyDescent="0.2">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row>
    <row r="597" spans="1:38" x14ac:dyDescent="0.2">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row>
    <row r="598" spans="1:38" x14ac:dyDescent="0.2">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row>
    <row r="599" spans="1:38" x14ac:dyDescent="0.2">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row>
    <row r="600" spans="1:38" x14ac:dyDescent="0.2">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row>
    <row r="601" spans="1:38" x14ac:dyDescent="0.2">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row>
    <row r="602" spans="1:38" x14ac:dyDescent="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row>
    <row r="603" spans="1:38" x14ac:dyDescent="0.2">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row>
    <row r="604" spans="1:38" x14ac:dyDescent="0.2">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row>
    <row r="605" spans="1:38" x14ac:dyDescent="0.2">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row>
    <row r="606" spans="1:38" x14ac:dyDescent="0.2">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row>
    <row r="607" spans="1:38" x14ac:dyDescent="0.2">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row>
    <row r="608" spans="1:38" x14ac:dyDescent="0.2">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row>
    <row r="609" spans="1:38" x14ac:dyDescent="0.2">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row>
    <row r="610" spans="1:38" x14ac:dyDescent="0.2">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row>
    <row r="611" spans="1:38" x14ac:dyDescent="0.2">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row>
    <row r="612" spans="1:38" x14ac:dyDescent="0.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row>
    <row r="613" spans="1:38" x14ac:dyDescent="0.2">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row>
    <row r="614" spans="1:38" x14ac:dyDescent="0.2">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row>
    <row r="615" spans="1:38" x14ac:dyDescent="0.2">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row>
    <row r="616" spans="1:38" x14ac:dyDescent="0.2">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row>
    <row r="617" spans="1:38" x14ac:dyDescent="0.2">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row>
    <row r="618" spans="1:38" x14ac:dyDescent="0.2">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row>
    <row r="619" spans="1:38" x14ac:dyDescent="0.2">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row>
    <row r="620" spans="1:38" x14ac:dyDescent="0.2">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row>
    <row r="621" spans="1:38" x14ac:dyDescent="0.2">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row>
    <row r="622" spans="1:38" x14ac:dyDescent="0.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row>
    <row r="623" spans="1:38" x14ac:dyDescent="0.2">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row>
    <row r="624" spans="1:38" x14ac:dyDescent="0.2">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row>
    <row r="625" spans="1:38" x14ac:dyDescent="0.2">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row>
    <row r="626" spans="1:38" x14ac:dyDescent="0.2">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row>
    <row r="627" spans="1:38" x14ac:dyDescent="0.2">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row>
    <row r="628" spans="1:38" x14ac:dyDescent="0.2">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row>
    <row r="629" spans="1:38" x14ac:dyDescent="0.2">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row>
    <row r="630" spans="1:38" x14ac:dyDescent="0.2">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row>
    <row r="631" spans="1:38" x14ac:dyDescent="0.2">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row>
    <row r="632" spans="1:38" x14ac:dyDescent="0.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row>
    <row r="633" spans="1:38" x14ac:dyDescent="0.2">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row>
    <row r="634" spans="1:38" x14ac:dyDescent="0.2">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row>
    <row r="635" spans="1:38" x14ac:dyDescent="0.2">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row>
    <row r="636" spans="1:38" x14ac:dyDescent="0.2">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row>
    <row r="637" spans="1:38" x14ac:dyDescent="0.2">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row>
    <row r="638" spans="1:38" x14ac:dyDescent="0.2">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row>
    <row r="639" spans="1:38" x14ac:dyDescent="0.2">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row>
    <row r="640" spans="1:38" x14ac:dyDescent="0.2">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row>
    <row r="641" spans="1:38" x14ac:dyDescent="0.2">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row>
    <row r="642" spans="1:38" x14ac:dyDescent="0.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row>
    <row r="643" spans="1:38" x14ac:dyDescent="0.2">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row>
    <row r="644" spans="1:38" x14ac:dyDescent="0.2">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row>
    <row r="645" spans="1:38" x14ac:dyDescent="0.2">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row>
    <row r="646" spans="1:38" x14ac:dyDescent="0.2">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row>
    <row r="647" spans="1:38" x14ac:dyDescent="0.2">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row>
    <row r="648" spans="1:38" x14ac:dyDescent="0.2">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row>
    <row r="649" spans="1:38" x14ac:dyDescent="0.2">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row>
    <row r="650" spans="1:38" x14ac:dyDescent="0.2">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row>
    <row r="651" spans="1:38" x14ac:dyDescent="0.2">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row>
    <row r="652" spans="1:38" x14ac:dyDescent="0.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row>
    <row r="653" spans="1:38" x14ac:dyDescent="0.2">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row>
    <row r="654" spans="1:38" x14ac:dyDescent="0.2">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row>
    <row r="655" spans="1:38" x14ac:dyDescent="0.2">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row>
    <row r="656" spans="1:38" x14ac:dyDescent="0.2">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row>
    <row r="657" spans="1:38" x14ac:dyDescent="0.2">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row>
    <row r="658" spans="1:38" x14ac:dyDescent="0.2">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row>
    <row r="659" spans="1:38" x14ac:dyDescent="0.2">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row>
    <row r="660" spans="1:38" x14ac:dyDescent="0.2">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row>
    <row r="661" spans="1:38" x14ac:dyDescent="0.2">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row>
    <row r="662" spans="1:38" x14ac:dyDescent="0.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row>
    <row r="663" spans="1:38" x14ac:dyDescent="0.2">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row>
    <row r="664" spans="1:38" x14ac:dyDescent="0.2">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row>
    <row r="665" spans="1:38" x14ac:dyDescent="0.2">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row>
    <row r="666" spans="1:38" x14ac:dyDescent="0.2">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row>
    <row r="667" spans="1:38" x14ac:dyDescent="0.2">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row>
    <row r="668" spans="1:38" x14ac:dyDescent="0.2">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row>
    <row r="669" spans="1:38" x14ac:dyDescent="0.2">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row>
    <row r="670" spans="1:38" x14ac:dyDescent="0.2">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row>
    <row r="671" spans="1:38" x14ac:dyDescent="0.2">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row>
    <row r="672" spans="1:38" x14ac:dyDescent="0.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row>
    <row r="673" spans="1:38" x14ac:dyDescent="0.2">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row>
    <row r="674" spans="1:38" x14ac:dyDescent="0.2">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row>
    <row r="675" spans="1:38" x14ac:dyDescent="0.2">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row>
    <row r="676" spans="1:38" x14ac:dyDescent="0.2">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row>
    <row r="677" spans="1:38" x14ac:dyDescent="0.2">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row>
    <row r="678" spans="1:38" x14ac:dyDescent="0.2">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row>
    <row r="679" spans="1:38" x14ac:dyDescent="0.2">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row>
    <row r="680" spans="1:38" x14ac:dyDescent="0.2">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row>
    <row r="681" spans="1:38" x14ac:dyDescent="0.2">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row>
    <row r="682" spans="1:38" x14ac:dyDescent="0.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row>
    <row r="683" spans="1:38" x14ac:dyDescent="0.2">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row>
    <row r="684" spans="1:38" x14ac:dyDescent="0.2">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row>
    <row r="685" spans="1:38" x14ac:dyDescent="0.2">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row>
    <row r="686" spans="1:38" x14ac:dyDescent="0.2">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row>
    <row r="687" spans="1:38" x14ac:dyDescent="0.2">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row>
    <row r="688" spans="1:38" x14ac:dyDescent="0.2">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row>
    <row r="689" spans="1:38" x14ac:dyDescent="0.2">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row>
    <row r="690" spans="1:38" x14ac:dyDescent="0.2">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row>
    <row r="691" spans="1:38" x14ac:dyDescent="0.2">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row>
    <row r="692" spans="1:38" x14ac:dyDescent="0.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row>
    <row r="693" spans="1:38" x14ac:dyDescent="0.2">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row>
    <row r="694" spans="1:38" x14ac:dyDescent="0.2">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row>
    <row r="695" spans="1:38" x14ac:dyDescent="0.2">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row>
    <row r="696" spans="1:38" x14ac:dyDescent="0.2">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row>
    <row r="697" spans="1:38" x14ac:dyDescent="0.2">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row>
    <row r="698" spans="1:38" x14ac:dyDescent="0.2">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row>
    <row r="699" spans="1:38" x14ac:dyDescent="0.2">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row>
    <row r="700" spans="1:38" x14ac:dyDescent="0.2">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row>
    <row r="701" spans="1:38" x14ac:dyDescent="0.2">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row>
    <row r="702" spans="1:38" x14ac:dyDescent="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row>
    <row r="703" spans="1:38" x14ac:dyDescent="0.2">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row>
    <row r="704" spans="1:38" x14ac:dyDescent="0.2">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row>
    <row r="705" spans="1:38" x14ac:dyDescent="0.2">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row>
    <row r="706" spans="1:38" x14ac:dyDescent="0.2">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row>
    <row r="707" spans="1:38" x14ac:dyDescent="0.2">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row>
    <row r="708" spans="1:38" x14ac:dyDescent="0.2">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row>
    <row r="709" spans="1:38" x14ac:dyDescent="0.2">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row>
    <row r="710" spans="1:38" x14ac:dyDescent="0.2">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row>
    <row r="711" spans="1:38" x14ac:dyDescent="0.2">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row>
    <row r="712" spans="1:38" x14ac:dyDescent="0.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row>
    <row r="713" spans="1:38" x14ac:dyDescent="0.2">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row>
    <row r="714" spans="1:38" x14ac:dyDescent="0.2">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row>
    <row r="715" spans="1:38" x14ac:dyDescent="0.2">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row>
    <row r="716" spans="1:38" x14ac:dyDescent="0.2">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row>
    <row r="717" spans="1:38" x14ac:dyDescent="0.2">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row>
    <row r="718" spans="1:38" x14ac:dyDescent="0.2">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row>
    <row r="719" spans="1:38" x14ac:dyDescent="0.2">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row>
    <row r="720" spans="1:38" x14ac:dyDescent="0.2">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row>
    <row r="721" spans="1:38" x14ac:dyDescent="0.2">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row>
    <row r="722" spans="1:38" x14ac:dyDescent="0.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row>
    <row r="723" spans="1:38" x14ac:dyDescent="0.2">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row>
    <row r="724" spans="1:38" x14ac:dyDescent="0.2">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row>
    <row r="725" spans="1:38" x14ac:dyDescent="0.2">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row>
    <row r="726" spans="1:38" x14ac:dyDescent="0.2">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row>
    <row r="727" spans="1:38" x14ac:dyDescent="0.2">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row>
    <row r="728" spans="1:38" x14ac:dyDescent="0.2">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row>
    <row r="729" spans="1:38" x14ac:dyDescent="0.2">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row>
    <row r="730" spans="1:38" x14ac:dyDescent="0.2">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row>
    <row r="731" spans="1:38" x14ac:dyDescent="0.2">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row>
    <row r="732" spans="1:38" x14ac:dyDescent="0.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row>
    <row r="733" spans="1:38" x14ac:dyDescent="0.2">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row>
    <row r="734" spans="1:38" x14ac:dyDescent="0.2">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row>
    <row r="735" spans="1:38" x14ac:dyDescent="0.2">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row>
    <row r="736" spans="1:38" x14ac:dyDescent="0.2">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row>
    <row r="737" spans="1:38" x14ac:dyDescent="0.2">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row>
    <row r="738" spans="1:38" x14ac:dyDescent="0.2">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row>
    <row r="739" spans="1:38" x14ac:dyDescent="0.2">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row>
    <row r="740" spans="1:38" x14ac:dyDescent="0.2">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row>
    <row r="741" spans="1:38" x14ac:dyDescent="0.2">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row>
    <row r="742" spans="1:38" x14ac:dyDescent="0.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row>
    <row r="743" spans="1:38" x14ac:dyDescent="0.2">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row>
    <row r="744" spans="1:38" x14ac:dyDescent="0.2">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row>
    <row r="745" spans="1:38" x14ac:dyDescent="0.2">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row>
    <row r="746" spans="1:38" x14ac:dyDescent="0.2">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row>
    <row r="747" spans="1:38" x14ac:dyDescent="0.2">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row>
    <row r="748" spans="1:38" x14ac:dyDescent="0.2">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row>
    <row r="749" spans="1:38" x14ac:dyDescent="0.2">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row>
    <row r="750" spans="1:38" x14ac:dyDescent="0.2">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row>
    <row r="751" spans="1:38" x14ac:dyDescent="0.2">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row>
    <row r="752" spans="1:38" x14ac:dyDescent="0.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row>
    <row r="753" spans="1:38" x14ac:dyDescent="0.2">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row>
    <row r="754" spans="1:38" x14ac:dyDescent="0.2">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row>
    <row r="755" spans="1:38" x14ac:dyDescent="0.2">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row>
    <row r="756" spans="1:38" x14ac:dyDescent="0.2">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row>
    <row r="757" spans="1:38" x14ac:dyDescent="0.2">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row>
    <row r="758" spans="1:38" x14ac:dyDescent="0.2">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row>
    <row r="759" spans="1:38" x14ac:dyDescent="0.2">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row>
    <row r="760" spans="1:38" x14ac:dyDescent="0.2">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row>
    <row r="761" spans="1:38" x14ac:dyDescent="0.2">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row>
    <row r="762" spans="1:38" x14ac:dyDescent="0.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row>
    <row r="763" spans="1:38" x14ac:dyDescent="0.2">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row>
    <row r="764" spans="1:38" x14ac:dyDescent="0.2">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row>
    <row r="765" spans="1:38" x14ac:dyDescent="0.2">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row>
    <row r="766" spans="1:38" x14ac:dyDescent="0.2">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row>
    <row r="767" spans="1:38" x14ac:dyDescent="0.2">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row>
    <row r="768" spans="1:38" x14ac:dyDescent="0.2">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row>
    <row r="769" spans="1:38" x14ac:dyDescent="0.2">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row>
    <row r="770" spans="1:38" x14ac:dyDescent="0.2">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row>
    <row r="771" spans="1:38" x14ac:dyDescent="0.2">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row>
    <row r="772" spans="1:38" x14ac:dyDescent="0.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row>
    <row r="773" spans="1:38" x14ac:dyDescent="0.2">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row>
    <row r="774" spans="1:38" x14ac:dyDescent="0.2">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row>
    <row r="775" spans="1:38" x14ac:dyDescent="0.2">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row>
    <row r="776" spans="1:38" x14ac:dyDescent="0.2">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row>
    <row r="777" spans="1:38" x14ac:dyDescent="0.2">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row>
    <row r="778" spans="1:38" x14ac:dyDescent="0.2">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row>
    <row r="779" spans="1:38" x14ac:dyDescent="0.2">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row>
    <row r="780" spans="1:38" x14ac:dyDescent="0.2">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row>
    <row r="781" spans="1:38" x14ac:dyDescent="0.2">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row>
    <row r="782" spans="1:38" x14ac:dyDescent="0.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row>
    <row r="783" spans="1:38" x14ac:dyDescent="0.2">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row>
    <row r="784" spans="1:38" x14ac:dyDescent="0.2">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row>
    <row r="785" spans="1:38" x14ac:dyDescent="0.2">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row>
    <row r="786" spans="1:38" x14ac:dyDescent="0.2">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row>
    <row r="787" spans="1:38" x14ac:dyDescent="0.2">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row>
    <row r="788" spans="1:38" x14ac:dyDescent="0.2">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row>
    <row r="789" spans="1:38" x14ac:dyDescent="0.2">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row>
    <row r="790" spans="1:38" x14ac:dyDescent="0.2">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row>
    <row r="791" spans="1:38" x14ac:dyDescent="0.2">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row>
    <row r="792" spans="1:38" x14ac:dyDescent="0.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row>
    <row r="793" spans="1:38" x14ac:dyDescent="0.2">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row>
    <row r="794" spans="1:38" x14ac:dyDescent="0.2">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row>
    <row r="795" spans="1:38" x14ac:dyDescent="0.2">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row>
    <row r="796" spans="1:38" x14ac:dyDescent="0.2">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row>
    <row r="797" spans="1:38" x14ac:dyDescent="0.2">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row>
    <row r="798" spans="1:38" x14ac:dyDescent="0.2">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row>
    <row r="799" spans="1:38" x14ac:dyDescent="0.2">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row>
    <row r="800" spans="1:38" x14ac:dyDescent="0.2">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row>
    <row r="801" spans="1:38" x14ac:dyDescent="0.2">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row>
    <row r="802" spans="1:38" x14ac:dyDescent="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row>
    <row r="803" spans="1:38" x14ac:dyDescent="0.2">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row>
    <row r="804" spans="1:38" x14ac:dyDescent="0.2">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row>
    <row r="805" spans="1:38" x14ac:dyDescent="0.2">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row>
    <row r="806" spans="1:38" x14ac:dyDescent="0.2">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row>
    <row r="807" spans="1:38" x14ac:dyDescent="0.2">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row>
    <row r="808" spans="1:38" x14ac:dyDescent="0.2">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row>
    <row r="809" spans="1:38" x14ac:dyDescent="0.2">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row>
    <row r="810" spans="1:38" x14ac:dyDescent="0.2">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row>
    <row r="811" spans="1:38" x14ac:dyDescent="0.2">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row>
    <row r="812" spans="1:38" x14ac:dyDescent="0.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row>
    <row r="813" spans="1:38" x14ac:dyDescent="0.2">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row>
    <row r="814" spans="1:38" x14ac:dyDescent="0.2">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row>
    <row r="815" spans="1:38" x14ac:dyDescent="0.2">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row>
    <row r="816" spans="1:38" x14ac:dyDescent="0.2">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row>
    <row r="817" spans="1:38" x14ac:dyDescent="0.2">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row>
    <row r="818" spans="1:38" x14ac:dyDescent="0.2">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row>
    <row r="819" spans="1:38" x14ac:dyDescent="0.2">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row>
    <row r="820" spans="1:38" x14ac:dyDescent="0.2">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row>
    <row r="821" spans="1:38" x14ac:dyDescent="0.2">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row>
    <row r="822" spans="1:38" x14ac:dyDescent="0.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row>
    <row r="823" spans="1:38" x14ac:dyDescent="0.2">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row>
    <row r="824" spans="1:38" x14ac:dyDescent="0.2">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row>
    <row r="825" spans="1:38" x14ac:dyDescent="0.2">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row>
    <row r="826" spans="1:38" x14ac:dyDescent="0.2">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row>
    <row r="827" spans="1:38" x14ac:dyDescent="0.2">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row>
    <row r="828" spans="1:38" x14ac:dyDescent="0.2">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row>
    <row r="829" spans="1:38" x14ac:dyDescent="0.2">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row>
    <row r="830" spans="1:38" x14ac:dyDescent="0.2">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row>
    <row r="831" spans="1:38" x14ac:dyDescent="0.2">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row>
    <row r="832" spans="1:38" x14ac:dyDescent="0.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row>
    <row r="833" spans="1:38" x14ac:dyDescent="0.2">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row>
    <row r="834" spans="1:38" x14ac:dyDescent="0.2">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row>
    <row r="835" spans="1:38" x14ac:dyDescent="0.2">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row>
    <row r="836" spans="1:38" x14ac:dyDescent="0.2">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row>
    <row r="837" spans="1:38" x14ac:dyDescent="0.2">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row>
    <row r="838" spans="1:38" x14ac:dyDescent="0.2">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row>
    <row r="839" spans="1:38" x14ac:dyDescent="0.2">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row>
    <row r="840" spans="1:38" x14ac:dyDescent="0.2">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row>
    <row r="841" spans="1:38" x14ac:dyDescent="0.2">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row>
    <row r="842" spans="1:38" x14ac:dyDescent="0.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row>
    <row r="843" spans="1:38" x14ac:dyDescent="0.2">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row>
    <row r="844" spans="1:38" x14ac:dyDescent="0.2">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row>
    <row r="845" spans="1:38" x14ac:dyDescent="0.2">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row>
    <row r="846" spans="1:38" x14ac:dyDescent="0.2">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row>
    <row r="847" spans="1:38" x14ac:dyDescent="0.2">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row>
    <row r="848" spans="1:38" x14ac:dyDescent="0.2">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row>
    <row r="849" spans="1:38" x14ac:dyDescent="0.2">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row>
    <row r="850" spans="1:38" x14ac:dyDescent="0.2">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row>
    <row r="851" spans="1:38" x14ac:dyDescent="0.2">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row>
    <row r="852" spans="1:38" x14ac:dyDescent="0.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row>
    <row r="853" spans="1:38" x14ac:dyDescent="0.2">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row>
    <row r="854" spans="1:38" x14ac:dyDescent="0.2">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row>
    <row r="855" spans="1:38" x14ac:dyDescent="0.2">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row>
    <row r="856" spans="1:38" x14ac:dyDescent="0.2">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row>
    <row r="857" spans="1:38" x14ac:dyDescent="0.2">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row>
    <row r="858" spans="1:38" x14ac:dyDescent="0.2">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row>
    <row r="859" spans="1:38" x14ac:dyDescent="0.2">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row>
    <row r="860" spans="1:38" x14ac:dyDescent="0.2">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row>
    <row r="861" spans="1:38" x14ac:dyDescent="0.2">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row>
    <row r="862" spans="1:38" x14ac:dyDescent="0.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row>
    <row r="863" spans="1:38" x14ac:dyDescent="0.2">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row>
    <row r="864" spans="1:38" x14ac:dyDescent="0.2">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row>
    <row r="865" spans="1:38" x14ac:dyDescent="0.2">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row>
    <row r="866" spans="1:38" x14ac:dyDescent="0.2">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row>
    <row r="867" spans="1:38" x14ac:dyDescent="0.2">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row>
    <row r="868" spans="1:38" x14ac:dyDescent="0.2">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row>
    <row r="869" spans="1:38" x14ac:dyDescent="0.2">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row>
    <row r="870" spans="1:38" x14ac:dyDescent="0.2">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row>
    <row r="871" spans="1:38" x14ac:dyDescent="0.2">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row>
    <row r="872" spans="1:38" x14ac:dyDescent="0.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row>
    <row r="873" spans="1:38" x14ac:dyDescent="0.2">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row>
    <row r="874" spans="1:38" x14ac:dyDescent="0.2">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row>
    <row r="875" spans="1:38" x14ac:dyDescent="0.2">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row>
    <row r="876" spans="1:38" x14ac:dyDescent="0.2">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row>
    <row r="877" spans="1:38" x14ac:dyDescent="0.2">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row>
    <row r="878" spans="1:38" x14ac:dyDescent="0.2">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row>
    <row r="879" spans="1:38" x14ac:dyDescent="0.2">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row>
    <row r="880" spans="1:38" x14ac:dyDescent="0.2">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row>
    <row r="881" spans="1:38" x14ac:dyDescent="0.2">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row>
    <row r="882" spans="1:38" x14ac:dyDescent="0.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row>
    <row r="883" spans="1:38" x14ac:dyDescent="0.2">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row>
    <row r="884" spans="1:38" x14ac:dyDescent="0.2">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row>
    <row r="885" spans="1:38" x14ac:dyDescent="0.2">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row>
    <row r="886" spans="1:38" x14ac:dyDescent="0.2">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row>
    <row r="887" spans="1:38" x14ac:dyDescent="0.2">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row>
    <row r="888" spans="1:38" x14ac:dyDescent="0.2">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row>
    <row r="889" spans="1:38" x14ac:dyDescent="0.2">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row>
    <row r="890" spans="1:38" x14ac:dyDescent="0.2">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row>
    <row r="891" spans="1:38" x14ac:dyDescent="0.2">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row>
    <row r="892" spans="1:38" x14ac:dyDescent="0.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row>
    <row r="893" spans="1:38" x14ac:dyDescent="0.2">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row>
    <row r="894" spans="1:38" x14ac:dyDescent="0.2">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row>
    <row r="895" spans="1:38" x14ac:dyDescent="0.2">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row>
    <row r="896" spans="1:38" x14ac:dyDescent="0.2">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row>
    <row r="897" spans="1:38" x14ac:dyDescent="0.2">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row>
    <row r="898" spans="1:38" x14ac:dyDescent="0.2">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row>
    <row r="899" spans="1:38" x14ac:dyDescent="0.2">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row>
    <row r="900" spans="1:38" x14ac:dyDescent="0.2">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row>
    <row r="901" spans="1:38" x14ac:dyDescent="0.2">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row>
    <row r="902" spans="1:38" x14ac:dyDescent="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row>
    <row r="903" spans="1:38" x14ac:dyDescent="0.2">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row>
    <row r="904" spans="1:38" x14ac:dyDescent="0.2">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row>
    <row r="905" spans="1:38" x14ac:dyDescent="0.2">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row>
    <row r="906" spans="1:38" x14ac:dyDescent="0.2">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row>
    <row r="907" spans="1:38" x14ac:dyDescent="0.2">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row>
    <row r="908" spans="1:38" x14ac:dyDescent="0.2">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row>
    <row r="909" spans="1:38" x14ac:dyDescent="0.2">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row>
    <row r="910" spans="1:38" x14ac:dyDescent="0.2">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row>
    <row r="911" spans="1:38" x14ac:dyDescent="0.2">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row>
    <row r="912" spans="1:38" x14ac:dyDescent="0.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row>
    <row r="913" spans="1:38" x14ac:dyDescent="0.2">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row>
    <row r="914" spans="1:38" x14ac:dyDescent="0.2">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row>
    <row r="915" spans="1:38" x14ac:dyDescent="0.2">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row>
    <row r="916" spans="1:38" x14ac:dyDescent="0.2">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row>
    <row r="917" spans="1:38" x14ac:dyDescent="0.2">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row>
    <row r="918" spans="1:38" x14ac:dyDescent="0.2">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row>
    <row r="919" spans="1:38" x14ac:dyDescent="0.2">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row>
    <row r="920" spans="1:38" x14ac:dyDescent="0.2">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row>
    <row r="921" spans="1:38" x14ac:dyDescent="0.2">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row>
    <row r="922" spans="1:38" x14ac:dyDescent="0.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row>
    <row r="923" spans="1:38" x14ac:dyDescent="0.2">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row>
    <row r="924" spans="1:38" x14ac:dyDescent="0.2">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row>
    <row r="925" spans="1:38" x14ac:dyDescent="0.2">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row>
    <row r="926" spans="1:38" x14ac:dyDescent="0.2">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row>
    <row r="927" spans="1:38" x14ac:dyDescent="0.2">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row>
    <row r="928" spans="1:38" x14ac:dyDescent="0.2">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row>
    <row r="929" spans="1:38" x14ac:dyDescent="0.2">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row>
    <row r="930" spans="1:38" x14ac:dyDescent="0.2">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row>
    <row r="931" spans="1:38" x14ac:dyDescent="0.2">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row>
    <row r="932" spans="1:38" x14ac:dyDescent="0.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row>
    <row r="933" spans="1:38" x14ac:dyDescent="0.2">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row>
    <row r="934" spans="1:38" x14ac:dyDescent="0.2">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row>
    <row r="935" spans="1:38" x14ac:dyDescent="0.2">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row>
    <row r="936" spans="1:38" x14ac:dyDescent="0.2">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row>
    <row r="937" spans="1:38" x14ac:dyDescent="0.2">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row>
    <row r="938" spans="1:38" x14ac:dyDescent="0.2">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row>
    <row r="939" spans="1:38" x14ac:dyDescent="0.2">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row>
    <row r="940" spans="1:38" x14ac:dyDescent="0.2">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row>
    <row r="941" spans="1:38" x14ac:dyDescent="0.2">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row>
    <row r="942" spans="1:38" x14ac:dyDescent="0.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row>
    <row r="943" spans="1:38" x14ac:dyDescent="0.2">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row>
    <row r="944" spans="1:38" x14ac:dyDescent="0.2">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row>
    <row r="945" spans="1:38" x14ac:dyDescent="0.2">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row>
    <row r="946" spans="1:38" x14ac:dyDescent="0.2">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row>
    <row r="947" spans="1:38" x14ac:dyDescent="0.2">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row>
    <row r="948" spans="1:38" x14ac:dyDescent="0.2">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row>
    <row r="949" spans="1:38" x14ac:dyDescent="0.2">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row>
    <row r="950" spans="1:38" x14ac:dyDescent="0.2">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row>
    <row r="951" spans="1:38" x14ac:dyDescent="0.2">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row>
    <row r="952" spans="1:38" x14ac:dyDescent="0.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row>
    <row r="953" spans="1:38" x14ac:dyDescent="0.2">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row>
    <row r="954" spans="1:38" x14ac:dyDescent="0.2">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row>
    <row r="955" spans="1:38" x14ac:dyDescent="0.2">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row>
    <row r="956" spans="1:38" x14ac:dyDescent="0.2">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row>
    <row r="957" spans="1:38" x14ac:dyDescent="0.2">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row>
    <row r="958" spans="1:38" x14ac:dyDescent="0.2">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row>
    <row r="959" spans="1:38" x14ac:dyDescent="0.2">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row>
    <row r="960" spans="1:38" x14ac:dyDescent="0.2">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row>
    <row r="961" spans="1:38" x14ac:dyDescent="0.2">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row>
    <row r="962" spans="1:38" x14ac:dyDescent="0.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row>
    <row r="963" spans="1:38" x14ac:dyDescent="0.2">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row>
    <row r="964" spans="1:38" x14ac:dyDescent="0.2">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row>
    <row r="965" spans="1:38" x14ac:dyDescent="0.2">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row>
    <row r="966" spans="1:38" x14ac:dyDescent="0.2">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row>
    <row r="967" spans="1:38" x14ac:dyDescent="0.2">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row>
    <row r="968" spans="1:38" x14ac:dyDescent="0.2">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row>
    <row r="969" spans="1:38" x14ac:dyDescent="0.2">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row>
    <row r="970" spans="1:38" x14ac:dyDescent="0.2">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row>
    <row r="971" spans="1:38" x14ac:dyDescent="0.2">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row>
    <row r="972" spans="1:38" x14ac:dyDescent="0.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row>
    <row r="973" spans="1:38" x14ac:dyDescent="0.2">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row>
    <row r="974" spans="1:38" x14ac:dyDescent="0.2">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row>
    <row r="975" spans="1:38" x14ac:dyDescent="0.2">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row>
    <row r="976" spans="1:38" x14ac:dyDescent="0.2">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row>
    <row r="977" spans="1:38" x14ac:dyDescent="0.2">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row>
    <row r="978" spans="1:38" x14ac:dyDescent="0.2">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row>
    <row r="979" spans="1:38" x14ac:dyDescent="0.2">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row>
    <row r="980" spans="1:38" x14ac:dyDescent="0.2">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row>
    <row r="981" spans="1:38" x14ac:dyDescent="0.2">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row>
    <row r="982" spans="1:38" x14ac:dyDescent="0.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row>
    <row r="983" spans="1:38" x14ac:dyDescent="0.2">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row>
    <row r="984" spans="1:38" x14ac:dyDescent="0.2">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row>
    <row r="985" spans="1:38" x14ac:dyDescent="0.2">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row>
    <row r="986" spans="1:38" x14ac:dyDescent="0.2">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row>
    <row r="987" spans="1:38" x14ac:dyDescent="0.2">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row>
    <row r="988" spans="1:38" x14ac:dyDescent="0.2">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row>
    <row r="989" spans="1:38" x14ac:dyDescent="0.2">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row>
    <row r="990" spans="1:38" x14ac:dyDescent="0.2">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row>
    <row r="991" spans="1:38" x14ac:dyDescent="0.2">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row>
    <row r="992" spans="1:38" x14ac:dyDescent="0.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row>
    <row r="993" spans="1:38" x14ac:dyDescent="0.2">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row>
    <row r="994" spans="1:38" x14ac:dyDescent="0.2">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row>
    <row r="995" spans="1:38" x14ac:dyDescent="0.2">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row>
    <row r="996" spans="1:38" x14ac:dyDescent="0.2">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row>
    <row r="997" spans="1:38" x14ac:dyDescent="0.2">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row>
    <row r="998" spans="1:38" x14ac:dyDescent="0.2">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row>
    <row r="999" spans="1:38" x14ac:dyDescent="0.2">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row>
    <row r="1000" spans="1:38" x14ac:dyDescent="0.2">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row>
    <row r="1001" spans="1:38" x14ac:dyDescent="0.2">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c r="AB1001" s="5"/>
      <c r="AC1001" s="5"/>
      <c r="AD1001" s="5"/>
      <c r="AE1001" s="5"/>
      <c r="AF1001" s="5"/>
      <c r="AG1001" s="5"/>
      <c r="AH1001" s="5"/>
      <c r="AI1001" s="5"/>
      <c r="AJ1001" s="5"/>
      <c r="AK1001" s="5"/>
      <c r="AL1001"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B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width="57" customWidth="1"/>
    <col min="2" max="2" width="62.1640625" customWidth="1"/>
    <col min="3" max="10" width="15.1640625" customWidth="1"/>
  </cols>
  <sheetData>
    <row r="1" spans="1:28" x14ac:dyDescent="0.2">
      <c r="A1" s="8" t="s">
        <v>26</v>
      </c>
      <c r="B1" s="9" t="s">
        <v>27</v>
      </c>
      <c r="C1" s="9" t="s">
        <v>28</v>
      </c>
      <c r="D1" s="9" t="s">
        <v>29</v>
      </c>
      <c r="E1" s="9" t="s">
        <v>30</v>
      </c>
      <c r="F1" s="9" t="s">
        <v>31</v>
      </c>
      <c r="G1" s="9" t="s">
        <v>32</v>
      </c>
      <c r="H1" s="9" t="s">
        <v>33</v>
      </c>
      <c r="I1" s="9" t="s">
        <v>34</v>
      </c>
      <c r="J1" s="9" t="s">
        <v>35</v>
      </c>
      <c r="K1" s="10"/>
      <c r="L1" s="10"/>
      <c r="M1" s="10"/>
      <c r="N1" s="10"/>
      <c r="O1" s="10"/>
      <c r="P1" s="10"/>
      <c r="Q1" s="10"/>
      <c r="R1" s="10"/>
      <c r="S1" s="10"/>
      <c r="T1" s="10"/>
      <c r="U1" s="10"/>
      <c r="V1" s="10"/>
      <c r="W1" s="10"/>
      <c r="X1" s="10"/>
      <c r="Y1" s="10"/>
      <c r="Z1" s="10"/>
      <c r="AA1" s="10"/>
      <c r="AB1" s="10"/>
    </row>
    <row r="2" spans="1:28" x14ac:dyDescent="0.2">
      <c r="A2" s="10" t="str">
        <f ca="1">IFERROR(__xludf.DUMMYFUNCTION("index(importhtml(""https://www.readyratios.com/sec/ratio/roe/"",""table"",1),0,1)"),"Industry title")</f>
        <v>Industry title</v>
      </c>
      <c r="B2" s="10"/>
      <c r="C2" s="10"/>
      <c r="D2" s="10"/>
      <c r="E2" s="10"/>
      <c r="F2" s="10"/>
      <c r="G2" s="10"/>
      <c r="H2" s="10"/>
      <c r="I2" s="10"/>
      <c r="J2" s="10"/>
      <c r="K2" s="10"/>
      <c r="L2" s="10"/>
      <c r="M2" s="10"/>
      <c r="N2" s="10"/>
      <c r="O2" s="10"/>
      <c r="P2" s="10"/>
      <c r="Q2" s="10"/>
      <c r="R2" s="10"/>
      <c r="S2" s="10"/>
      <c r="T2" s="10"/>
      <c r="U2" s="10"/>
      <c r="V2" s="10"/>
      <c r="W2" s="10"/>
      <c r="X2" s="10"/>
      <c r="Y2" s="10"/>
      <c r="Z2" s="10"/>
      <c r="AA2" s="10"/>
      <c r="AB2" s="10"/>
    </row>
    <row r="3" spans="1:28" x14ac:dyDescent="0.2">
      <c r="A3" s="10"/>
      <c r="B3" s="11"/>
      <c r="C3" s="11" t="str">
        <f ca="1">IFERROR(__xludf.DUMMYFUNCTION("index(importhtml(""https://www.readyratios.com/sec/ratio/roa/"",""table"",1),0,2)"),"Year")</f>
        <v>Year</v>
      </c>
      <c r="D3" s="11" t="str">
        <f ca="1">IFERROR(__xludf.DUMMYFUNCTION("index(importhtml(""https://www.readyratios.com/sec/ratio/roe/"",""table"",1),0,2)"),"Year")</f>
        <v>Year</v>
      </c>
      <c r="E3" s="11" t="str">
        <f ca="1">IFERROR(__xludf.DUMMYFUNCTION("index(importhtml(""https://www.readyratios.com/sec/ratio/quick-ratio/"",""table"",1),0,2)"),"Year")</f>
        <v>Year</v>
      </c>
      <c r="F3" s="11" t="str">
        <f ca="1">IFERROR(__xludf.DUMMYFUNCTION("index(importhtml(""https://www.readyratios.com/sec/ratio/current-ratio/"",""table"",1),0,2)"),"Year")</f>
        <v>Year</v>
      </c>
      <c r="G3" s="11" t="str">
        <f ca="1">IFERROR(__xludf.DUMMYFUNCTION("index(importhtml(""https://www.readyratios.com/sec/ratio/gross-margin/"",""table"",1),0,2)"),"Year")</f>
        <v>Year</v>
      </c>
      <c r="H3" s="11" t="str">
        <f ca="1">IFERROR(__xludf.DUMMYFUNCTION("index(importhtml(""https://www.readyratios.com/sec/ratio/ros/"",""table"",1),0,2)"),"Year")</f>
        <v>Year</v>
      </c>
      <c r="I3" s="11" t="str">
        <f ca="1">IFERROR(__xludf.DUMMYFUNCTION("index(importhtml(""https://www.readyratios.com/sec/ratio/profit-margin/"",""table"",1),0,2)"),"Year")</f>
        <v>Year</v>
      </c>
      <c r="J3" s="11" t="str">
        <f ca="1">IFERROR(__xludf.DUMMYFUNCTION("index(importhtml(""https://www.readyratios.com/sec/ratio/financial-leverage/"",""table"",1),0,2)"),"Year")</f>
        <v>Year</v>
      </c>
      <c r="K3" s="10"/>
      <c r="L3" s="10"/>
      <c r="M3" s="10"/>
      <c r="N3" s="10"/>
      <c r="O3" s="10"/>
      <c r="P3" s="10"/>
      <c r="Q3" s="10"/>
      <c r="R3" s="10"/>
      <c r="S3" s="10"/>
      <c r="T3" s="10"/>
      <c r="U3" s="10"/>
      <c r="V3" s="10"/>
      <c r="W3" s="10"/>
      <c r="X3" s="10"/>
      <c r="Y3" s="10"/>
      <c r="Z3" s="10"/>
      <c r="AA3" s="10"/>
      <c r="AB3" s="10"/>
    </row>
    <row r="4" spans="1:28" ht="13.5" customHeight="1" x14ac:dyDescent="0.2">
      <c r="A4" s="12" t="str">
        <f ca="1">IFERROR(__xludf.DUMMYFUNCTION("""COMPUTED_VALUE"""),"01 - Agricultural Production Crops (27)")</f>
        <v>01 - Agricultural Production Crops (27)</v>
      </c>
      <c r="B4" s="13"/>
      <c r="C4" s="13">
        <f ca="1">IFERROR(__xludf.DUMMYFUNCTION("""COMPUTED_VALUE"""),2020)</f>
        <v>2020</v>
      </c>
      <c r="D4" s="13">
        <f ca="1">IFERROR(__xludf.DUMMYFUNCTION("""COMPUTED_VALUE"""),2020)</f>
        <v>2020</v>
      </c>
      <c r="E4" s="13">
        <f ca="1">IFERROR(__xludf.DUMMYFUNCTION("""COMPUTED_VALUE"""),2020)</f>
        <v>2020</v>
      </c>
      <c r="F4" s="13">
        <f ca="1">IFERROR(__xludf.DUMMYFUNCTION("""COMPUTED_VALUE"""),2020)</f>
        <v>2020</v>
      </c>
      <c r="G4" s="13">
        <f ca="1">IFERROR(__xludf.DUMMYFUNCTION("""COMPUTED_VALUE"""),2020)</f>
        <v>2020</v>
      </c>
      <c r="H4" s="13">
        <f ca="1">IFERROR(__xludf.DUMMYFUNCTION("""COMPUTED_VALUE"""),2020)</f>
        <v>2020</v>
      </c>
      <c r="I4" s="13">
        <f ca="1">IFERROR(__xludf.DUMMYFUNCTION("""COMPUTED_VALUE"""),2020)</f>
        <v>2020</v>
      </c>
      <c r="J4" s="13">
        <f ca="1">IFERROR(__xludf.DUMMYFUNCTION("""COMPUTED_VALUE"""),2020)</f>
        <v>2020</v>
      </c>
      <c r="K4" s="10"/>
      <c r="L4" s="10"/>
      <c r="M4" s="10"/>
      <c r="N4" s="10"/>
      <c r="O4" s="10"/>
      <c r="P4" s="10"/>
      <c r="Q4" s="10"/>
      <c r="R4" s="10"/>
      <c r="S4" s="10"/>
      <c r="T4" s="10"/>
      <c r="U4" s="10"/>
      <c r="V4" s="10"/>
      <c r="W4" s="10"/>
      <c r="X4" s="10"/>
      <c r="Y4" s="10"/>
      <c r="Z4" s="10"/>
      <c r="AA4" s="10"/>
      <c r="AB4" s="10"/>
    </row>
    <row r="5" spans="1:28" x14ac:dyDescent="0.2">
      <c r="A5" s="10" t="str">
        <f ca="1">IFERROR(__xludf.DUMMYFUNCTION("""COMPUTED_VALUE"""),"02 - Agriculture production livestock and animal specialties (6)")</f>
        <v>02 - Agriculture production livestock and animal specialties (6)</v>
      </c>
      <c r="B5" s="14" t="s">
        <v>36</v>
      </c>
      <c r="C5" s="15">
        <f ca="1">IFERROR(__xludf.DUMMYFUNCTION("""COMPUTED_VALUE"""),-0.035)</f>
        <v>-3.5000000000000003E-2</v>
      </c>
      <c r="D5" s="15">
        <f ca="1">IFERROR(__xludf.DUMMYFUNCTION("""COMPUTED_VALUE"""),-0.07)</f>
        <v>-7.0000000000000007E-2</v>
      </c>
      <c r="E5" s="15">
        <f ca="1">IFERROR(__xludf.DUMMYFUNCTION("""COMPUTED_VALUE"""),0.74)</f>
        <v>0.74</v>
      </c>
      <c r="F5" s="15">
        <f ca="1">IFERROR(__xludf.DUMMYFUNCTION("""COMPUTED_VALUE"""),1.43)</f>
        <v>1.43</v>
      </c>
      <c r="G5" s="15">
        <f ca="1">IFERROR(__xludf.DUMMYFUNCTION("""COMPUTED_VALUE"""),0.103)</f>
        <v>0.10299999999999999</v>
      </c>
      <c r="H5" s="15">
        <f ca="1">IFERROR(__xludf.DUMMYFUNCTION("""COMPUTED_VALUE"""),0.017)</f>
        <v>1.7000000000000001E-2</v>
      </c>
      <c r="I5" s="15">
        <f ca="1">IFERROR(__xludf.DUMMYFUNCTION("""COMPUTED_VALUE"""),-0.038)</f>
        <v>-3.7999999999999999E-2</v>
      </c>
      <c r="J5" s="15">
        <f ca="1">IFERROR(__xludf.DUMMYFUNCTION("""COMPUTED_VALUE"""),0.7)</f>
        <v>0.7</v>
      </c>
      <c r="K5" s="10"/>
      <c r="L5" s="10"/>
      <c r="M5" s="10"/>
      <c r="N5" s="10"/>
      <c r="O5" s="10"/>
      <c r="P5" s="10"/>
      <c r="Q5" s="10"/>
      <c r="R5" s="10"/>
      <c r="S5" s="10"/>
      <c r="T5" s="10"/>
      <c r="U5" s="10"/>
      <c r="V5" s="10"/>
      <c r="W5" s="10"/>
      <c r="X5" s="10"/>
      <c r="Y5" s="10"/>
      <c r="Z5" s="10"/>
      <c r="AA5" s="10"/>
      <c r="AB5" s="10"/>
    </row>
    <row r="6" spans="1:28" x14ac:dyDescent="0.2">
      <c r="A6" s="10" t="str">
        <f ca="1">IFERROR(__xludf.DUMMYFUNCTION("""COMPUTED_VALUE"""),"07 - Agricultural Services (18)")</f>
        <v>07 - Agricultural Services (18)</v>
      </c>
      <c r="B6" s="16" t="str">
        <f t="shared" ref="B6:B77" ca="1" si="0">TRIM(LEFT(A5,(FIND("(",A5,1)-1)))</f>
        <v>02 - Agriculture production livestock and animal specialties</v>
      </c>
      <c r="C6" s="10">
        <f ca="1">IFERROR(__xludf.DUMMYFUNCTION("""COMPUTED_VALUE"""),0.058)</f>
        <v>5.8000000000000003E-2</v>
      </c>
      <c r="D6" s="10">
        <f ca="1">IFERROR(__xludf.DUMMYFUNCTION("""COMPUTED_VALUE"""),0.069)</f>
        <v>6.9000000000000006E-2</v>
      </c>
      <c r="E6" s="10">
        <f ca="1">IFERROR(__xludf.DUMMYFUNCTION("""COMPUTED_VALUE"""),1.75)</f>
        <v>1.75</v>
      </c>
      <c r="F6" s="10">
        <f ca="1">IFERROR(__xludf.DUMMYFUNCTION("""COMPUTED_VALUE"""),5.25)</f>
        <v>5.25</v>
      </c>
      <c r="G6" s="10">
        <f ca="1">IFERROR(__xludf.DUMMYFUNCTION("""COMPUTED_VALUE"""),0.204)</f>
        <v>0.20399999999999999</v>
      </c>
      <c r="H6" s="10">
        <f ca="1">IFERROR(__xludf.DUMMYFUNCTION("""COMPUTED_VALUE"""),0.06)</f>
        <v>0.06</v>
      </c>
      <c r="I6" s="10">
        <f ca="1">IFERROR(__xludf.DUMMYFUNCTION("""COMPUTED_VALUE"""),0.337)</f>
        <v>0.33700000000000002</v>
      </c>
      <c r="J6" s="10">
        <f ca="1">IFERROR(__xludf.DUMMYFUNCTION("""COMPUTED_VALUE"""),0.04)</f>
        <v>0.04</v>
      </c>
      <c r="K6" s="10"/>
      <c r="L6" s="10"/>
      <c r="M6" s="10"/>
      <c r="N6" s="10"/>
      <c r="O6" s="10"/>
      <c r="P6" s="10"/>
      <c r="Q6" s="10"/>
      <c r="R6" s="10"/>
      <c r="S6" s="10"/>
      <c r="T6" s="10"/>
      <c r="U6" s="10"/>
      <c r="V6" s="10"/>
      <c r="W6" s="10"/>
      <c r="X6" s="10"/>
      <c r="Y6" s="10"/>
      <c r="Z6" s="10"/>
      <c r="AA6" s="10"/>
      <c r="AB6" s="10"/>
    </row>
    <row r="7" spans="1:28" x14ac:dyDescent="0.2">
      <c r="A7" s="10" t="str">
        <f ca="1">IFERROR(__xludf.DUMMYFUNCTION("""COMPUTED_VALUE"""),"09 - Fishing, hunting, and trapping (7)")</f>
        <v>09 - Fishing, hunting, and trapping (7)</v>
      </c>
      <c r="B7" s="16" t="str">
        <f t="shared" ca="1" si="0"/>
        <v>07 - Agricultural Services</v>
      </c>
      <c r="C7" s="10">
        <f ca="1">IFERROR(__xludf.DUMMYFUNCTION("""COMPUTED_VALUE"""),-0.014)</f>
        <v>-1.4E-2</v>
      </c>
      <c r="D7" s="10">
        <f ca="1">IFERROR(__xludf.DUMMYFUNCTION("""COMPUTED_VALUE"""),-0.17)</f>
        <v>-0.17</v>
      </c>
      <c r="E7" s="10">
        <f ca="1">IFERROR(__xludf.DUMMYFUNCTION("""COMPUTED_VALUE"""),1.07)</f>
        <v>1.07</v>
      </c>
      <c r="F7" s="10">
        <f ca="1">IFERROR(__xludf.DUMMYFUNCTION("""COMPUTED_VALUE"""),1.39)</f>
        <v>1.39</v>
      </c>
      <c r="G7" s="10">
        <f ca="1">IFERROR(__xludf.DUMMYFUNCTION("""COMPUTED_VALUE"""),0.217)</f>
        <v>0.217</v>
      </c>
      <c r="H7" s="10">
        <f ca="1">IFERROR(__xludf.DUMMYFUNCTION("""COMPUTED_VALUE"""),0.005)</f>
        <v>5.0000000000000001E-3</v>
      </c>
      <c r="I7" s="10">
        <f ca="1">IFERROR(__xludf.DUMMYFUNCTION("""COMPUTED_VALUE"""),0.02)</f>
        <v>0.02</v>
      </c>
      <c r="J7" s="10">
        <f ca="1">IFERROR(__xludf.DUMMYFUNCTION("""COMPUTED_VALUE"""),0.36)</f>
        <v>0.36</v>
      </c>
      <c r="K7" s="10"/>
      <c r="L7" s="10"/>
      <c r="M7" s="10"/>
      <c r="N7" s="10"/>
      <c r="O7" s="10"/>
      <c r="P7" s="10"/>
      <c r="Q7" s="10"/>
      <c r="R7" s="10"/>
      <c r="S7" s="10"/>
      <c r="T7" s="10"/>
      <c r="U7" s="10"/>
      <c r="V7" s="10"/>
      <c r="W7" s="10"/>
      <c r="X7" s="10"/>
      <c r="Y7" s="10"/>
      <c r="Z7" s="10"/>
      <c r="AA7" s="10"/>
      <c r="AB7" s="10"/>
    </row>
    <row r="8" spans="1:28" x14ac:dyDescent="0.2">
      <c r="A8" s="10" t="str">
        <f ca="1">IFERROR(__xludf.DUMMYFUNCTION("""COMPUTED_VALUE"""),"10 - Metal Mining (272)")</f>
        <v>10 - Metal Mining (272)</v>
      </c>
      <c r="B8" s="16" t="str">
        <f t="shared" ca="1" si="0"/>
        <v>09 - Fishing, hunting, and trapping</v>
      </c>
      <c r="C8" s="10">
        <f ca="1">IFERROR(__xludf.DUMMYFUNCTION("""COMPUTED_VALUE"""),-0.318)</f>
        <v>-0.318</v>
      </c>
      <c r="D8" s="10">
        <f ca="1">IFERROR(__xludf.DUMMYFUNCTION("""COMPUTED_VALUE"""),-1.075)</f>
        <v>-1.075</v>
      </c>
      <c r="E8" s="10">
        <f ca="1">IFERROR(__xludf.DUMMYFUNCTION("""COMPUTED_VALUE"""),46)</f>
        <v>46</v>
      </c>
      <c r="F8" s="10">
        <f ca="1">IFERROR(__xludf.DUMMYFUNCTION("""COMPUTED_VALUE"""),23.59)</f>
        <v>23.59</v>
      </c>
      <c r="G8" s="10">
        <f ca="1">IFERROR(__xludf.DUMMYFUNCTION("""COMPUTED_VALUE"""),0.087)</f>
        <v>8.6999999999999994E-2</v>
      </c>
      <c r="H8" s="10">
        <f ca="1">IFERROR(__xludf.DUMMYFUNCTION("""COMPUTED_VALUE"""),-127.27)</f>
        <v>-127.27</v>
      </c>
      <c r="I8" s="10">
        <f ca="1">IFERROR(__xludf.DUMMYFUNCTION("""COMPUTED_VALUE"""),-128.463)</f>
        <v>-128.46299999999999</v>
      </c>
      <c r="J8" s="10">
        <f ca="1">IFERROR(__xludf.DUMMYFUNCTION("""COMPUTED_VALUE"""),0.91)</f>
        <v>0.91</v>
      </c>
      <c r="K8" s="10"/>
      <c r="L8" s="10"/>
      <c r="M8" s="10"/>
      <c r="N8" s="10"/>
      <c r="O8" s="10"/>
      <c r="P8" s="10"/>
      <c r="Q8" s="10"/>
      <c r="R8" s="10"/>
      <c r="S8" s="10"/>
      <c r="T8" s="10"/>
      <c r="U8" s="10"/>
      <c r="V8" s="10"/>
      <c r="W8" s="10"/>
      <c r="X8" s="10"/>
      <c r="Y8" s="10"/>
      <c r="Z8" s="10"/>
      <c r="AA8" s="10"/>
      <c r="AB8" s="10"/>
    </row>
    <row r="9" spans="1:28" x14ac:dyDescent="0.2">
      <c r="A9" s="10" t="str">
        <f ca="1">IFERROR(__xludf.DUMMYFUNCTION("""COMPUTED_VALUE"""),"12 - Coal Mining (28)")</f>
        <v>12 - Coal Mining (28)</v>
      </c>
      <c r="B9" s="16" t="str">
        <f t="shared" ca="1" si="0"/>
        <v>10 - Metal Mining</v>
      </c>
      <c r="C9" s="10">
        <f ca="1">IFERROR(__xludf.DUMMYFUNCTION("""COMPUTED_VALUE"""),-0.35)</f>
        <v>-0.35</v>
      </c>
      <c r="D9" s="10">
        <f ca="1">IFERROR(__xludf.DUMMYFUNCTION("""COMPUTED_VALUE"""),-1.031)</f>
        <v>-1.0309999999999999</v>
      </c>
      <c r="E9" s="10">
        <f ca="1">IFERROR(__xludf.DUMMYFUNCTION("""COMPUTED_VALUE"""),1.7)</f>
        <v>1.7</v>
      </c>
      <c r="F9" s="10">
        <f ca="1">IFERROR(__xludf.DUMMYFUNCTION("""COMPUTED_VALUE"""),1.55)</f>
        <v>1.55</v>
      </c>
      <c r="G9" s="10">
        <f ca="1">IFERROR(__xludf.DUMMYFUNCTION("""COMPUTED_VALUE"""),0.091)</f>
        <v>9.0999999999999998E-2</v>
      </c>
      <c r="H9" s="10">
        <f ca="1">IFERROR(__xludf.DUMMYFUNCTION("""COMPUTED_VALUE"""),-0.825)</f>
        <v>-0.82499999999999996</v>
      </c>
      <c r="I9" s="10">
        <f ca="1">IFERROR(__xludf.DUMMYFUNCTION("""COMPUTED_VALUE"""),-1.454)</f>
        <v>-1.454</v>
      </c>
      <c r="J9" s="10">
        <f ca="1">IFERROR(__xludf.DUMMYFUNCTION("""COMPUTED_VALUE"""),0.08)</f>
        <v>0.08</v>
      </c>
      <c r="K9" s="10"/>
      <c r="L9" s="10"/>
      <c r="M9" s="10"/>
      <c r="N9" s="10"/>
      <c r="O9" s="10"/>
      <c r="P9" s="10"/>
      <c r="Q9" s="10"/>
      <c r="R9" s="10"/>
      <c r="S9" s="10"/>
      <c r="T9" s="10"/>
      <c r="U9" s="10"/>
      <c r="V9" s="10"/>
      <c r="W9" s="10"/>
      <c r="X9" s="10"/>
      <c r="Y9" s="10"/>
      <c r="Z9" s="10"/>
      <c r="AA9" s="10"/>
      <c r="AB9" s="10"/>
    </row>
    <row r="10" spans="1:28" x14ac:dyDescent="0.2">
      <c r="A10" s="10" t="str">
        <f ca="1">IFERROR(__xludf.DUMMYFUNCTION("""COMPUTED_VALUE"""),"13 - Oil And Gas Extraction (492)")</f>
        <v>13 - Oil And Gas Extraction (492)</v>
      </c>
      <c r="B10" s="16" t="str">
        <f t="shared" ca="1" si="0"/>
        <v>12 - Coal Mining</v>
      </c>
      <c r="C10" s="10">
        <f ca="1">IFERROR(__xludf.DUMMYFUNCTION("""COMPUTED_VALUE"""),-0.069)</f>
        <v>-6.9000000000000006E-2</v>
      </c>
      <c r="D10" s="10">
        <f ca="1">IFERROR(__xludf.DUMMYFUNCTION("""COMPUTED_VALUE"""),-0.19)</f>
        <v>-0.19</v>
      </c>
      <c r="E10" s="10">
        <f ca="1">IFERROR(__xludf.DUMMYFUNCTION("""COMPUTED_VALUE"""),1)</f>
        <v>1</v>
      </c>
      <c r="F10" s="10">
        <f ca="1">IFERROR(__xludf.DUMMYFUNCTION("""COMPUTED_VALUE"""),1.63)</f>
        <v>1.63</v>
      </c>
      <c r="G10" s="10">
        <f ca="1">IFERROR(__xludf.DUMMYFUNCTION("""COMPUTED_VALUE"""),0.13)</f>
        <v>0.13</v>
      </c>
      <c r="H10" s="10">
        <f ca="1">IFERROR(__xludf.DUMMYFUNCTION("""COMPUTED_VALUE"""),-0.094)</f>
        <v>-9.4E-2</v>
      </c>
      <c r="I10" s="10">
        <f ca="1">IFERROR(__xludf.DUMMYFUNCTION("""COMPUTED_VALUE"""),-0.126)</f>
        <v>-0.126</v>
      </c>
      <c r="J10" s="10">
        <f ca="1">IFERROR(__xludf.DUMMYFUNCTION("""COMPUTED_VALUE"""),2.17)</f>
        <v>2.17</v>
      </c>
      <c r="K10" s="10"/>
      <c r="L10" s="10"/>
      <c r="M10" s="10"/>
      <c r="N10" s="10"/>
      <c r="O10" s="10"/>
      <c r="P10" s="10"/>
      <c r="Q10" s="10"/>
      <c r="R10" s="10"/>
      <c r="S10" s="10"/>
      <c r="T10" s="10"/>
      <c r="U10" s="10"/>
      <c r="V10" s="10"/>
      <c r="W10" s="10"/>
      <c r="X10" s="10"/>
      <c r="Y10" s="10"/>
      <c r="Z10" s="10"/>
      <c r="AA10" s="10"/>
      <c r="AB10" s="10"/>
    </row>
    <row r="11" spans="1:28" x14ac:dyDescent="0.2">
      <c r="A11" s="10" t="str">
        <f ca="1">IFERROR(__xludf.DUMMYFUNCTION("""COMPUTED_VALUE"""),"14 - Mining And Quarrying Of Nonmetallic Minerals, Except Fuels (41)")</f>
        <v>14 - Mining And Quarrying Of Nonmetallic Minerals, Except Fuels (41)</v>
      </c>
      <c r="B11" s="16" t="str">
        <f t="shared" ca="1" si="0"/>
        <v>13 - Oil And Gas Extraction</v>
      </c>
      <c r="C11" s="10">
        <f ca="1">IFERROR(__xludf.DUMMYFUNCTION("""COMPUTED_VALUE"""),-0.153)</f>
        <v>-0.153</v>
      </c>
      <c r="D11" s="10">
        <f ca="1">IFERROR(__xludf.DUMMYFUNCTION("""COMPUTED_VALUE"""),-0.393)</f>
        <v>-0.39300000000000002</v>
      </c>
      <c r="E11" s="10">
        <f ca="1">IFERROR(__xludf.DUMMYFUNCTION("""COMPUTED_VALUE"""),0.88)</f>
        <v>0.88</v>
      </c>
      <c r="F11" s="10">
        <f ca="1">IFERROR(__xludf.DUMMYFUNCTION("""COMPUTED_VALUE"""),1.08)</f>
        <v>1.08</v>
      </c>
      <c r="G11" s="10">
        <f ca="1">IFERROR(__xludf.DUMMYFUNCTION("""COMPUTED_VALUE"""),0.246)</f>
        <v>0.246</v>
      </c>
      <c r="H11" s="10">
        <f ca="1">IFERROR(__xludf.DUMMYFUNCTION("""COMPUTED_VALUE"""),-0.477)</f>
        <v>-0.47699999999999998</v>
      </c>
      <c r="I11" s="10">
        <f ca="1">IFERROR(__xludf.DUMMYFUNCTION("""COMPUTED_VALUE"""),-0.502)</f>
        <v>-0.502</v>
      </c>
      <c r="J11" s="10">
        <f ca="1">IFERROR(__xludf.DUMMYFUNCTION("""COMPUTED_VALUE"""),0.44)</f>
        <v>0.44</v>
      </c>
      <c r="K11" s="10"/>
      <c r="L11" s="10"/>
      <c r="M11" s="10"/>
      <c r="N11" s="10"/>
      <c r="O11" s="10"/>
      <c r="P11" s="10"/>
      <c r="Q11" s="10"/>
      <c r="R11" s="10"/>
      <c r="S11" s="10"/>
      <c r="T11" s="10"/>
      <c r="U11" s="10"/>
      <c r="V11" s="10"/>
      <c r="W11" s="10"/>
      <c r="X11" s="10"/>
      <c r="Y11" s="10"/>
      <c r="Z11" s="10"/>
      <c r="AA11" s="10"/>
      <c r="AB11" s="10"/>
    </row>
    <row r="12" spans="1:28" x14ac:dyDescent="0.2">
      <c r="A12" s="10" t="str">
        <f ca="1">IFERROR(__xludf.DUMMYFUNCTION("""COMPUTED_VALUE"""),"15 - Building Construction General Contractors And Operative Builders (48)")</f>
        <v>15 - Building Construction General Contractors And Operative Builders (48)</v>
      </c>
      <c r="B12" s="16" t="str">
        <f t="shared" ca="1" si="0"/>
        <v>14 - Mining And Quarrying Of Nonmetallic Minerals, Except Fuels</v>
      </c>
      <c r="C12" s="10">
        <f ca="1">IFERROR(__xludf.DUMMYFUNCTION("""COMPUTED_VALUE"""),0.025)</f>
        <v>2.5000000000000001E-2</v>
      </c>
      <c r="D12" s="10">
        <f ca="1">IFERROR(__xludf.DUMMYFUNCTION("""COMPUTED_VALUE"""),0.039)</f>
        <v>3.9E-2</v>
      </c>
      <c r="E12" s="10">
        <f ca="1">IFERROR(__xludf.DUMMYFUNCTION("""COMPUTED_VALUE"""),1.59)</f>
        <v>1.59</v>
      </c>
      <c r="F12" s="10">
        <f ca="1">IFERROR(__xludf.DUMMYFUNCTION("""COMPUTED_VALUE"""),2.33)</f>
        <v>2.33</v>
      </c>
      <c r="G12" s="10">
        <f ca="1">IFERROR(__xludf.DUMMYFUNCTION("""COMPUTED_VALUE"""),0.244)</f>
        <v>0.24399999999999999</v>
      </c>
      <c r="H12" s="10">
        <f ca="1">IFERROR(__xludf.DUMMYFUNCTION("""COMPUTED_VALUE"""),0.103)</f>
        <v>0.10299999999999999</v>
      </c>
      <c r="I12" s="10">
        <f ca="1">IFERROR(__xludf.DUMMYFUNCTION("""COMPUTED_VALUE"""),0.052)</f>
        <v>5.1999999999999998E-2</v>
      </c>
      <c r="J12" s="10">
        <f ca="1">IFERROR(__xludf.DUMMYFUNCTION("""COMPUTED_VALUE"""),0.6)</f>
        <v>0.6</v>
      </c>
      <c r="K12" s="10"/>
      <c r="L12" s="10"/>
      <c r="M12" s="10"/>
      <c r="N12" s="10"/>
      <c r="O12" s="10"/>
      <c r="P12" s="10"/>
      <c r="Q12" s="10"/>
      <c r="R12" s="10"/>
      <c r="S12" s="10"/>
      <c r="T12" s="10"/>
      <c r="U12" s="10"/>
      <c r="V12" s="10"/>
      <c r="W12" s="10"/>
      <c r="X12" s="10"/>
      <c r="Y12" s="10"/>
      <c r="Z12" s="10"/>
      <c r="AA12" s="10"/>
      <c r="AB12" s="10"/>
    </row>
    <row r="13" spans="1:28" x14ac:dyDescent="0.2">
      <c r="A13" s="10" t="str">
        <f ca="1">IFERROR(__xludf.DUMMYFUNCTION("""COMPUTED_VALUE"""),"16 - Heavy Construction Other Than Building Construction Contractors (20)")</f>
        <v>16 - Heavy Construction Other Than Building Construction Contractors (20)</v>
      </c>
      <c r="B13" s="16" t="str">
        <f t="shared" ca="1" si="0"/>
        <v>15 - Building Construction General Contractors And Operative Builders</v>
      </c>
      <c r="C13" s="10">
        <f ca="1">IFERROR(__xludf.DUMMYFUNCTION("""COMPUTED_VALUE"""),0.074)</f>
        <v>7.3999999999999996E-2</v>
      </c>
      <c r="D13" s="10">
        <f ca="1">IFERROR(__xludf.DUMMYFUNCTION("""COMPUTED_VALUE"""),0.136)</f>
        <v>0.13600000000000001</v>
      </c>
      <c r="E13" s="10">
        <f ca="1">IFERROR(__xludf.DUMMYFUNCTION("""COMPUTED_VALUE"""),0.8)</f>
        <v>0.8</v>
      </c>
      <c r="F13" s="10">
        <f ca="1">IFERROR(__xludf.DUMMYFUNCTION("""COMPUTED_VALUE"""),2.64)</f>
        <v>2.64</v>
      </c>
      <c r="G13" s="10">
        <f ca="1">IFERROR(__xludf.DUMMYFUNCTION("""COMPUTED_VALUE"""),0.121)</f>
        <v>0.121</v>
      </c>
      <c r="H13" s="10">
        <f ca="1">IFERROR(__xludf.DUMMYFUNCTION("""COMPUTED_VALUE"""),0.094)</f>
        <v>9.4E-2</v>
      </c>
      <c r="I13" s="10">
        <f ca="1">IFERROR(__xludf.DUMMYFUNCTION("""COMPUTED_VALUE"""),0.067)</f>
        <v>6.7000000000000004E-2</v>
      </c>
      <c r="J13" s="10">
        <f ca="1">IFERROR(__xludf.DUMMYFUNCTION("""COMPUTED_VALUE"""),0.86)</f>
        <v>0.86</v>
      </c>
      <c r="K13" s="10"/>
      <c r="L13" s="10"/>
      <c r="M13" s="10"/>
      <c r="N13" s="10"/>
      <c r="O13" s="10"/>
      <c r="P13" s="10"/>
      <c r="Q13" s="10"/>
      <c r="R13" s="10"/>
      <c r="S13" s="10"/>
      <c r="T13" s="10"/>
      <c r="U13" s="10"/>
      <c r="V13" s="10"/>
      <c r="W13" s="10"/>
      <c r="X13" s="10"/>
      <c r="Y13" s="10"/>
      <c r="Z13" s="10"/>
      <c r="AA13" s="10"/>
      <c r="AB13" s="10"/>
    </row>
    <row r="14" spans="1:28" x14ac:dyDescent="0.2">
      <c r="A14" s="10" t="str">
        <f ca="1">IFERROR(__xludf.DUMMYFUNCTION("""COMPUTED_VALUE"""),"17 - Construction Special Trade Contractors (33)")</f>
        <v>17 - Construction Special Trade Contractors (33)</v>
      </c>
      <c r="B14" s="16" t="str">
        <f t="shared" ca="1" si="0"/>
        <v>16 - Heavy Construction Other Than Building Construction Contractors</v>
      </c>
      <c r="C14" s="10">
        <f ca="1">IFERROR(__xludf.DUMMYFUNCTION("""COMPUTED_VALUE"""),0.042)</f>
        <v>4.2000000000000003E-2</v>
      </c>
      <c r="D14" s="10">
        <f ca="1">IFERROR(__xludf.DUMMYFUNCTION("""COMPUTED_VALUE"""),0.093)</f>
        <v>9.2999999999999999E-2</v>
      </c>
      <c r="E14" s="10">
        <f ca="1">IFERROR(__xludf.DUMMYFUNCTION("""COMPUTED_VALUE"""),1.02)</f>
        <v>1.02</v>
      </c>
      <c r="F14" s="10">
        <f ca="1">IFERROR(__xludf.DUMMYFUNCTION("""COMPUTED_VALUE"""),1.54)</f>
        <v>1.54</v>
      </c>
      <c r="G14" s="10">
        <f ca="1">IFERROR(__xludf.DUMMYFUNCTION("""COMPUTED_VALUE"""),0.187)</f>
        <v>0.187</v>
      </c>
      <c r="H14" s="10">
        <f ca="1">IFERROR(__xludf.DUMMYFUNCTION("""COMPUTED_VALUE"""),0.041)</f>
        <v>4.1000000000000002E-2</v>
      </c>
      <c r="I14" s="10">
        <f ca="1">IFERROR(__xludf.DUMMYFUNCTION("""COMPUTED_VALUE"""),0.027)</f>
        <v>2.7E-2</v>
      </c>
      <c r="J14" s="10">
        <f ca="1">IFERROR(__xludf.DUMMYFUNCTION("""COMPUTED_VALUE"""),1.46)</f>
        <v>1.46</v>
      </c>
      <c r="K14" s="10"/>
      <c r="L14" s="10"/>
      <c r="M14" s="10"/>
      <c r="N14" s="10"/>
      <c r="O14" s="10"/>
      <c r="P14" s="10"/>
      <c r="Q14" s="10"/>
      <c r="R14" s="10"/>
      <c r="S14" s="10"/>
      <c r="T14" s="10"/>
      <c r="U14" s="10"/>
      <c r="V14" s="10"/>
      <c r="W14" s="10"/>
      <c r="X14" s="10"/>
      <c r="Y14" s="10"/>
      <c r="Z14" s="10"/>
      <c r="AA14" s="10"/>
      <c r="AB14" s="10"/>
    </row>
    <row r="15" spans="1:28" x14ac:dyDescent="0.2">
      <c r="A15" s="10" t="str">
        <f ca="1">IFERROR(__xludf.DUMMYFUNCTION("""COMPUTED_VALUE"""),"20 - Food And Kindred Products (190)")</f>
        <v>20 - Food And Kindred Products (190)</v>
      </c>
      <c r="B15" s="16" t="str">
        <f t="shared" ca="1" si="0"/>
        <v>17 - Construction Special Trade Contractors</v>
      </c>
      <c r="C15" s="10">
        <f ca="1">IFERROR(__xludf.DUMMYFUNCTION("""COMPUTED_VALUE"""),0.027)</f>
        <v>2.7E-2</v>
      </c>
      <c r="D15" s="10">
        <f ca="1">IFERROR(__xludf.DUMMYFUNCTION("""COMPUTED_VALUE"""),0.106)</f>
        <v>0.106</v>
      </c>
      <c r="E15" s="10">
        <f ca="1">IFERROR(__xludf.DUMMYFUNCTION("""COMPUTED_VALUE"""),1.04)</f>
        <v>1.04</v>
      </c>
      <c r="F15" s="10">
        <f ca="1">IFERROR(__xludf.DUMMYFUNCTION("""COMPUTED_VALUE"""),1.38)</f>
        <v>1.38</v>
      </c>
      <c r="G15" s="10">
        <f ca="1">IFERROR(__xludf.DUMMYFUNCTION("""COMPUTED_VALUE"""),0.31)</f>
        <v>0.31</v>
      </c>
      <c r="H15" s="10">
        <f ca="1">IFERROR(__xludf.DUMMYFUNCTION("""COMPUTED_VALUE"""),0.037)</f>
        <v>3.6999999999999998E-2</v>
      </c>
      <c r="I15" s="10">
        <f ca="1">IFERROR(__xludf.DUMMYFUNCTION("""COMPUTED_VALUE"""),0.026)</f>
        <v>2.5999999999999999E-2</v>
      </c>
      <c r="J15" s="10">
        <f ca="1">IFERROR(__xludf.DUMMYFUNCTION("""COMPUTED_VALUE"""),1.09)</f>
        <v>1.0900000000000001</v>
      </c>
      <c r="K15" s="10"/>
      <c r="L15" s="10"/>
      <c r="M15" s="10"/>
      <c r="N15" s="10"/>
      <c r="O15" s="10"/>
      <c r="P15" s="10"/>
      <c r="Q15" s="10"/>
      <c r="R15" s="10"/>
      <c r="S15" s="10"/>
      <c r="T15" s="10"/>
      <c r="U15" s="10"/>
      <c r="V15" s="10"/>
      <c r="W15" s="10"/>
      <c r="X15" s="10"/>
      <c r="Y15" s="10"/>
      <c r="Z15" s="10"/>
      <c r="AA15" s="10"/>
      <c r="AB15" s="10"/>
    </row>
    <row r="16" spans="1:28" x14ac:dyDescent="0.2">
      <c r="A16" s="10" t="str">
        <f ca="1">IFERROR(__xludf.DUMMYFUNCTION("""COMPUTED_VALUE"""),"21 - Tobacco Products (21)")</f>
        <v>21 - Tobacco Products (21)</v>
      </c>
      <c r="B16" s="16" t="str">
        <f t="shared" ca="1" si="0"/>
        <v>20 - Food And Kindred Products</v>
      </c>
      <c r="C16" s="10">
        <f ca="1">IFERROR(__xludf.DUMMYFUNCTION("""COMPUTED_VALUE"""),0.038)</f>
        <v>3.7999999999999999E-2</v>
      </c>
      <c r="D16" s="10">
        <f ca="1">IFERROR(__xludf.DUMMYFUNCTION("""COMPUTED_VALUE"""),0.059)</f>
        <v>5.8999999999999997E-2</v>
      </c>
      <c r="E16" s="10">
        <f ca="1">IFERROR(__xludf.DUMMYFUNCTION("""COMPUTED_VALUE"""),0.87)</f>
        <v>0.87</v>
      </c>
      <c r="F16" s="10">
        <f ca="1">IFERROR(__xludf.DUMMYFUNCTION("""COMPUTED_VALUE"""),1.71)</f>
        <v>1.71</v>
      </c>
      <c r="G16" s="10">
        <f ca="1">IFERROR(__xludf.DUMMYFUNCTION("""COMPUTED_VALUE"""),0.442)</f>
        <v>0.442</v>
      </c>
      <c r="H16" s="10">
        <f ca="1">IFERROR(__xludf.DUMMYFUNCTION("""COMPUTED_VALUE"""),0.052)</f>
        <v>5.1999999999999998E-2</v>
      </c>
      <c r="I16" s="10">
        <f ca="1">IFERROR(__xludf.DUMMYFUNCTION("""COMPUTED_VALUE"""),0.034)</f>
        <v>3.4000000000000002E-2</v>
      </c>
      <c r="J16" s="10">
        <f ca="1">IFERROR(__xludf.DUMMYFUNCTION("""COMPUTED_VALUE"""),0.76)</f>
        <v>0.76</v>
      </c>
      <c r="K16" s="10"/>
      <c r="L16" s="10"/>
      <c r="M16" s="10"/>
      <c r="N16" s="10"/>
      <c r="O16" s="10"/>
      <c r="P16" s="10"/>
      <c r="Q16" s="10"/>
      <c r="R16" s="10"/>
      <c r="S16" s="10"/>
      <c r="T16" s="10"/>
      <c r="U16" s="10"/>
      <c r="V16" s="10"/>
      <c r="W16" s="10"/>
      <c r="X16" s="10"/>
      <c r="Y16" s="10"/>
      <c r="Z16" s="10"/>
      <c r="AA16" s="10"/>
      <c r="AB16" s="10"/>
    </row>
    <row r="17" spans="1:28" x14ac:dyDescent="0.2">
      <c r="A17" s="10" t="str">
        <f ca="1">IFERROR(__xludf.DUMMYFUNCTION("""COMPUTED_VALUE"""),"22 - Textile Mill Products (16)")</f>
        <v>22 - Textile Mill Products (16)</v>
      </c>
      <c r="B17" s="16" t="str">
        <f t="shared" ca="1" si="0"/>
        <v>21 - Tobacco Products</v>
      </c>
      <c r="C17" s="10">
        <f ca="1">IFERROR(__xludf.DUMMYFUNCTION("""COMPUTED_VALUE"""),0.065)</f>
        <v>6.5000000000000002E-2</v>
      </c>
      <c r="D17" s="10">
        <f ca="1">IFERROR(__xludf.DUMMYFUNCTION("""COMPUTED_VALUE"""),-0.91)</f>
        <v>-0.91</v>
      </c>
      <c r="E17" s="10">
        <f ca="1">IFERROR(__xludf.DUMMYFUNCTION("""COMPUTED_VALUE"""),0.73)</f>
        <v>0.73</v>
      </c>
      <c r="F17" s="10">
        <f ca="1">IFERROR(__xludf.DUMMYFUNCTION("""COMPUTED_VALUE"""),1.72)</f>
        <v>1.72</v>
      </c>
      <c r="G17" s="10">
        <f ca="1">IFERROR(__xludf.DUMMYFUNCTION("""COMPUTED_VALUE"""),0.254)</f>
        <v>0.254</v>
      </c>
      <c r="H17" s="10">
        <f ca="1">IFERROR(__xludf.DUMMYFUNCTION("""COMPUTED_VALUE"""),0.166)</f>
        <v>0.16600000000000001</v>
      </c>
      <c r="I17" s="10">
        <f ca="1">IFERROR(__xludf.DUMMYFUNCTION("""COMPUTED_VALUE"""),0.071)</f>
        <v>7.0999999999999994E-2</v>
      </c>
      <c r="J17" s="10">
        <f ca="1">IFERROR(__xludf.DUMMYFUNCTION("""COMPUTED_VALUE"""),1.46)</f>
        <v>1.46</v>
      </c>
      <c r="K17" s="10"/>
      <c r="L17" s="10"/>
      <c r="M17" s="10"/>
      <c r="N17" s="10"/>
      <c r="O17" s="10"/>
      <c r="P17" s="10"/>
      <c r="Q17" s="10"/>
      <c r="R17" s="10"/>
      <c r="S17" s="10"/>
      <c r="T17" s="10"/>
      <c r="U17" s="10"/>
      <c r="V17" s="10"/>
      <c r="W17" s="10"/>
      <c r="X17" s="10"/>
      <c r="Y17" s="10"/>
      <c r="Z17" s="10"/>
      <c r="AA17" s="10"/>
      <c r="AB17" s="10"/>
    </row>
    <row r="18" spans="1:28" x14ac:dyDescent="0.2">
      <c r="A18" s="10" t="str">
        <f ca="1">IFERROR(__xludf.DUMMYFUNCTION("""COMPUTED_VALUE"""),"23 - Apparel And Other Finished Products Made From Fabrics And Similar 
Materials (56)")</f>
        <v>23 - Apparel And Other Finished Products Made From Fabrics And Similar _x000D_Materials (56)</v>
      </c>
      <c r="B18" s="16" t="str">
        <f t="shared" ca="1" si="0"/>
        <v>22 - Textile Mill Products</v>
      </c>
      <c r="C18" s="10">
        <f ca="1">IFERROR(__xludf.DUMMYFUNCTION("""COMPUTED_VALUE"""),-0.038)</f>
        <v>-3.7999999999999999E-2</v>
      </c>
      <c r="D18" s="10">
        <f ca="1">IFERROR(__xludf.DUMMYFUNCTION("""COMPUTED_VALUE"""),-0.134)</f>
        <v>-0.13400000000000001</v>
      </c>
      <c r="E18" s="10">
        <f ca="1">IFERROR(__xludf.DUMMYFUNCTION("""COMPUTED_VALUE"""),1.26)</f>
        <v>1.26</v>
      </c>
      <c r="F18" s="10">
        <f ca="1">IFERROR(__xludf.DUMMYFUNCTION("""COMPUTED_VALUE"""),2.56)</f>
        <v>2.56</v>
      </c>
      <c r="G18" s="10">
        <f ca="1">IFERROR(__xludf.DUMMYFUNCTION("""COMPUTED_VALUE"""),0.483)</f>
        <v>0.48299999999999998</v>
      </c>
      <c r="H18" s="10">
        <f ca="1">IFERROR(__xludf.DUMMYFUNCTION("""COMPUTED_VALUE"""),-0.007)</f>
        <v>-7.0000000000000001E-3</v>
      </c>
      <c r="I18" s="10">
        <f ca="1">IFERROR(__xludf.DUMMYFUNCTION("""COMPUTED_VALUE"""),-0.029)</f>
        <v>-2.9000000000000001E-2</v>
      </c>
      <c r="J18" s="10">
        <f ca="1">IFERROR(__xludf.DUMMYFUNCTION("""COMPUTED_VALUE"""),0.68)</f>
        <v>0.68</v>
      </c>
      <c r="K18" s="10"/>
      <c r="L18" s="10"/>
      <c r="M18" s="10"/>
      <c r="N18" s="10"/>
      <c r="O18" s="10"/>
      <c r="P18" s="10"/>
      <c r="Q18" s="10"/>
      <c r="R18" s="10"/>
      <c r="S18" s="10"/>
      <c r="T18" s="10"/>
      <c r="U18" s="10"/>
      <c r="V18" s="10"/>
      <c r="W18" s="10"/>
      <c r="X18" s="10"/>
      <c r="Y18" s="10"/>
      <c r="Z18" s="10"/>
      <c r="AA18" s="10"/>
      <c r="AB18" s="10"/>
    </row>
    <row r="19" spans="1:28" x14ac:dyDescent="0.2">
      <c r="A19" s="10" t="str">
        <f ca="1">IFERROR(__xludf.DUMMYFUNCTION("""COMPUTED_VALUE"""),"24 - Lumber And Wood Products, Except Furniture (29)")</f>
        <v>24 - Lumber And Wood Products, Except Furniture (29)</v>
      </c>
      <c r="B19" s="16" t="str">
        <f t="shared" ca="1" si="0"/>
        <v>23 - Apparel And Other Finished Products Made From Fabrics And Similar _x000D_Materials</v>
      </c>
      <c r="C19" s="10">
        <f ca="1">IFERROR(__xludf.DUMMYFUNCTION("""COMPUTED_VALUE"""),-0.008)</f>
        <v>-8.0000000000000002E-3</v>
      </c>
      <c r="D19" s="10">
        <f ca="1">IFERROR(__xludf.DUMMYFUNCTION("""COMPUTED_VALUE"""),-0.021)</f>
        <v>-2.1000000000000001E-2</v>
      </c>
      <c r="E19" s="10">
        <f ca="1">IFERROR(__xludf.DUMMYFUNCTION("""COMPUTED_VALUE"""),1.41)</f>
        <v>1.41</v>
      </c>
      <c r="F19" s="10">
        <f ca="1">IFERROR(__xludf.DUMMYFUNCTION("""COMPUTED_VALUE"""),2.37)</f>
        <v>2.37</v>
      </c>
      <c r="G19" s="10">
        <f ca="1">IFERROR(__xludf.DUMMYFUNCTION("""COMPUTED_VALUE"""),0.22)</f>
        <v>0.22</v>
      </c>
      <c r="H19" s="10">
        <f ca="1">IFERROR(__xludf.DUMMYFUNCTION("""COMPUTED_VALUE"""),-0.014)</f>
        <v>-1.4E-2</v>
      </c>
      <c r="I19" s="10">
        <f ca="1">IFERROR(__xludf.DUMMYFUNCTION("""COMPUTED_VALUE"""),-0.001)</f>
        <v>-1E-3</v>
      </c>
      <c r="J19" s="10">
        <f ca="1">IFERROR(__xludf.DUMMYFUNCTION("""COMPUTED_VALUE"""),1.13)</f>
        <v>1.1299999999999999</v>
      </c>
      <c r="K19" s="10"/>
      <c r="L19" s="10"/>
      <c r="M19" s="10"/>
      <c r="N19" s="10"/>
      <c r="O19" s="10"/>
      <c r="P19" s="10"/>
      <c r="Q19" s="10"/>
      <c r="R19" s="10"/>
      <c r="S19" s="10"/>
      <c r="T19" s="10"/>
      <c r="U19" s="10"/>
      <c r="V19" s="10"/>
      <c r="W19" s="10"/>
      <c r="X19" s="10"/>
      <c r="Y19" s="10"/>
      <c r="Z19" s="10"/>
      <c r="AA19" s="10"/>
      <c r="AB19" s="10"/>
    </row>
    <row r="20" spans="1:28" x14ac:dyDescent="0.2">
      <c r="A20" s="10" t="str">
        <f ca="1">IFERROR(__xludf.DUMMYFUNCTION("""COMPUTED_VALUE"""),"25 - Furniture And Fixtures (29)")</f>
        <v>25 - Furniture And Fixtures (29)</v>
      </c>
      <c r="B20" s="16" t="str">
        <f t="shared" ca="1" si="0"/>
        <v>24 - Lumber And Wood Products, Except Furniture</v>
      </c>
      <c r="C20" s="10">
        <f ca="1">IFERROR(__xludf.DUMMYFUNCTION("""COMPUTED_VALUE"""),0.086)</f>
        <v>8.5999999999999993E-2</v>
      </c>
      <c r="D20" s="10">
        <f ca="1">IFERROR(__xludf.DUMMYFUNCTION("""COMPUTED_VALUE"""),0.168)</f>
        <v>0.16800000000000001</v>
      </c>
      <c r="E20" s="10">
        <f ca="1">IFERROR(__xludf.DUMMYFUNCTION("""COMPUTED_VALUE"""),1.49)</f>
        <v>1.49</v>
      </c>
      <c r="F20" s="10">
        <f ca="1">IFERROR(__xludf.DUMMYFUNCTION("""COMPUTED_VALUE"""),2.11)</f>
        <v>2.11</v>
      </c>
      <c r="G20" s="10">
        <f ca="1">IFERROR(__xludf.DUMMYFUNCTION("""COMPUTED_VALUE"""),0.369)</f>
        <v>0.36899999999999999</v>
      </c>
      <c r="H20" s="10">
        <f ca="1">IFERROR(__xludf.DUMMYFUNCTION("""COMPUTED_VALUE"""),0.088)</f>
        <v>8.7999999999999995E-2</v>
      </c>
      <c r="I20" s="10">
        <f ca="1">IFERROR(__xludf.DUMMYFUNCTION("""COMPUTED_VALUE"""),0.073)</f>
        <v>7.2999999999999995E-2</v>
      </c>
      <c r="J20" s="10">
        <f ca="1">IFERROR(__xludf.DUMMYFUNCTION("""COMPUTED_VALUE"""),0.59)</f>
        <v>0.59</v>
      </c>
      <c r="K20" s="10"/>
      <c r="L20" s="10"/>
      <c r="M20" s="10"/>
      <c r="N20" s="10"/>
      <c r="O20" s="10"/>
      <c r="P20" s="10"/>
      <c r="Q20" s="10"/>
      <c r="R20" s="10"/>
      <c r="S20" s="10"/>
      <c r="T20" s="10"/>
      <c r="U20" s="10"/>
      <c r="V20" s="10"/>
      <c r="W20" s="10"/>
      <c r="X20" s="10"/>
      <c r="Y20" s="10"/>
      <c r="Z20" s="10"/>
      <c r="AA20" s="10"/>
      <c r="AB20" s="10"/>
    </row>
    <row r="21" spans="1:28" x14ac:dyDescent="0.2">
      <c r="A21" s="10" t="str">
        <f ca="1">IFERROR(__xludf.DUMMYFUNCTION("""COMPUTED_VALUE"""),"26 - Paper And Allied Products (41)")</f>
        <v>26 - Paper And Allied Products (41)</v>
      </c>
      <c r="B21" s="16" t="str">
        <f t="shared" ca="1" si="0"/>
        <v>25 - Furniture And Fixtures</v>
      </c>
      <c r="C21" s="10">
        <f ca="1">IFERROR(__xludf.DUMMYFUNCTION("""COMPUTED_VALUE"""),0.029)</f>
        <v>2.9000000000000001E-2</v>
      </c>
      <c r="D21" s="10">
        <f ca="1">IFERROR(__xludf.DUMMYFUNCTION("""COMPUTED_VALUE"""),0.018)</f>
        <v>1.7999999999999999E-2</v>
      </c>
      <c r="E21" s="10">
        <f ca="1">IFERROR(__xludf.DUMMYFUNCTION("""COMPUTED_VALUE"""),0.81)</f>
        <v>0.81</v>
      </c>
      <c r="F21" s="10">
        <f ca="1">IFERROR(__xludf.DUMMYFUNCTION("""COMPUTED_VALUE"""),1.39)</f>
        <v>1.39</v>
      </c>
      <c r="G21" s="10">
        <f ca="1">IFERROR(__xludf.DUMMYFUNCTION("""COMPUTED_VALUE"""),0.173)</f>
        <v>0.17299999999999999</v>
      </c>
      <c r="H21" s="10">
        <f ca="1">IFERROR(__xludf.DUMMYFUNCTION("""COMPUTED_VALUE"""),0.026)</f>
        <v>2.5999999999999999E-2</v>
      </c>
      <c r="I21" s="10">
        <f ca="1">IFERROR(__xludf.DUMMYFUNCTION("""COMPUTED_VALUE"""),0.021)</f>
        <v>2.1000000000000001E-2</v>
      </c>
      <c r="J21" s="10">
        <f ca="1">IFERROR(__xludf.DUMMYFUNCTION("""COMPUTED_VALUE"""),1.3)</f>
        <v>1.3</v>
      </c>
      <c r="K21" s="10"/>
      <c r="L21" s="10"/>
      <c r="M21" s="10"/>
      <c r="N21" s="10"/>
      <c r="O21" s="10"/>
      <c r="P21" s="10"/>
      <c r="Q21" s="10"/>
      <c r="R21" s="10"/>
      <c r="S21" s="10"/>
      <c r="T21" s="10"/>
      <c r="U21" s="10"/>
      <c r="V21" s="10"/>
      <c r="W21" s="10"/>
      <c r="X21" s="10"/>
      <c r="Y21" s="10"/>
      <c r="Z21" s="10"/>
      <c r="AA21" s="10"/>
      <c r="AB21" s="10"/>
    </row>
    <row r="22" spans="1:28" x14ac:dyDescent="0.2">
      <c r="A22" s="10" t="str">
        <f ca="1">IFERROR(__xludf.DUMMYFUNCTION("""COMPUTED_VALUE"""),"27 - Printing, Publishing, And Allied Industries (67)")</f>
        <v>27 - Printing, Publishing, And Allied Industries (67)</v>
      </c>
      <c r="B22" s="16" t="str">
        <f t="shared" ca="1" si="0"/>
        <v>26 - Paper And Allied Products</v>
      </c>
      <c r="C22" s="10">
        <f ca="1">IFERROR(__xludf.DUMMYFUNCTION("""COMPUTED_VALUE"""),0.009)</f>
        <v>8.9999999999999993E-3</v>
      </c>
      <c r="D22" s="10">
        <f ca="1">IFERROR(__xludf.DUMMYFUNCTION("""COMPUTED_VALUE"""),0.02)</f>
        <v>0.02</v>
      </c>
      <c r="E22" s="10">
        <f ca="1">IFERROR(__xludf.DUMMYFUNCTION("""COMPUTED_VALUE"""),0.93)</f>
        <v>0.93</v>
      </c>
      <c r="F22" s="10">
        <f ca="1">IFERROR(__xludf.DUMMYFUNCTION("""COMPUTED_VALUE"""),1.86)</f>
        <v>1.86</v>
      </c>
      <c r="G22" s="10">
        <f ca="1">IFERROR(__xludf.DUMMYFUNCTION("""COMPUTED_VALUE"""),0.421)</f>
        <v>0.42099999999999999</v>
      </c>
      <c r="H22" s="10">
        <f ca="1">IFERROR(__xludf.DUMMYFUNCTION("""COMPUTED_VALUE"""),0.044)</f>
        <v>4.3999999999999997E-2</v>
      </c>
      <c r="I22" s="10">
        <f ca="1">IFERROR(__xludf.DUMMYFUNCTION("""COMPUTED_VALUE"""),0.023)</f>
        <v>2.3E-2</v>
      </c>
      <c r="J22" s="10">
        <f ca="1">IFERROR(__xludf.DUMMYFUNCTION("""COMPUTED_VALUE"""),1.44)</f>
        <v>1.44</v>
      </c>
      <c r="K22" s="10"/>
      <c r="L22" s="10"/>
      <c r="M22" s="10"/>
      <c r="N22" s="10"/>
      <c r="O22" s="10"/>
      <c r="P22" s="10"/>
      <c r="Q22" s="10"/>
      <c r="R22" s="10"/>
      <c r="S22" s="10"/>
      <c r="T22" s="10"/>
      <c r="U22" s="10"/>
      <c r="V22" s="10"/>
      <c r="W22" s="10"/>
      <c r="X22" s="10"/>
      <c r="Y22" s="10"/>
      <c r="Z22" s="10"/>
      <c r="AA22" s="10"/>
      <c r="AB22" s="10"/>
    </row>
    <row r="23" spans="1:28" x14ac:dyDescent="0.2">
      <c r="A23" s="10" t="str">
        <f ca="1">IFERROR(__xludf.DUMMYFUNCTION("""COMPUTED_VALUE"""),"28 - Chemicals And Allied Products (1076)")</f>
        <v>28 - Chemicals And Allied Products (1076)</v>
      </c>
      <c r="B23" s="16" t="str">
        <f t="shared" ca="1" si="0"/>
        <v>27 - Printing, Publishing, And Allied Industries</v>
      </c>
      <c r="C23" s="10">
        <f ca="1">IFERROR(__xludf.DUMMYFUNCTION("""COMPUTED_VALUE"""),-0.022)</f>
        <v>-2.1999999999999999E-2</v>
      </c>
      <c r="D23" s="10">
        <f ca="1">IFERROR(__xludf.DUMMYFUNCTION("""COMPUTED_VALUE"""),-0.132)</f>
        <v>-0.13200000000000001</v>
      </c>
      <c r="E23" s="10">
        <f ca="1">IFERROR(__xludf.DUMMYFUNCTION("""COMPUTED_VALUE"""),1.03)</f>
        <v>1.03</v>
      </c>
      <c r="F23" s="10">
        <f ca="1">IFERROR(__xludf.DUMMYFUNCTION("""COMPUTED_VALUE"""),1.28)</f>
        <v>1.28</v>
      </c>
      <c r="G23" s="10">
        <f ca="1">IFERROR(__xludf.DUMMYFUNCTION("""COMPUTED_VALUE"""),0.548)</f>
        <v>0.54800000000000004</v>
      </c>
      <c r="H23" s="10">
        <f ca="1">IFERROR(__xludf.DUMMYFUNCTION("""COMPUTED_VALUE"""),-0.012)</f>
        <v>-1.2E-2</v>
      </c>
      <c r="I23" s="10">
        <f ca="1">IFERROR(__xludf.DUMMYFUNCTION("""COMPUTED_VALUE"""),-0.023)</f>
        <v>-2.3E-2</v>
      </c>
      <c r="J23" s="10">
        <f ca="1">IFERROR(__xludf.DUMMYFUNCTION("""COMPUTED_VALUE"""),0.74)</f>
        <v>0.74</v>
      </c>
      <c r="K23" s="10"/>
      <c r="L23" s="10"/>
      <c r="M23" s="10"/>
      <c r="N23" s="10"/>
      <c r="O23" s="10"/>
      <c r="P23" s="10"/>
      <c r="Q23" s="10"/>
      <c r="R23" s="10"/>
      <c r="S23" s="10"/>
      <c r="T23" s="10"/>
      <c r="U23" s="10"/>
      <c r="V23" s="10"/>
      <c r="W23" s="10"/>
      <c r="X23" s="10"/>
      <c r="Y23" s="10"/>
      <c r="Z23" s="10"/>
      <c r="AA23" s="10"/>
      <c r="AB23" s="10"/>
    </row>
    <row r="24" spans="1:28" x14ac:dyDescent="0.2">
      <c r="A24" s="10" t="str">
        <f ca="1">IFERROR(__xludf.DUMMYFUNCTION("""COMPUTED_VALUE"""),"29 - Petroleum Refining And Related Industries (38)")</f>
        <v>29 - Petroleum Refining And Related Industries (38)</v>
      </c>
      <c r="B24" s="16" t="str">
        <f t="shared" ca="1" si="0"/>
        <v>28 - Chemicals And Allied Products</v>
      </c>
      <c r="C24" s="10">
        <f ca="1">IFERROR(__xludf.DUMMYFUNCTION("""COMPUTED_VALUE"""),-0.373)</f>
        <v>-0.373</v>
      </c>
      <c r="D24" s="10">
        <f ca="1">IFERROR(__xludf.DUMMYFUNCTION("""COMPUTED_VALUE"""),-0.6)</f>
        <v>-0.6</v>
      </c>
      <c r="E24" s="10">
        <f ca="1">IFERROR(__xludf.DUMMYFUNCTION("""COMPUTED_VALUE"""),2.59)</f>
        <v>2.59</v>
      </c>
      <c r="F24" s="10">
        <f ca="1">IFERROR(__xludf.DUMMYFUNCTION("""COMPUTED_VALUE"""),4.34)</f>
        <v>4.34</v>
      </c>
      <c r="G24" s="10">
        <f ca="1">IFERROR(__xludf.DUMMYFUNCTION("""COMPUTED_VALUE"""),0.051)</f>
        <v>5.0999999999999997E-2</v>
      </c>
      <c r="H24" s="10">
        <f ca="1">IFERROR(__xludf.DUMMYFUNCTION("""COMPUTED_VALUE"""),-0.492)</f>
        <v>-0.49199999999999999</v>
      </c>
      <c r="I24" s="10">
        <f ca="1">IFERROR(__xludf.DUMMYFUNCTION("""COMPUTED_VALUE"""),-1.278)</f>
        <v>-1.278</v>
      </c>
      <c r="J24" s="10">
        <f ca="1">IFERROR(__xludf.DUMMYFUNCTION("""COMPUTED_VALUE"""),0.35)</f>
        <v>0.35</v>
      </c>
      <c r="K24" s="10"/>
      <c r="L24" s="10"/>
      <c r="M24" s="10"/>
      <c r="N24" s="10"/>
      <c r="O24" s="10"/>
      <c r="P24" s="10"/>
      <c r="Q24" s="10"/>
      <c r="R24" s="10"/>
      <c r="S24" s="10"/>
      <c r="T24" s="10"/>
      <c r="U24" s="10"/>
      <c r="V24" s="10"/>
      <c r="W24" s="10"/>
      <c r="X24" s="10"/>
      <c r="Y24" s="10"/>
      <c r="Z24" s="10"/>
      <c r="AA24" s="10"/>
      <c r="AB24" s="10"/>
    </row>
    <row r="25" spans="1:28" x14ac:dyDescent="0.2">
      <c r="A25" s="10" t="str">
        <f ca="1">IFERROR(__xludf.DUMMYFUNCTION("""COMPUTED_VALUE"""),"30 - Rubber And Miscellaneous Plastics Products (54)")</f>
        <v>30 - Rubber And Miscellaneous Plastics Products (54)</v>
      </c>
      <c r="B25" s="16" t="str">
        <f t="shared" ca="1" si="0"/>
        <v>29 - Petroleum Refining And Related Industries</v>
      </c>
      <c r="C25" s="10">
        <f ca="1">IFERROR(__xludf.DUMMYFUNCTION("""COMPUTED_VALUE"""),-0.064)</f>
        <v>-6.4000000000000001E-2</v>
      </c>
      <c r="D25" s="10">
        <f ca="1">IFERROR(__xludf.DUMMYFUNCTION("""COMPUTED_VALUE"""),-0.163)</f>
        <v>-0.16300000000000001</v>
      </c>
      <c r="E25" s="10">
        <f ca="1">IFERROR(__xludf.DUMMYFUNCTION("""COMPUTED_VALUE"""),0.89)</f>
        <v>0.89</v>
      </c>
      <c r="F25" s="10">
        <f ca="1">IFERROR(__xludf.DUMMYFUNCTION("""COMPUTED_VALUE"""),1.58)</f>
        <v>1.58</v>
      </c>
      <c r="G25" s="10">
        <f ca="1">IFERROR(__xludf.DUMMYFUNCTION("""COMPUTED_VALUE"""),0.309)</f>
        <v>0.309</v>
      </c>
      <c r="H25" s="10">
        <f ca="1">IFERROR(__xludf.DUMMYFUNCTION("""COMPUTED_VALUE"""),-0.076)</f>
        <v>-7.5999999999999998E-2</v>
      </c>
      <c r="I25" s="10">
        <f ca="1">IFERROR(__xludf.DUMMYFUNCTION("""COMPUTED_VALUE"""),-0.066)</f>
        <v>-6.6000000000000003E-2</v>
      </c>
      <c r="J25" s="10">
        <f ca="1">IFERROR(__xludf.DUMMYFUNCTION("""COMPUTED_VALUE"""),1.54)</f>
        <v>1.54</v>
      </c>
      <c r="K25" s="10"/>
      <c r="L25" s="10"/>
      <c r="M25" s="10"/>
      <c r="N25" s="10"/>
      <c r="O25" s="10"/>
      <c r="P25" s="10"/>
      <c r="Q25" s="10"/>
      <c r="R25" s="10"/>
      <c r="S25" s="10"/>
      <c r="T25" s="10"/>
      <c r="U25" s="10"/>
      <c r="V25" s="10"/>
      <c r="W25" s="10"/>
      <c r="X25" s="10"/>
      <c r="Y25" s="10"/>
      <c r="Z25" s="10"/>
      <c r="AA25" s="10"/>
      <c r="AB25" s="10"/>
    </row>
    <row r="26" spans="1:28" x14ac:dyDescent="0.2">
      <c r="A26" s="10" t="str">
        <f ca="1">IFERROR(__xludf.DUMMYFUNCTION("""COMPUTED_VALUE"""),"31 - Leather And Leather Products (16)")</f>
        <v>31 - Leather And Leather Products (16)</v>
      </c>
      <c r="B26" s="16" t="str">
        <f t="shared" ca="1" si="0"/>
        <v>30 - Rubber And Miscellaneous Plastics Products</v>
      </c>
      <c r="C26" s="10">
        <f ca="1">IFERROR(__xludf.DUMMYFUNCTION("""COMPUTED_VALUE"""),0.047)</f>
        <v>4.7E-2</v>
      </c>
      <c r="D26" s="10">
        <f ca="1">IFERROR(__xludf.DUMMYFUNCTION("""COMPUTED_VALUE"""),0.091)</f>
        <v>9.0999999999999998E-2</v>
      </c>
      <c r="E26" s="10">
        <f ca="1">IFERROR(__xludf.DUMMYFUNCTION("""COMPUTED_VALUE"""),1.35)</f>
        <v>1.35</v>
      </c>
      <c r="F26" s="10">
        <f ca="1">IFERROR(__xludf.DUMMYFUNCTION("""COMPUTED_VALUE"""),1.81)</f>
        <v>1.81</v>
      </c>
      <c r="G26" s="10">
        <f ca="1">IFERROR(__xludf.DUMMYFUNCTION("""COMPUTED_VALUE"""),0.444)</f>
        <v>0.44400000000000001</v>
      </c>
      <c r="H26" s="10">
        <f ca="1">IFERROR(__xludf.DUMMYFUNCTION("""COMPUTED_VALUE"""),0.069)</f>
        <v>6.9000000000000006E-2</v>
      </c>
      <c r="I26" s="10">
        <f ca="1">IFERROR(__xludf.DUMMYFUNCTION("""COMPUTED_VALUE"""),0.054)</f>
        <v>5.3999999999999999E-2</v>
      </c>
      <c r="J26" s="10">
        <f ca="1">IFERROR(__xludf.DUMMYFUNCTION("""COMPUTED_VALUE"""),1.12)</f>
        <v>1.1200000000000001</v>
      </c>
      <c r="K26" s="10"/>
      <c r="L26" s="10"/>
      <c r="M26" s="10"/>
      <c r="N26" s="10"/>
      <c r="O26" s="10"/>
      <c r="P26" s="10"/>
      <c r="Q26" s="10"/>
      <c r="R26" s="10"/>
      <c r="S26" s="10"/>
      <c r="T26" s="10"/>
      <c r="U26" s="10"/>
      <c r="V26" s="10"/>
      <c r="W26" s="10"/>
      <c r="X26" s="10"/>
      <c r="Y26" s="10"/>
      <c r="Z26" s="10"/>
      <c r="AA26" s="10"/>
      <c r="AB26" s="10"/>
    </row>
    <row r="27" spans="1:28" x14ac:dyDescent="0.2">
      <c r="A27" s="10" t="str">
        <f ca="1">IFERROR(__xludf.DUMMYFUNCTION("""COMPUTED_VALUE"""),"32 - Stone, Clay, Glass, And Concrete Products (31)")</f>
        <v>32 - Stone, Clay, Glass, And Concrete Products (31)</v>
      </c>
      <c r="B27" s="16" t="str">
        <f t="shared" ca="1" si="0"/>
        <v>31 - Leather And Leather Products</v>
      </c>
      <c r="C27" s="10">
        <f ca="1">IFERROR(__xludf.DUMMYFUNCTION("""COMPUTED_VALUE"""),-0.016)</f>
        <v>-1.6E-2</v>
      </c>
      <c r="D27" s="10">
        <f ca="1">IFERROR(__xludf.DUMMYFUNCTION("""COMPUTED_VALUE"""),-0.137)</f>
        <v>-0.13700000000000001</v>
      </c>
      <c r="E27" s="10">
        <f ca="1">IFERROR(__xludf.DUMMYFUNCTION("""COMPUTED_VALUE"""),1.3)</f>
        <v>1.3</v>
      </c>
      <c r="F27" s="10">
        <f ca="1">IFERROR(__xludf.DUMMYFUNCTION("""COMPUTED_VALUE"""),2.23)</f>
        <v>2.23</v>
      </c>
      <c r="G27" s="10">
        <f ca="1">IFERROR(__xludf.DUMMYFUNCTION("""COMPUTED_VALUE"""),0.228)</f>
        <v>0.22800000000000001</v>
      </c>
      <c r="H27" s="10">
        <f ca="1">IFERROR(__xludf.DUMMYFUNCTION("""COMPUTED_VALUE"""),-0.096)</f>
        <v>-9.6000000000000002E-2</v>
      </c>
      <c r="I27" s="10">
        <f ca="1">IFERROR(__xludf.DUMMYFUNCTION("""COMPUTED_VALUE"""),-0.068)</f>
        <v>-6.8000000000000005E-2</v>
      </c>
      <c r="J27" s="10">
        <f ca="1">IFERROR(__xludf.DUMMYFUNCTION("""COMPUTED_VALUE"""),1.13)</f>
        <v>1.1299999999999999</v>
      </c>
      <c r="K27" s="10"/>
      <c r="L27" s="10"/>
      <c r="M27" s="10"/>
      <c r="N27" s="10"/>
      <c r="O27" s="10"/>
      <c r="P27" s="10"/>
      <c r="Q27" s="10"/>
      <c r="R27" s="10"/>
      <c r="S27" s="10"/>
      <c r="T27" s="10"/>
      <c r="U27" s="10"/>
      <c r="V27" s="10"/>
      <c r="W27" s="10"/>
      <c r="X27" s="10"/>
      <c r="Y27" s="10"/>
      <c r="Z27" s="10"/>
      <c r="AA27" s="10"/>
      <c r="AB27" s="10"/>
    </row>
    <row r="28" spans="1:28" x14ac:dyDescent="0.2">
      <c r="A28" s="10" t="str">
        <f ca="1">IFERROR(__xludf.DUMMYFUNCTION("""COMPUTED_VALUE"""),"33 - Primary Metal Industries (60)")</f>
        <v>33 - Primary Metal Industries (60)</v>
      </c>
      <c r="B28" s="16" t="str">
        <f t="shared" ca="1" si="0"/>
        <v>32 - Stone, Clay, Glass, And Concrete Products</v>
      </c>
      <c r="C28" s="10">
        <f ca="1">IFERROR(__xludf.DUMMYFUNCTION("""COMPUTED_VALUE"""),0.044)</f>
        <v>4.3999999999999997E-2</v>
      </c>
      <c r="D28" s="10">
        <f ca="1">IFERROR(__xludf.DUMMYFUNCTION("""COMPUTED_VALUE"""),0.121)</f>
        <v>0.121</v>
      </c>
      <c r="E28" s="10">
        <f ca="1">IFERROR(__xludf.DUMMYFUNCTION("""COMPUTED_VALUE"""),1.11)</f>
        <v>1.1100000000000001</v>
      </c>
      <c r="F28" s="10">
        <f ca="1">IFERROR(__xludf.DUMMYFUNCTION("""COMPUTED_VALUE"""),1.81)</f>
        <v>1.81</v>
      </c>
      <c r="G28" s="10">
        <f ca="1">IFERROR(__xludf.DUMMYFUNCTION("""COMPUTED_VALUE"""),0.141)</f>
        <v>0.14099999999999999</v>
      </c>
      <c r="H28" s="10">
        <f ca="1">IFERROR(__xludf.DUMMYFUNCTION("""COMPUTED_VALUE"""),0.096)</f>
        <v>9.6000000000000002E-2</v>
      </c>
      <c r="I28" s="10">
        <f ca="1">IFERROR(__xludf.DUMMYFUNCTION("""COMPUTED_VALUE"""),0.044)</f>
        <v>4.3999999999999997E-2</v>
      </c>
      <c r="J28" s="10">
        <f ca="1">IFERROR(__xludf.DUMMYFUNCTION("""COMPUTED_VALUE"""),1.41)</f>
        <v>1.41</v>
      </c>
      <c r="K28" s="10"/>
      <c r="L28" s="10"/>
      <c r="M28" s="10"/>
      <c r="N28" s="10"/>
      <c r="O28" s="10"/>
      <c r="P28" s="10"/>
      <c r="Q28" s="10"/>
      <c r="R28" s="10"/>
      <c r="S28" s="10"/>
      <c r="T28" s="10"/>
      <c r="U28" s="10"/>
      <c r="V28" s="10"/>
      <c r="W28" s="10"/>
      <c r="X28" s="10"/>
      <c r="Y28" s="10"/>
      <c r="Z28" s="10"/>
      <c r="AA28" s="10"/>
      <c r="AB28" s="10"/>
    </row>
    <row r="29" spans="1:28" x14ac:dyDescent="0.2">
      <c r="A29" s="10" t="str">
        <f ca="1">IFERROR(__xludf.DUMMYFUNCTION("""COMPUTED_VALUE"""),"34 - Fabricated Metal Products, Except Machinery And Transportation 
Equipment (78)")</f>
        <v>34 - Fabricated Metal Products, Except Machinery And Transportation _x000D_Equipment (78)</v>
      </c>
      <c r="B29" s="16" t="str">
        <f t="shared" ca="1" si="0"/>
        <v>33 - Primary Metal Industries</v>
      </c>
      <c r="C29" s="10">
        <f ca="1">IFERROR(__xludf.DUMMYFUNCTION("""COMPUTED_VALUE"""),-0.011)</f>
        <v>-1.0999999999999999E-2</v>
      </c>
      <c r="D29" s="10">
        <f ca="1">IFERROR(__xludf.DUMMYFUNCTION("""COMPUTED_VALUE"""),-0.031)</f>
        <v>-3.1E-2</v>
      </c>
      <c r="E29" s="10">
        <f ca="1">IFERROR(__xludf.DUMMYFUNCTION("""COMPUTED_VALUE"""),1.15)</f>
        <v>1.1499999999999999</v>
      </c>
      <c r="F29" s="10">
        <f ca="1">IFERROR(__xludf.DUMMYFUNCTION("""COMPUTED_VALUE"""),2.42)</f>
        <v>2.42</v>
      </c>
      <c r="G29" s="10">
        <f ca="1">IFERROR(__xludf.DUMMYFUNCTION("""COMPUTED_VALUE"""),0.295)</f>
        <v>0.29499999999999998</v>
      </c>
      <c r="H29" s="10">
        <f ca="1">IFERROR(__xludf.DUMMYFUNCTION("""COMPUTED_VALUE"""),0.034)</f>
        <v>3.4000000000000002E-2</v>
      </c>
      <c r="I29" s="10">
        <f ca="1">IFERROR(__xludf.DUMMYFUNCTION("""COMPUTED_VALUE"""),-0.007)</f>
        <v>-7.0000000000000001E-3</v>
      </c>
      <c r="J29" s="10">
        <f ca="1">IFERROR(__xludf.DUMMYFUNCTION("""COMPUTED_VALUE"""),1.28)</f>
        <v>1.28</v>
      </c>
      <c r="K29" s="10"/>
      <c r="L29" s="10"/>
      <c r="M29" s="10"/>
      <c r="N29" s="10"/>
      <c r="O29" s="10"/>
      <c r="P29" s="10"/>
      <c r="Q29" s="10"/>
      <c r="R29" s="10"/>
      <c r="S29" s="10"/>
      <c r="T29" s="10"/>
      <c r="U29" s="10"/>
      <c r="V29" s="10"/>
      <c r="W29" s="10"/>
      <c r="X29" s="10"/>
      <c r="Y29" s="10"/>
      <c r="Z29" s="10"/>
      <c r="AA29" s="10"/>
      <c r="AB29" s="10"/>
    </row>
    <row r="30" spans="1:28" x14ac:dyDescent="0.2">
      <c r="A30" s="10" t="str">
        <f ca="1">IFERROR(__xludf.DUMMYFUNCTION("""COMPUTED_VALUE"""),"35 - Industrial And Commercial Machinery And Computer Equipment (299)")</f>
        <v>35 - Industrial And Commercial Machinery And Computer Equipment (299)</v>
      </c>
      <c r="B30" s="16" t="str">
        <f t="shared" ca="1" si="0"/>
        <v>34 - Fabricated Metal Products, Except Machinery And Transportation _x000D_Equipment</v>
      </c>
      <c r="C30" s="10">
        <f ca="1">IFERROR(__xludf.DUMMYFUNCTION("""COMPUTED_VALUE"""),0.027)</f>
        <v>2.7E-2</v>
      </c>
      <c r="D30" s="10">
        <f ca="1">IFERROR(__xludf.DUMMYFUNCTION("""COMPUTED_VALUE"""),0.055)</f>
        <v>5.5E-2</v>
      </c>
      <c r="E30" s="10">
        <f ca="1">IFERROR(__xludf.DUMMYFUNCTION("""COMPUTED_VALUE"""),1.15)</f>
        <v>1.1499999999999999</v>
      </c>
      <c r="F30" s="10">
        <f ca="1">IFERROR(__xludf.DUMMYFUNCTION("""COMPUTED_VALUE"""),2.34)</f>
        <v>2.34</v>
      </c>
      <c r="G30" s="10">
        <f ca="1">IFERROR(__xludf.DUMMYFUNCTION("""COMPUTED_VALUE"""),0.328)</f>
        <v>0.32800000000000001</v>
      </c>
      <c r="H30" s="10">
        <f ca="1">IFERROR(__xludf.DUMMYFUNCTION("""COMPUTED_VALUE"""),0.079)</f>
        <v>7.9000000000000001E-2</v>
      </c>
      <c r="I30" s="10">
        <f ca="1">IFERROR(__xludf.DUMMYFUNCTION("""COMPUTED_VALUE"""),0.039)</f>
        <v>3.9E-2</v>
      </c>
      <c r="J30" s="10">
        <f ca="1">IFERROR(__xludf.DUMMYFUNCTION("""COMPUTED_VALUE"""),1.05)</f>
        <v>1.05</v>
      </c>
      <c r="K30" s="10"/>
      <c r="L30" s="10"/>
      <c r="M30" s="10"/>
      <c r="N30" s="10"/>
      <c r="O30" s="10"/>
      <c r="P30" s="10"/>
      <c r="Q30" s="10"/>
      <c r="R30" s="10"/>
      <c r="S30" s="10"/>
      <c r="T30" s="10"/>
      <c r="U30" s="10"/>
      <c r="V30" s="10"/>
      <c r="W30" s="10"/>
      <c r="X30" s="10"/>
      <c r="Y30" s="10"/>
      <c r="Z30" s="10"/>
      <c r="AA30" s="10"/>
      <c r="AB30" s="10"/>
    </row>
    <row r="31" spans="1:28" x14ac:dyDescent="0.2">
      <c r="A31" s="10" t="str">
        <f ca="1">IFERROR(__xludf.DUMMYFUNCTION("""COMPUTED_VALUE"""),"36 - Electronic And Other Electrical Equipment And Components, Except 
Computer Equipment (487)")</f>
        <v>36 - Electronic And Other Electrical Equipment And Components, Except _x000D_Computer Equipment (487)</v>
      </c>
      <c r="B31" s="16" t="str">
        <f t="shared" ca="1" si="0"/>
        <v>35 - Industrial And Commercial Machinery And Computer Equipment</v>
      </c>
      <c r="C31" s="10">
        <f ca="1">IFERROR(__xludf.DUMMYFUNCTION("""COMPUTED_VALUE"""),0.006)</f>
        <v>6.0000000000000001E-3</v>
      </c>
      <c r="D31" s="10">
        <f ca="1">IFERROR(__xludf.DUMMYFUNCTION("""COMPUTED_VALUE"""),0.006)</f>
        <v>6.0000000000000001E-3</v>
      </c>
      <c r="E31" s="10">
        <f ca="1">IFERROR(__xludf.DUMMYFUNCTION("""COMPUTED_VALUE"""),1.41)</f>
        <v>1.41</v>
      </c>
      <c r="F31" s="10">
        <f ca="1">IFERROR(__xludf.DUMMYFUNCTION("""COMPUTED_VALUE"""),2.14)</f>
        <v>2.14</v>
      </c>
      <c r="G31" s="10">
        <f ca="1">IFERROR(__xludf.DUMMYFUNCTION("""COMPUTED_VALUE"""),0.379)</f>
        <v>0.379</v>
      </c>
      <c r="H31" s="10">
        <f ca="1">IFERROR(__xludf.DUMMYFUNCTION("""COMPUTED_VALUE"""),0.036)</f>
        <v>3.5999999999999997E-2</v>
      </c>
      <c r="I31" s="10">
        <f ca="1">IFERROR(__xludf.DUMMYFUNCTION("""COMPUTED_VALUE"""),0.016)</f>
        <v>1.6E-2</v>
      </c>
      <c r="J31" s="10">
        <f ca="1">IFERROR(__xludf.DUMMYFUNCTION("""COMPUTED_VALUE"""),0.99)</f>
        <v>0.99</v>
      </c>
      <c r="K31" s="10"/>
      <c r="L31" s="10"/>
      <c r="M31" s="10"/>
      <c r="N31" s="10"/>
      <c r="O31" s="10"/>
      <c r="P31" s="10"/>
      <c r="Q31" s="10"/>
      <c r="R31" s="10"/>
      <c r="S31" s="10"/>
      <c r="T31" s="10"/>
      <c r="U31" s="10"/>
      <c r="V31" s="10"/>
      <c r="W31" s="10"/>
      <c r="X31" s="10"/>
      <c r="Y31" s="10"/>
      <c r="Z31" s="10"/>
      <c r="AA31" s="10"/>
      <c r="AB31" s="10"/>
    </row>
    <row r="32" spans="1:28" x14ac:dyDescent="0.2">
      <c r="A32" s="10" t="str">
        <f ca="1">IFERROR(__xludf.DUMMYFUNCTION("""COMPUTED_VALUE"""),"37 - Transportation Equipment (156)")</f>
        <v>37 - Transportation Equipment (156)</v>
      </c>
      <c r="B32" s="16" t="str">
        <f t="shared" ca="1" si="0"/>
        <v>36 - Electronic And Other Electrical Equipment And Components, Except _x000D_Computer Equipment</v>
      </c>
      <c r="C32" s="10">
        <f ca="1">IFERROR(__xludf.DUMMYFUNCTION("""COMPUTED_VALUE"""),0.02)</f>
        <v>0.02</v>
      </c>
      <c r="D32" s="10">
        <f ca="1">IFERROR(__xludf.DUMMYFUNCTION("""COMPUTED_VALUE"""),0.015)</f>
        <v>1.4999999999999999E-2</v>
      </c>
      <c r="E32" s="10">
        <f ca="1">IFERROR(__xludf.DUMMYFUNCTION("""COMPUTED_VALUE"""),1.74)</f>
        <v>1.74</v>
      </c>
      <c r="F32" s="10">
        <f ca="1">IFERROR(__xludf.DUMMYFUNCTION("""COMPUTED_VALUE"""),2.56)</f>
        <v>2.56</v>
      </c>
      <c r="G32" s="10">
        <f ca="1">IFERROR(__xludf.DUMMYFUNCTION("""COMPUTED_VALUE"""),0.184)</f>
        <v>0.184</v>
      </c>
      <c r="H32" s="10">
        <f ca="1">IFERROR(__xludf.DUMMYFUNCTION("""COMPUTED_VALUE"""),0.045)</f>
        <v>4.4999999999999998E-2</v>
      </c>
      <c r="I32" s="10">
        <f ca="1">IFERROR(__xludf.DUMMYFUNCTION("""COMPUTED_VALUE"""),0.027)</f>
        <v>2.7E-2</v>
      </c>
      <c r="J32" s="10">
        <f ca="1">IFERROR(__xludf.DUMMYFUNCTION("""COMPUTED_VALUE"""),0.67)</f>
        <v>0.67</v>
      </c>
      <c r="K32" s="10"/>
      <c r="L32" s="10"/>
      <c r="M32" s="10"/>
      <c r="N32" s="10"/>
      <c r="O32" s="10"/>
      <c r="P32" s="10"/>
      <c r="Q32" s="10"/>
      <c r="R32" s="10"/>
      <c r="S32" s="10"/>
      <c r="T32" s="10"/>
      <c r="U32" s="10"/>
      <c r="V32" s="10"/>
      <c r="W32" s="10"/>
      <c r="X32" s="10"/>
      <c r="Y32" s="10"/>
      <c r="Z32" s="10"/>
      <c r="AA32" s="10"/>
      <c r="AB32" s="10"/>
    </row>
    <row r="33" spans="1:28" x14ac:dyDescent="0.2">
      <c r="A33" s="10" t="str">
        <f ca="1">IFERROR(__xludf.DUMMYFUNCTION("""COMPUTED_VALUE"""),"38 - Measuring, Analyzing, And Controlling Instruments; Photographic, 
Medical And Optical Goods; Watches And Clocks (460)")</f>
        <v>38 - Measuring, Analyzing, And Controlling Instruments; Photographic, _x000D_Medical And Optical Goods; Watches And Clocks (460)</v>
      </c>
      <c r="B33" s="16" t="str">
        <f t="shared" ca="1" si="0"/>
        <v>37 - Transportation Equipment</v>
      </c>
      <c r="C33" s="10">
        <f ca="1">IFERROR(__xludf.DUMMYFUNCTION("""COMPUTED_VALUE"""),-0.007)</f>
        <v>-7.0000000000000001E-3</v>
      </c>
      <c r="D33" s="10">
        <f ca="1">IFERROR(__xludf.DUMMYFUNCTION("""COMPUTED_VALUE"""),-0.036)</f>
        <v>-3.5999999999999997E-2</v>
      </c>
      <c r="E33" s="10">
        <f ca="1">IFERROR(__xludf.DUMMYFUNCTION("""COMPUTED_VALUE"""),1.05)</f>
        <v>1.05</v>
      </c>
      <c r="F33" s="10">
        <f ca="1">IFERROR(__xludf.DUMMYFUNCTION("""COMPUTED_VALUE"""),1.88)</f>
        <v>1.88</v>
      </c>
      <c r="G33" s="10">
        <f ca="1">IFERROR(__xludf.DUMMYFUNCTION("""COMPUTED_VALUE"""),0.534)</f>
        <v>0.53400000000000003</v>
      </c>
      <c r="H33" s="10">
        <f ca="1">IFERROR(__xludf.DUMMYFUNCTION("""COMPUTED_VALUE"""),0.009)</f>
        <v>8.9999999999999993E-3</v>
      </c>
      <c r="I33" s="10">
        <f ca="1">IFERROR(__xludf.DUMMYFUNCTION("""COMPUTED_VALUE"""),0.011)</f>
        <v>1.0999999999999999E-2</v>
      </c>
      <c r="J33" s="10">
        <f ca="1">IFERROR(__xludf.DUMMYFUNCTION("""COMPUTED_VALUE"""),0.95)</f>
        <v>0.95</v>
      </c>
      <c r="K33" s="10"/>
      <c r="L33" s="10"/>
      <c r="M33" s="10"/>
      <c r="N33" s="10"/>
      <c r="O33" s="10"/>
      <c r="P33" s="10"/>
      <c r="Q33" s="10"/>
      <c r="R33" s="10"/>
      <c r="S33" s="10"/>
      <c r="T33" s="10"/>
      <c r="U33" s="10"/>
      <c r="V33" s="10"/>
      <c r="W33" s="10"/>
      <c r="X33" s="10"/>
      <c r="Y33" s="10"/>
      <c r="Z33" s="10"/>
      <c r="AA33" s="10"/>
      <c r="AB33" s="10"/>
    </row>
    <row r="34" spans="1:28" x14ac:dyDescent="0.2">
      <c r="A34" s="10" t="str">
        <f ca="1">IFERROR(__xludf.DUMMYFUNCTION("""COMPUTED_VALUE"""),"39 - Miscellaneous Manufacturing Industries (70)")</f>
        <v>39 - Miscellaneous Manufacturing Industries (70)</v>
      </c>
      <c r="B34" s="16" t="str">
        <f t="shared" ca="1" si="0"/>
        <v>38 - Measuring, Analyzing, And Controlling Instruments; Photographic, _x000D_Medical And Optical Goods; Watches And Clocks</v>
      </c>
      <c r="C34" s="10">
        <f ca="1">IFERROR(__xludf.DUMMYFUNCTION("""COMPUTED_VALUE"""),-0.07)</f>
        <v>-7.0000000000000007E-2</v>
      </c>
      <c r="D34" s="10">
        <f ca="1">IFERROR(__xludf.DUMMYFUNCTION("""COMPUTED_VALUE"""),-0.156)</f>
        <v>-0.156</v>
      </c>
      <c r="E34" s="10">
        <f ca="1">IFERROR(__xludf.DUMMYFUNCTION("""COMPUTED_VALUE"""),2.03)</f>
        <v>2.0299999999999998</v>
      </c>
      <c r="F34" s="10">
        <f ca="1">IFERROR(__xludf.DUMMYFUNCTION("""COMPUTED_VALUE"""),3.05)</f>
        <v>3.05</v>
      </c>
      <c r="G34" s="10">
        <f ca="1">IFERROR(__xludf.DUMMYFUNCTION("""COMPUTED_VALUE"""),0.398)</f>
        <v>0.39800000000000002</v>
      </c>
      <c r="H34" s="10">
        <f ca="1">IFERROR(__xludf.DUMMYFUNCTION("""COMPUTED_VALUE"""),-0.064)</f>
        <v>-6.4000000000000001E-2</v>
      </c>
      <c r="I34" s="10">
        <f ca="1">IFERROR(__xludf.DUMMYFUNCTION("""COMPUTED_VALUE"""),-0.064)</f>
        <v>-6.4000000000000001E-2</v>
      </c>
      <c r="J34" s="10">
        <f ca="1">IFERROR(__xludf.DUMMYFUNCTION("""COMPUTED_VALUE"""),0.63)</f>
        <v>0.63</v>
      </c>
      <c r="K34" s="10"/>
      <c r="L34" s="10"/>
      <c r="M34" s="10"/>
      <c r="N34" s="10"/>
      <c r="O34" s="10"/>
      <c r="P34" s="10"/>
      <c r="Q34" s="10"/>
      <c r="R34" s="10"/>
      <c r="S34" s="10"/>
      <c r="T34" s="10"/>
      <c r="U34" s="10"/>
      <c r="V34" s="10"/>
      <c r="W34" s="10"/>
      <c r="X34" s="10"/>
      <c r="Y34" s="10"/>
      <c r="Z34" s="10"/>
      <c r="AA34" s="10"/>
      <c r="AB34" s="10"/>
    </row>
    <row r="35" spans="1:28" x14ac:dyDescent="0.2">
      <c r="A35" s="10" t="str">
        <f ca="1">IFERROR(__xludf.DUMMYFUNCTION("""COMPUTED_VALUE"""),"40 - Railroad Transportation (13)")</f>
        <v>40 - Railroad Transportation (13)</v>
      </c>
      <c r="B35" s="16" t="str">
        <f t="shared" ca="1" si="0"/>
        <v>39 - Miscellaneous Manufacturing Industries</v>
      </c>
      <c r="C35" s="10">
        <f ca="1">IFERROR(__xludf.DUMMYFUNCTION("""COMPUTED_VALUE"""),0.013)</f>
        <v>1.2999999999999999E-2</v>
      </c>
      <c r="D35" s="10">
        <f ca="1">IFERROR(__xludf.DUMMYFUNCTION("""COMPUTED_VALUE"""),0.023)</f>
        <v>2.3E-2</v>
      </c>
      <c r="E35" s="10">
        <f ca="1">IFERROR(__xludf.DUMMYFUNCTION("""COMPUTED_VALUE"""),1.36)</f>
        <v>1.36</v>
      </c>
      <c r="F35" s="10">
        <f ca="1">IFERROR(__xludf.DUMMYFUNCTION("""COMPUTED_VALUE"""),2.06)</f>
        <v>2.06</v>
      </c>
      <c r="G35" s="10">
        <f ca="1">IFERROR(__xludf.DUMMYFUNCTION("""COMPUTED_VALUE"""),0.898)</f>
        <v>0.89800000000000002</v>
      </c>
      <c r="H35" s="10">
        <f ca="1">IFERROR(__xludf.DUMMYFUNCTION("""COMPUTED_VALUE"""),0.071)</f>
        <v>7.0999999999999994E-2</v>
      </c>
      <c r="I35" s="10">
        <f ca="1">IFERROR(__xludf.DUMMYFUNCTION("""COMPUTED_VALUE"""),0.028)</f>
        <v>2.8000000000000001E-2</v>
      </c>
      <c r="J35" s="10">
        <f ca="1">IFERROR(__xludf.DUMMYFUNCTION("""COMPUTED_VALUE"""),0.93)</f>
        <v>0.93</v>
      </c>
      <c r="K35" s="10"/>
      <c r="L35" s="10"/>
      <c r="M35" s="10"/>
      <c r="N35" s="10"/>
      <c r="O35" s="10"/>
      <c r="P35" s="10"/>
      <c r="Q35" s="10"/>
      <c r="R35" s="10"/>
      <c r="S35" s="10"/>
      <c r="T35" s="10"/>
      <c r="U35" s="10"/>
      <c r="V35" s="10"/>
      <c r="W35" s="10"/>
      <c r="X35" s="10"/>
      <c r="Y35" s="10"/>
      <c r="Z35" s="10"/>
      <c r="AA35" s="10"/>
      <c r="AB35" s="10"/>
    </row>
    <row r="36" spans="1:28" x14ac:dyDescent="0.2">
      <c r="A36" s="10" t="str">
        <f ca="1">IFERROR(__xludf.DUMMYFUNCTION("""COMPUTED_VALUE"""),"42 - Motor Freight Transportation And Warehousing (31)")</f>
        <v>42 - Motor Freight Transportation And Warehousing (31)</v>
      </c>
      <c r="B36" s="16" t="str">
        <f t="shared" ca="1" si="0"/>
        <v>40 - Railroad Transportation</v>
      </c>
      <c r="C36" s="10">
        <f ca="1">IFERROR(__xludf.DUMMYFUNCTION("""COMPUTED_VALUE"""),0.06)</f>
        <v>0.06</v>
      </c>
      <c r="D36" s="10">
        <f ca="1">IFERROR(__xludf.DUMMYFUNCTION("""COMPUTED_VALUE"""),0.178)</f>
        <v>0.17799999999999999</v>
      </c>
      <c r="E36" s="10">
        <f ca="1">IFERROR(__xludf.DUMMYFUNCTION("""COMPUTED_VALUE"""),0.81)</f>
        <v>0.81</v>
      </c>
      <c r="F36" s="10">
        <f ca="1">IFERROR(__xludf.DUMMYFUNCTION("""COMPUTED_VALUE"""),1.07)</f>
        <v>1.07</v>
      </c>
      <c r="G36" s="10">
        <f ca="1">IFERROR(__xludf.DUMMYFUNCTION("""COMPUTED_VALUE"""),0.129)</f>
        <v>0.129</v>
      </c>
      <c r="H36" s="10">
        <f ca="1">IFERROR(__xludf.DUMMYFUNCTION("""COMPUTED_VALUE"""),0.37)</f>
        <v>0.37</v>
      </c>
      <c r="I36" s="10">
        <f ca="1">IFERROR(__xludf.DUMMYFUNCTION("""COMPUTED_VALUE"""),0.247)</f>
        <v>0.247</v>
      </c>
      <c r="J36" s="10">
        <f ca="1">IFERROR(__xludf.DUMMYFUNCTION("""COMPUTED_VALUE"""),2.23)</f>
        <v>2.23</v>
      </c>
      <c r="K36" s="10"/>
      <c r="L36" s="10"/>
      <c r="M36" s="10"/>
      <c r="N36" s="10"/>
      <c r="O36" s="10"/>
      <c r="P36" s="10"/>
      <c r="Q36" s="10"/>
      <c r="R36" s="10"/>
      <c r="S36" s="10"/>
      <c r="T36" s="10"/>
      <c r="U36" s="10"/>
      <c r="V36" s="10"/>
      <c r="W36" s="10"/>
      <c r="X36" s="10"/>
      <c r="Y36" s="10"/>
      <c r="Z36" s="10"/>
      <c r="AA36" s="10"/>
      <c r="AB36" s="10"/>
    </row>
    <row r="37" spans="1:28" x14ac:dyDescent="0.2">
      <c r="A37" s="10" t="str">
        <f ca="1">IFERROR(__xludf.DUMMYFUNCTION("""COMPUTED_VALUE"""),"44 - Water Transportation (30)")</f>
        <v>44 - Water Transportation (30)</v>
      </c>
      <c r="B37" s="16" t="str">
        <f t="shared" ca="1" si="0"/>
        <v>42 - Motor Freight Transportation And Warehousing</v>
      </c>
      <c r="C37" s="10">
        <f ca="1">IFERROR(__xludf.DUMMYFUNCTION("""COMPUTED_VALUE"""),0.048)</f>
        <v>4.8000000000000001E-2</v>
      </c>
      <c r="D37" s="10">
        <f ca="1">IFERROR(__xludf.DUMMYFUNCTION("""COMPUTED_VALUE"""),0.107)</f>
        <v>0.107</v>
      </c>
      <c r="E37" s="10">
        <f ca="1">IFERROR(__xludf.DUMMYFUNCTION("""COMPUTED_VALUE"""),1.33)</f>
        <v>1.33</v>
      </c>
      <c r="F37" s="10">
        <f ca="1">IFERROR(__xludf.DUMMYFUNCTION("""COMPUTED_VALUE"""),1.48)</f>
        <v>1.48</v>
      </c>
      <c r="G37" s="10">
        <f ca="1">IFERROR(__xludf.DUMMYFUNCTION("""COMPUTED_VALUE"""),-0.075)</f>
        <v>-7.4999999999999997E-2</v>
      </c>
      <c r="H37" s="10">
        <f ca="1">IFERROR(__xludf.DUMMYFUNCTION("""COMPUTED_VALUE"""),0.061)</f>
        <v>6.0999999999999999E-2</v>
      </c>
      <c r="I37" s="10">
        <f ca="1">IFERROR(__xludf.DUMMYFUNCTION("""COMPUTED_VALUE"""),0.042)</f>
        <v>4.2000000000000003E-2</v>
      </c>
      <c r="J37" s="10">
        <f ca="1">IFERROR(__xludf.DUMMYFUNCTION("""COMPUTED_VALUE"""),0.87)</f>
        <v>0.87</v>
      </c>
      <c r="K37" s="10"/>
      <c r="L37" s="10"/>
      <c r="M37" s="10"/>
      <c r="N37" s="10"/>
      <c r="O37" s="10"/>
      <c r="P37" s="10"/>
      <c r="Q37" s="10"/>
      <c r="R37" s="10"/>
      <c r="S37" s="10"/>
      <c r="T37" s="10"/>
      <c r="U37" s="10"/>
      <c r="V37" s="10"/>
      <c r="W37" s="10"/>
      <c r="X37" s="10"/>
      <c r="Y37" s="10"/>
      <c r="Z37" s="10"/>
      <c r="AA37" s="10"/>
      <c r="AB37" s="10"/>
    </row>
    <row r="38" spans="1:28" x14ac:dyDescent="0.2">
      <c r="A38" s="10" t="str">
        <f ca="1">IFERROR(__xludf.DUMMYFUNCTION("""COMPUTED_VALUE"""),"45 - Transportation By Air (32)")</f>
        <v>45 - Transportation By Air (32)</v>
      </c>
      <c r="B38" s="16" t="str">
        <f t="shared" ca="1" si="0"/>
        <v>44 - Water Transportation</v>
      </c>
      <c r="C38" s="10">
        <f ca="1">IFERROR(__xludf.DUMMYFUNCTION("""COMPUTED_VALUE"""),-0.078)</f>
        <v>-7.8E-2</v>
      </c>
      <c r="D38" s="10">
        <f ca="1">IFERROR(__xludf.DUMMYFUNCTION("""COMPUTED_VALUE"""),-0.179)</f>
        <v>-0.17899999999999999</v>
      </c>
      <c r="E38" s="10">
        <f ca="1">IFERROR(__xludf.DUMMYFUNCTION("""COMPUTED_VALUE"""),1.13)</f>
        <v>1.1299999999999999</v>
      </c>
      <c r="F38" s="10">
        <f ca="1">IFERROR(__xludf.DUMMYFUNCTION("""COMPUTED_VALUE"""),1.82)</f>
        <v>1.82</v>
      </c>
      <c r="G38" s="10">
        <f ca="1">IFERROR(__xludf.DUMMYFUNCTION("""COMPUTED_VALUE"""),0.276)</f>
        <v>0.27600000000000002</v>
      </c>
      <c r="H38" s="10">
        <f ca="1">IFERROR(__xludf.DUMMYFUNCTION("""COMPUTED_VALUE"""),-0.437)</f>
        <v>-0.437</v>
      </c>
      <c r="I38" s="10">
        <f ca="1">IFERROR(__xludf.DUMMYFUNCTION("""COMPUTED_VALUE"""),-0.494)</f>
        <v>-0.49399999999999999</v>
      </c>
      <c r="J38" s="10">
        <f ca="1">IFERROR(__xludf.DUMMYFUNCTION("""COMPUTED_VALUE"""),0.92)</f>
        <v>0.92</v>
      </c>
      <c r="K38" s="10"/>
      <c r="L38" s="10"/>
      <c r="M38" s="10"/>
      <c r="N38" s="10"/>
      <c r="O38" s="10"/>
      <c r="P38" s="10"/>
      <c r="Q38" s="10"/>
      <c r="R38" s="10"/>
      <c r="S38" s="10"/>
      <c r="T38" s="10"/>
      <c r="U38" s="10"/>
      <c r="V38" s="10"/>
      <c r="W38" s="10"/>
      <c r="X38" s="10"/>
      <c r="Y38" s="10"/>
      <c r="Z38" s="10"/>
      <c r="AA38" s="10"/>
      <c r="AB38" s="10"/>
    </row>
    <row r="39" spans="1:28" x14ac:dyDescent="0.2">
      <c r="A39" s="10" t="str">
        <f ca="1">IFERROR(__xludf.DUMMYFUNCTION("""COMPUTED_VALUE"""),"46 - Pipelines, Except Natural Gas (26)")</f>
        <v>46 - Pipelines, Except Natural Gas (26)</v>
      </c>
      <c r="B39" s="16" t="str">
        <f t="shared" ca="1" si="0"/>
        <v>45 - Transportation By Air</v>
      </c>
      <c r="C39" s="10">
        <f ca="1">IFERROR(__xludf.DUMMYFUNCTION("""COMPUTED_VALUE"""),-0.098)</f>
        <v>-9.8000000000000004E-2</v>
      </c>
      <c r="D39" s="10">
        <f ca="1">IFERROR(__xludf.DUMMYFUNCTION("""COMPUTED_VALUE"""),-0.309)</f>
        <v>-0.309</v>
      </c>
      <c r="E39" s="10">
        <f ca="1">IFERROR(__xludf.DUMMYFUNCTION("""COMPUTED_VALUE"""),1)</f>
        <v>1</v>
      </c>
      <c r="F39" s="10">
        <f ca="1">IFERROR(__xludf.DUMMYFUNCTION("""COMPUTED_VALUE"""),1.14)</f>
        <v>1.1399999999999999</v>
      </c>
      <c r="G39" s="10">
        <f ca="1">IFERROR(__xludf.DUMMYFUNCTION("""COMPUTED_VALUE"""),0.407)</f>
        <v>0.40699999999999997</v>
      </c>
      <c r="H39" s="10">
        <f ca="1">IFERROR(__xludf.DUMMYFUNCTION("""COMPUTED_VALUE"""),-0.417)</f>
        <v>-0.41699999999999998</v>
      </c>
      <c r="I39" s="10">
        <f ca="1">IFERROR(__xludf.DUMMYFUNCTION("""COMPUTED_VALUE"""),-0.288)</f>
        <v>-0.28799999999999998</v>
      </c>
      <c r="J39" s="10">
        <f ca="1">IFERROR(__xludf.DUMMYFUNCTION("""COMPUTED_VALUE"""),2.45)</f>
        <v>2.4500000000000002</v>
      </c>
      <c r="K39" s="10"/>
      <c r="L39" s="10"/>
      <c r="M39" s="10"/>
      <c r="N39" s="10"/>
      <c r="O39" s="10"/>
      <c r="P39" s="10"/>
      <c r="Q39" s="10"/>
      <c r="R39" s="10"/>
      <c r="S39" s="10"/>
      <c r="T39" s="10"/>
      <c r="U39" s="10"/>
      <c r="V39" s="10"/>
      <c r="W39" s="10"/>
      <c r="X39" s="10"/>
      <c r="Y39" s="10"/>
      <c r="Z39" s="10"/>
      <c r="AA39" s="10"/>
      <c r="AB39" s="10"/>
    </row>
    <row r="40" spans="1:28" x14ac:dyDescent="0.2">
      <c r="A40" s="10" t="str">
        <f ca="1">IFERROR(__xludf.DUMMYFUNCTION("""COMPUTED_VALUE"""),"47 - Transportation Services (41)")</f>
        <v>47 - Transportation Services (41)</v>
      </c>
      <c r="B40" s="16" t="str">
        <f t="shared" ca="1" si="0"/>
        <v>46 - Pipelines, Except Natural Gas</v>
      </c>
      <c r="C40" s="10">
        <f ca="1">IFERROR(__xludf.DUMMYFUNCTION("""COMPUTED_VALUE"""),0.051)</f>
        <v>5.0999999999999997E-2</v>
      </c>
      <c r="D40" s="10">
        <f ca="1">IFERROR(__xludf.DUMMYFUNCTION("""COMPUTED_VALUE"""),0.055)</f>
        <v>5.5E-2</v>
      </c>
      <c r="E40" s="10">
        <f ca="1">IFERROR(__xludf.DUMMYFUNCTION("""COMPUTED_VALUE"""),0.61)</f>
        <v>0.61</v>
      </c>
      <c r="F40" s="10">
        <f ca="1">IFERROR(__xludf.DUMMYFUNCTION("""COMPUTED_VALUE"""),1.04)</f>
        <v>1.04</v>
      </c>
      <c r="G40" s="10">
        <f ca="1">IFERROR(__xludf.DUMMYFUNCTION("""COMPUTED_VALUE"""),0.153)</f>
        <v>0.153</v>
      </c>
      <c r="H40" s="10">
        <f ca="1">IFERROR(__xludf.DUMMYFUNCTION("""COMPUTED_VALUE"""),0.179)</f>
        <v>0.17899999999999999</v>
      </c>
      <c r="I40" s="10">
        <f ca="1">IFERROR(__xludf.DUMMYFUNCTION("""COMPUTED_VALUE"""),0.175)</f>
        <v>0.17499999999999999</v>
      </c>
      <c r="J40" s="10">
        <f ca="1">IFERROR(__xludf.DUMMYFUNCTION("""COMPUTED_VALUE"""),1.91)</f>
        <v>1.91</v>
      </c>
      <c r="K40" s="10"/>
      <c r="L40" s="10"/>
      <c r="M40" s="10"/>
      <c r="N40" s="10"/>
      <c r="O40" s="10"/>
      <c r="P40" s="10"/>
      <c r="Q40" s="10"/>
      <c r="R40" s="10"/>
      <c r="S40" s="10"/>
      <c r="T40" s="10"/>
      <c r="U40" s="10"/>
      <c r="V40" s="10"/>
      <c r="W40" s="10"/>
      <c r="X40" s="10"/>
      <c r="Y40" s="10"/>
      <c r="Z40" s="10"/>
      <c r="AA40" s="10"/>
      <c r="AB40" s="10"/>
    </row>
    <row r="41" spans="1:28" x14ac:dyDescent="0.2">
      <c r="A41" s="10" t="str">
        <f ca="1">IFERROR(__xludf.DUMMYFUNCTION("""COMPUTED_VALUE"""),"48 - Communications (225)")</f>
        <v>48 - Communications (225)</v>
      </c>
      <c r="B41" s="16" t="str">
        <f t="shared" ca="1" si="0"/>
        <v>47 - Transportation Services</v>
      </c>
      <c r="C41" s="10">
        <f ca="1">IFERROR(__xludf.DUMMYFUNCTION("""COMPUTED_VALUE"""),0.006)</f>
        <v>6.0000000000000001E-3</v>
      </c>
      <c r="D41" s="10">
        <f ca="1">IFERROR(__xludf.DUMMYFUNCTION("""COMPUTED_VALUE"""),0)</f>
        <v>0</v>
      </c>
      <c r="E41" s="10">
        <f ca="1">IFERROR(__xludf.DUMMYFUNCTION("""COMPUTED_VALUE"""),1.15)</f>
        <v>1.1499999999999999</v>
      </c>
      <c r="F41" s="10">
        <f ca="1">IFERROR(__xludf.DUMMYFUNCTION("""COMPUTED_VALUE"""),1.33)</f>
        <v>1.33</v>
      </c>
      <c r="G41" s="10">
        <f ca="1">IFERROR(__xludf.DUMMYFUNCTION("""COMPUTED_VALUE"""),0.541)</f>
        <v>0.54100000000000004</v>
      </c>
      <c r="H41" s="10">
        <f ca="1">IFERROR(__xludf.DUMMYFUNCTION("""COMPUTED_VALUE"""),0.033)</f>
        <v>3.3000000000000002E-2</v>
      </c>
      <c r="I41" s="10">
        <f ca="1">IFERROR(__xludf.DUMMYFUNCTION("""COMPUTED_VALUE"""),0.006)</f>
        <v>6.0000000000000001E-3</v>
      </c>
      <c r="J41" s="10">
        <f ca="1">IFERROR(__xludf.DUMMYFUNCTION("""COMPUTED_VALUE"""),1.17)</f>
        <v>1.17</v>
      </c>
      <c r="K41" s="10"/>
      <c r="L41" s="10"/>
      <c r="M41" s="10"/>
      <c r="N41" s="10"/>
      <c r="O41" s="10"/>
      <c r="P41" s="10"/>
      <c r="Q41" s="10"/>
      <c r="R41" s="10"/>
      <c r="S41" s="10"/>
      <c r="T41" s="10"/>
      <c r="U41" s="10"/>
      <c r="V41" s="10"/>
      <c r="W41" s="10"/>
      <c r="X41" s="10"/>
      <c r="Y41" s="10"/>
      <c r="Z41" s="10"/>
      <c r="AA41" s="10"/>
      <c r="AB41" s="10"/>
    </row>
    <row r="42" spans="1:28" x14ac:dyDescent="0.2">
      <c r="A42" s="10" t="str">
        <f ca="1">IFERROR(__xludf.DUMMYFUNCTION("""COMPUTED_VALUE"""),"49 - Electric, Gas, And Sanitary Services (310)")</f>
        <v>49 - Electric, Gas, And Sanitary Services (310)</v>
      </c>
      <c r="B42" s="16" t="str">
        <f t="shared" ca="1" si="0"/>
        <v>48 - Communications</v>
      </c>
      <c r="C42" s="10">
        <f ca="1">IFERROR(__xludf.DUMMYFUNCTION("""COMPUTED_VALUE"""),0.006)</f>
        <v>6.0000000000000001E-3</v>
      </c>
      <c r="D42" s="10">
        <f ca="1">IFERROR(__xludf.DUMMYFUNCTION("""COMPUTED_VALUE"""),-0.012)</f>
        <v>-1.2E-2</v>
      </c>
      <c r="E42" s="10">
        <f ca="1">IFERROR(__xludf.DUMMYFUNCTION("""COMPUTED_VALUE"""),1.01)</f>
        <v>1.01</v>
      </c>
      <c r="F42" s="10">
        <f ca="1">IFERROR(__xludf.DUMMYFUNCTION("""COMPUTED_VALUE"""),1.25)</f>
        <v>1.25</v>
      </c>
      <c r="G42" s="10">
        <f ca="1">IFERROR(__xludf.DUMMYFUNCTION("""COMPUTED_VALUE"""),0.393)</f>
        <v>0.39300000000000002</v>
      </c>
      <c r="H42" s="10">
        <f ca="1">IFERROR(__xludf.DUMMYFUNCTION("""COMPUTED_VALUE"""),0.084)</f>
        <v>8.4000000000000005E-2</v>
      </c>
      <c r="I42" s="10">
        <f ca="1">IFERROR(__xludf.DUMMYFUNCTION("""COMPUTED_VALUE"""),0.012)</f>
        <v>1.2E-2</v>
      </c>
      <c r="J42" s="10">
        <f ca="1">IFERROR(__xludf.DUMMYFUNCTION("""COMPUTED_VALUE"""),1.28)</f>
        <v>1.28</v>
      </c>
      <c r="K42" s="10"/>
      <c r="L42" s="10"/>
      <c r="M42" s="10"/>
      <c r="N42" s="10"/>
      <c r="O42" s="10"/>
      <c r="P42" s="10"/>
      <c r="Q42" s="10"/>
      <c r="R42" s="10"/>
      <c r="S42" s="10"/>
      <c r="T42" s="10"/>
      <c r="U42" s="10"/>
      <c r="V42" s="10"/>
      <c r="W42" s="10"/>
      <c r="X42" s="10"/>
      <c r="Y42" s="10"/>
      <c r="Z42" s="10"/>
      <c r="AA42" s="10"/>
      <c r="AB42" s="10"/>
    </row>
    <row r="43" spans="1:28" x14ac:dyDescent="0.2">
      <c r="A43" s="10" t="str">
        <f ca="1">IFERROR(__xludf.DUMMYFUNCTION("""COMPUTED_VALUE"""),"50 - Wholesale Trade-durable Goods (149)")</f>
        <v>50 - Wholesale Trade-durable Goods (149)</v>
      </c>
      <c r="B43" s="16" t="str">
        <f t="shared" ca="1" si="0"/>
        <v>49 - Electric, Gas, And Sanitary Services</v>
      </c>
      <c r="C43" s="10">
        <f ca="1">IFERROR(__xludf.DUMMYFUNCTION("""COMPUTED_VALUE"""),0.024)</f>
        <v>2.4E-2</v>
      </c>
      <c r="D43" s="10">
        <f ca="1">IFERROR(__xludf.DUMMYFUNCTION("""COMPUTED_VALUE"""),0.075)</f>
        <v>7.4999999999999997E-2</v>
      </c>
      <c r="E43" s="10">
        <f ca="1">IFERROR(__xludf.DUMMYFUNCTION("""COMPUTED_VALUE"""),0.49)</f>
        <v>0.49</v>
      </c>
      <c r="F43" s="10">
        <f ca="1">IFERROR(__xludf.DUMMYFUNCTION("""COMPUTED_VALUE"""),0.87)</f>
        <v>0.87</v>
      </c>
      <c r="G43" s="10">
        <f ca="1">IFERROR(__xludf.DUMMYFUNCTION("""COMPUTED_VALUE"""),0.244)</f>
        <v>0.24399999999999999</v>
      </c>
      <c r="H43" s="10">
        <f ca="1">IFERROR(__xludf.DUMMYFUNCTION("""COMPUTED_VALUE"""),0.177)</f>
        <v>0.17699999999999999</v>
      </c>
      <c r="I43" s="10">
        <f ca="1">IFERROR(__xludf.DUMMYFUNCTION("""COMPUTED_VALUE"""),0.092)</f>
        <v>9.1999999999999998E-2</v>
      </c>
      <c r="J43" s="10">
        <f ca="1">IFERROR(__xludf.DUMMYFUNCTION("""COMPUTED_VALUE"""),2.02)</f>
        <v>2.02</v>
      </c>
      <c r="K43" s="10"/>
      <c r="L43" s="10"/>
      <c r="M43" s="10"/>
      <c r="N43" s="10"/>
      <c r="O43" s="10"/>
      <c r="P43" s="10"/>
      <c r="Q43" s="10"/>
      <c r="R43" s="10"/>
      <c r="S43" s="10"/>
      <c r="T43" s="10"/>
      <c r="U43" s="10"/>
      <c r="V43" s="10"/>
      <c r="W43" s="10"/>
      <c r="X43" s="10"/>
      <c r="Y43" s="10"/>
      <c r="Z43" s="10"/>
      <c r="AA43" s="10"/>
      <c r="AB43" s="10"/>
    </row>
    <row r="44" spans="1:28" x14ac:dyDescent="0.2">
      <c r="A44" s="10" t="str">
        <f ca="1">IFERROR(__xludf.DUMMYFUNCTION("""COMPUTED_VALUE"""),"51 - Wholesale Trade-non-durable Goods (123)")</f>
        <v>51 - Wholesale Trade-non-durable Goods (123)</v>
      </c>
      <c r="B44" s="16" t="str">
        <f t="shared" ca="1" si="0"/>
        <v>50 - Wholesale Trade-durable Goods</v>
      </c>
      <c r="C44" s="10">
        <f ca="1">IFERROR(__xludf.DUMMYFUNCTION("""COMPUTED_VALUE"""),0.001)</f>
        <v>1E-3</v>
      </c>
      <c r="D44" s="10">
        <f ca="1">IFERROR(__xludf.DUMMYFUNCTION("""COMPUTED_VALUE"""),-0.012)</f>
        <v>-1.2E-2</v>
      </c>
      <c r="E44" s="10">
        <f ca="1">IFERROR(__xludf.DUMMYFUNCTION("""COMPUTED_VALUE"""),0.99)</f>
        <v>0.99</v>
      </c>
      <c r="F44" s="10">
        <f ca="1">IFERROR(__xludf.DUMMYFUNCTION("""COMPUTED_VALUE"""),1.95)</f>
        <v>1.95</v>
      </c>
      <c r="G44" s="10">
        <f ca="1">IFERROR(__xludf.DUMMYFUNCTION("""COMPUTED_VALUE"""),0.181)</f>
        <v>0.18099999999999999</v>
      </c>
      <c r="H44" s="10">
        <f ca="1">IFERROR(__xludf.DUMMYFUNCTION("""COMPUTED_VALUE"""),0.015)</f>
        <v>1.4999999999999999E-2</v>
      </c>
      <c r="I44" s="10">
        <f ca="1">IFERROR(__xludf.DUMMYFUNCTION("""COMPUTED_VALUE"""),0.005)</f>
        <v>5.0000000000000001E-3</v>
      </c>
      <c r="J44" s="10">
        <f ca="1">IFERROR(__xludf.DUMMYFUNCTION("""COMPUTED_VALUE"""),1.12)</f>
        <v>1.1200000000000001</v>
      </c>
      <c r="K44" s="10"/>
      <c r="L44" s="10"/>
      <c r="M44" s="10"/>
      <c r="N44" s="10"/>
      <c r="O44" s="10"/>
      <c r="P44" s="10"/>
      <c r="Q44" s="10"/>
      <c r="R44" s="10"/>
      <c r="S44" s="10"/>
      <c r="T44" s="10"/>
      <c r="U44" s="10"/>
      <c r="V44" s="10"/>
      <c r="W44" s="10"/>
      <c r="X44" s="10"/>
      <c r="Y44" s="10"/>
      <c r="Z44" s="10"/>
      <c r="AA44" s="10"/>
      <c r="AB44" s="10"/>
    </row>
    <row r="45" spans="1:28" x14ac:dyDescent="0.2">
      <c r="A45" s="10" t="str">
        <f ca="1">IFERROR(__xludf.DUMMYFUNCTION("""COMPUTED_VALUE"""),"52 - Building Materials, Hardware, Garden Supply, And Mobile Home Dealers 
(20)")</f>
        <v>52 - Building Materials, Hardware, Garden Supply, And Mobile Home Dealers _x000D_(20)</v>
      </c>
      <c r="B45" s="16" t="str">
        <f t="shared" ca="1" si="0"/>
        <v>51 - Wholesale Trade-non-durable Goods</v>
      </c>
      <c r="C45" s="10">
        <f ca="1">IFERROR(__xludf.DUMMYFUNCTION("""COMPUTED_VALUE"""),0.003)</f>
        <v>3.0000000000000001E-3</v>
      </c>
      <c r="D45" s="10">
        <f ca="1">IFERROR(__xludf.DUMMYFUNCTION("""COMPUTED_VALUE"""),-0.043)</f>
        <v>-4.2999999999999997E-2</v>
      </c>
      <c r="E45" s="10">
        <f ca="1">IFERROR(__xludf.DUMMYFUNCTION("""COMPUTED_VALUE"""),0.84)</f>
        <v>0.84</v>
      </c>
      <c r="F45" s="10">
        <f ca="1">IFERROR(__xludf.DUMMYFUNCTION("""COMPUTED_VALUE"""),1.65)</f>
        <v>1.65</v>
      </c>
      <c r="G45" s="10">
        <f ca="1">IFERROR(__xludf.DUMMYFUNCTION("""COMPUTED_VALUE"""),0.354)</f>
        <v>0.35399999999999998</v>
      </c>
      <c r="H45" s="10">
        <f ca="1">IFERROR(__xludf.DUMMYFUNCTION("""COMPUTED_VALUE"""),0.002)</f>
        <v>2E-3</v>
      </c>
      <c r="I45" s="10">
        <f ca="1">IFERROR(__xludf.DUMMYFUNCTION("""COMPUTED_VALUE"""),0.005)</f>
        <v>5.0000000000000001E-3</v>
      </c>
      <c r="J45" s="10">
        <f ca="1">IFERROR(__xludf.DUMMYFUNCTION("""COMPUTED_VALUE"""),1.3)</f>
        <v>1.3</v>
      </c>
      <c r="K45" s="10"/>
      <c r="L45" s="10"/>
      <c r="M45" s="10"/>
      <c r="N45" s="10"/>
      <c r="O45" s="10"/>
      <c r="P45" s="10"/>
      <c r="Q45" s="10"/>
      <c r="R45" s="10"/>
      <c r="S45" s="10"/>
      <c r="T45" s="10"/>
      <c r="U45" s="10"/>
      <c r="V45" s="10"/>
      <c r="W45" s="10"/>
      <c r="X45" s="10"/>
      <c r="Y45" s="10"/>
      <c r="Z45" s="10"/>
      <c r="AA45" s="10"/>
      <c r="AB45" s="10"/>
    </row>
    <row r="46" spans="1:28" x14ac:dyDescent="0.2">
      <c r="A46" s="10" t="str">
        <f ca="1">IFERROR(__xludf.DUMMYFUNCTION("""COMPUTED_VALUE"""),"53 - General Merchandise Stores (30)")</f>
        <v>53 - General Merchandise Stores (30)</v>
      </c>
      <c r="B46" s="16" t="str">
        <f t="shared" ca="1" si="0"/>
        <v>52 - Building Materials, Hardware, Garden Supply, And Mobile Home Dealers _x000D_</v>
      </c>
      <c r="C46" s="10">
        <f ca="1">IFERROR(__xludf.DUMMYFUNCTION("""COMPUTED_VALUE"""),0.121)</f>
        <v>0.121</v>
      </c>
      <c r="D46" s="10">
        <f ca="1">IFERROR(__xludf.DUMMYFUNCTION("""COMPUTED_VALUE"""),0.317)</f>
        <v>0.317</v>
      </c>
      <c r="E46" s="10">
        <f ca="1">IFERROR(__xludf.DUMMYFUNCTION("""COMPUTED_VALUE"""),1.28)</f>
        <v>1.28</v>
      </c>
      <c r="F46" s="10">
        <f ca="1">IFERROR(__xludf.DUMMYFUNCTION("""COMPUTED_VALUE"""),1.81)</f>
        <v>1.81</v>
      </c>
      <c r="G46" s="10">
        <f ca="1">IFERROR(__xludf.DUMMYFUNCTION("""COMPUTED_VALUE"""),0.305)</f>
        <v>0.30499999999999999</v>
      </c>
      <c r="H46" s="10">
        <f ca="1">IFERROR(__xludf.DUMMYFUNCTION("""COMPUTED_VALUE"""),0.108)</f>
        <v>0.108</v>
      </c>
      <c r="I46" s="10">
        <f ca="1">IFERROR(__xludf.DUMMYFUNCTION("""COMPUTED_VALUE"""),0.071)</f>
        <v>7.0999999999999994E-2</v>
      </c>
      <c r="J46" s="10">
        <f ca="1">IFERROR(__xludf.DUMMYFUNCTION("""COMPUTED_VALUE"""),1.93)</f>
        <v>1.93</v>
      </c>
      <c r="K46" s="10"/>
      <c r="L46" s="10"/>
      <c r="M46" s="10"/>
      <c r="N46" s="10"/>
      <c r="O46" s="10"/>
      <c r="P46" s="10"/>
      <c r="Q46" s="10"/>
      <c r="R46" s="10"/>
      <c r="S46" s="10"/>
      <c r="T46" s="10"/>
      <c r="U46" s="10"/>
      <c r="V46" s="10"/>
      <c r="W46" s="10"/>
      <c r="X46" s="10"/>
      <c r="Y46" s="10"/>
      <c r="Z46" s="10"/>
      <c r="AA46" s="10"/>
      <c r="AB46" s="10"/>
    </row>
    <row r="47" spans="1:28" x14ac:dyDescent="0.2">
      <c r="A47" s="10" t="str">
        <f ca="1">IFERROR(__xludf.DUMMYFUNCTION("""COMPUTED_VALUE"""),"54 - Food Stores (32)")</f>
        <v>54 - Food Stores (32)</v>
      </c>
      <c r="B47" s="16" t="str">
        <f t="shared" ca="1" si="0"/>
        <v>53 - General Merchandise Stores</v>
      </c>
      <c r="C47" s="10">
        <f ca="1">IFERROR(__xludf.DUMMYFUNCTION("""COMPUTED_VALUE"""),0.058)</f>
        <v>5.8000000000000003E-2</v>
      </c>
      <c r="D47" s="10">
        <f ca="1">IFERROR(__xludf.DUMMYFUNCTION("""COMPUTED_VALUE"""),0.159)</f>
        <v>0.159</v>
      </c>
      <c r="E47" s="10">
        <f ca="1">IFERROR(__xludf.DUMMYFUNCTION("""COMPUTED_VALUE"""),0.48)</f>
        <v>0.48</v>
      </c>
      <c r="F47" s="10">
        <f ca="1">IFERROR(__xludf.DUMMYFUNCTION("""COMPUTED_VALUE"""),1.35)</f>
        <v>1.35</v>
      </c>
      <c r="G47" s="10">
        <f ca="1">IFERROR(__xludf.DUMMYFUNCTION("""COMPUTED_VALUE"""),0.281)</f>
        <v>0.28100000000000003</v>
      </c>
      <c r="H47" s="10">
        <f ca="1">IFERROR(__xludf.DUMMYFUNCTION("""COMPUTED_VALUE"""),0.04)</f>
        <v>0.04</v>
      </c>
      <c r="I47" s="10">
        <f ca="1">IFERROR(__xludf.DUMMYFUNCTION("""COMPUTED_VALUE"""),0.025)</f>
        <v>2.5000000000000001E-2</v>
      </c>
      <c r="J47" s="10">
        <f ca="1">IFERROR(__xludf.DUMMYFUNCTION("""COMPUTED_VALUE"""),2.16)</f>
        <v>2.16</v>
      </c>
      <c r="K47" s="10"/>
      <c r="L47" s="10"/>
      <c r="M47" s="10"/>
      <c r="N47" s="10"/>
      <c r="O47" s="10"/>
      <c r="P47" s="10"/>
      <c r="Q47" s="10"/>
      <c r="R47" s="10"/>
      <c r="S47" s="10"/>
      <c r="T47" s="10"/>
      <c r="U47" s="10"/>
      <c r="V47" s="10"/>
      <c r="W47" s="10"/>
      <c r="X47" s="10"/>
      <c r="Y47" s="10"/>
      <c r="Z47" s="10"/>
      <c r="AA47" s="10"/>
      <c r="AB47" s="10"/>
    </row>
    <row r="48" spans="1:28" x14ac:dyDescent="0.2">
      <c r="A48" s="10" t="str">
        <f ca="1">IFERROR(__xludf.DUMMYFUNCTION("""COMPUTED_VALUE"""),"55 - Automotive Dealers And Gasoline Service Stations (38)")</f>
        <v>55 - Automotive Dealers And Gasoline Service Stations (38)</v>
      </c>
      <c r="B48" s="16" t="str">
        <f t="shared" ca="1" si="0"/>
        <v>54 - Food Stores</v>
      </c>
      <c r="C48" s="10">
        <f ca="1">IFERROR(__xludf.DUMMYFUNCTION("""COMPUTED_VALUE"""),0.041)</f>
        <v>4.1000000000000002E-2</v>
      </c>
      <c r="D48" s="10">
        <f ca="1">IFERROR(__xludf.DUMMYFUNCTION("""COMPUTED_VALUE"""),0.128)</f>
        <v>0.128</v>
      </c>
      <c r="E48" s="10">
        <f ca="1">IFERROR(__xludf.DUMMYFUNCTION("""COMPUTED_VALUE"""),0.37)</f>
        <v>0.37</v>
      </c>
      <c r="F48" s="10">
        <f ca="1">IFERROR(__xludf.DUMMYFUNCTION("""COMPUTED_VALUE"""),1.1)</f>
        <v>1.1000000000000001</v>
      </c>
      <c r="G48" s="10">
        <f ca="1">IFERROR(__xludf.DUMMYFUNCTION("""COMPUTED_VALUE"""),0.185)</f>
        <v>0.185</v>
      </c>
      <c r="H48" s="10">
        <f ca="1">IFERROR(__xludf.DUMMYFUNCTION("""COMPUTED_VALUE"""),0.03)</f>
        <v>0.03</v>
      </c>
      <c r="I48" s="10">
        <f ca="1">IFERROR(__xludf.DUMMYFUNCTION("""COMPUTED_VALUE"""),0.026)</f>
        <v>2.5999999999999999E-2</v>
      </c>
      <c r="J48" s="10">
        <f ca="1">IFERROR(__xludf.DUMMYFUNCTION("""COMPUTED_VALUE"""),1.67)</f>
        <v>1.67</v>
      </c>
      <c r="K48" s="10"/>
      <c r="L48" s="10"/>
      <c r="M48" s="10"/>
      <c r="N48" s="10"/>
      <c r="O48" s="10"/>
      <c r="P48" s="10"/>
      <c r="Q48" s="10"/>
      <c r="R48" s="10"/>
      <c r="S48" s="10"/>
      <c r="T48" s="10"/>
      <c r="U48" s="10"/>
      <c r="V48" s="10"/>
      <c r="W48" s="10"/>
      <c r="X48" s="10"/>
      <c r="Y48" s="10"/>
      <c r="Z48" s="10"/>
      <c r="AA48" s="10"/>
      <c r="AB48" s="10"/>
    </row>
    <row r="49" spans="1:28" x14ac:dyDescent="0.2">
      <c r="A49" s="10" t="str">
        <f ca="1">IFERROR(__xludf.DUMMYFUNCTION("""COMPUTED_VALUE"""),"56 - Apparel And Accessory Stores (55)")</f>
        <v>56 - Apparel And Accessory Stores (55)</v>
      </c>
      <c r="B49" s="16" t="str">
        <f t="shared" ca="1" si="0"/>
        <v>55 - Automotive Dealers And Gasoline Service Stations</v>
      </c>
      <c r="C49" s="10">
        <f ca="1">IFERROR(__xludf.DUMMYFUNCTION("""COMPUTED_VALUE"""),0.041)</f>
        <v>4.1000000000000002E-2</v>
      </c>
      <c r="D49" s="10">
        <f ca="1">IFERROR(__xludf.DUMMYFUNCTION("""COMPUTED_VALUE"""),0.129)</f>
        <v>0.129</v>
      </c>
      <c r="E49" s="10">
        <f ca="1">IFERROR(__xludf.DUMMYFUNCTION("""COMPUTED_VALUE"""),0.48)</f>
        <v>0.48</v>
      </c>
      <c r="F49" s="10">
        <f ca="1">IFERROR(__xludf.DUMMYFUNCTION("""COMPUTED_VALUE"""),1.33)</f>
        <v>1.33</v>
      </c>
      <c r="G49" s="10">
        <f ca="1">IFERROR(__xludf.DUMMYFUNCTION("""COMPUTED_VALUE"""),0.315)</f>
        <v>0.315</v>
      </c>
      <c r="H49" s="10">
        <f ca="1">IFERROR(__xludf.DUMMYFUNCTION("""COMPUTED_VALUE"""),0.052)</f>
        <v>5.1999999999999998E-2</v>
      </c>
      <c r="I49" s="10">
        <f ca="1">IFERROR(__xludf.DUMMYFUNCTION("""COMPUTED_VALUE"""),0.034)</f>
        <v>3.4000000000000002E-2</v>
      </c>
      <c r="J49" s="10">
        <f ca="1">IFERROR(__xludf.DUMMYFUNCTION("""COMPUTED_VALUE"""),2.16)</f>
        <v>2.16</v>
      </c>
      <c r="K49" s="10"/>
      <c r="L49" s="10"/>
      <c r="M49" s="10"/>
      <c r="N49" s="10"/>
      <c r="O49" s="10"/>
      <c r="P49" s="10"/>
      <c r="Q49" s="10"/>
      <c r="R49" s="10"/>
      <c r="S49" s="10"/>
      <c r="T49" s="10"/>
      <c r="U49" s="10"/>
      <c r="V49" s="10"/>
      <c r="W49" s="10"/>
      <c r="X49" s="10"/>
      <c r="Y49" s="10"/>
      <c r="Z49" s="10"/>
      <c r="AA49" s="10"/>
      <c r="AB49" s="10"/>
    </row>
    <row r="50" spans="1:28" x14ac:dyDescent="0.2">
      <c r="A50" s="10" t="str">
        <f ca="1">IFERROR(__xludf.DUMMYFUNCTION("""COMPUTED_VALUE"""),"57 - Home Furniture, Furnishings, And Equipment Stores (32)")</f>
        <v>57 - Home Furniture, Furnishings, And Equipment Stores (32)</v>
      </c>
      <c r="B50" s="16" t="str">
        <f t="shared" ca="1" si="0"/>
        <v>56 - Apparel And Accessory Stores</v>
      </c>
      <c r="C50" s="10">
        <f ca="1">IFERROR(__xludf.DUMMYFUNCTION("""COMPUTED_VALUE"""),-0.021)</f>
        <v>-2.1000000000000001E-2</v>
      </c>
      <c r="D50" s="10">
        <f ca="1">IFERROR(__xludf.DUMMYFUNCTION("""COMPUTED_VALUE"""),-0.101)</f>
        <v>-0.10100000000000001</v>
      </c>
      <c r="E50" s="10">
        <f ca="1">IFERROR(__xludf.DUMMYFUNCTION("""COMPUTED_VALUE"""),0.61)</f>
        <v>0.61</v>
      </c>
      <c r="F50" s="10">
        <f ca="1">IFERROR(__xludf.DUMMYFUNCTION("""COMPUTED_VALUE"""),1.61)</f>
        <v>1.61</v>
      </c>
      <c r="G50" s="10">
        <f ca="1">IFERROR(__xludf.DUMMYFUNCTION("""COMPUTED_VALUE"""),0.373)</f>
        <v>0.373</v>
      </c>
      <c r="H50" s="10">
        <f ca="1">IFERROR(__xludf.DUMMYFUNCTION("""COMPUTED_VALUE"""),0.012)</f>
        <v>1.2E-2</v>
      </c>
      <c r="I50" s="10">
        <f ca="1">IFERROR(__xludf.DUMMYFUNCTION("""COMPUTED_VALUE"""),-0.032)</f>
        <v>-3.2000000000000001E-2</v>
      </c>
      <c r="J50" s="10">
        <f ca="1">IFERROR(__xludf.DUMMYFUNCTION("""COMPUTED_VALUE"""),1.83)</f>
        <v>1.83</v>
      </c>
      <c r="K50" s="10"/>
      <c r="L50" s="10"/>
      <c r="M50" s="10"/>
      <c r="N50" s="10"/>
      <c r="O50" s="10"/>
      <c r="P50" s="10"/>
      <c r="Q50" s="10"/>
      <c r="R50" s="10"/>
      <c r="S50" s="10"/>
      <c r="T50" s="10"/>
      <c r="U50" s="10"/>
      <c r="V50" s="10"/>
      <c r="W50" s="10"/>
      <c r="X50" s="10"/>
      <c r="Y50" s="10"/>
      <c r="Z50" s="10"/>
      <c r="AA50" s="10"/>
      <c r="AB50" s="10"/>
    </row>
    <row r="51" spans="1:28" x14ac:dyDescent="0.2">
      <c r="A51" s="10" t="str">
        <f ca="1">IFERROR(__xludf.DUMMYFUNCTION("""COMPUTED_VALUE"""),"58 - Eating And Drinking Places (109)")</f>
        <v>58 - Eating And Drinking Places (109)</v>
      </c>
      <c r="B51" s="16" t="str">
        <f t="shared" ca="1" si="0"/>
        <v>57 - Home Furniture, Furnishings, And Equipment Stores</v>
      </c>
      <c r="C51" s="10">
        <f ca="1">IFERROR(__xludf.DUMMYFUNCTION("""COMPUTED_VALUE"""),0.016)</f>
        <v>1.6E-2</v>
      </c>
      <c r="D51" s="10">
        <f ca="1">IFERROR(__xludf.DUMMYFUNCTION("""COMPUTED_VALUE"""),0.02)</f>
        <v>0.02</v>
      </c>
      <c r="E51" s="10">
        <f ca="1">IFERROR(__xludf.DUMMYFUNCTION("""COMPUTED_VALUE"""),0.37)</f>
        <v>0.37</v>
      </c>
      <c r="F51" s="10">
        <f ca="1">IFERROR(__xludf.DUMMYFUNCTION("""COMPUTED_VALUE"""),1.26)</f>
        <v>1.26</v>
      </c>
      <c r="G51" s="10">
        <f ca="1">IFERROR(__xludf.DUMMYFUNCTION("""COMPUTED_VALUE"""),0.405)</f>
        <v>0.40500000000000003</v>
      </c>
      <c r="H51" s="10">
        <f ca="1">IFERROR(__xludf.DUMMYFUNCTION("""COMPUTED_VALUE"""),0.021)</f>
        <v>2.1000000000000001E-2</v>
      </c>
      <c r="I51" s="10">
        <f ca="1">IFERROR(__xludf.DUMMYFUNCTION("""COMPUTED_VALUE"""),0.008)</f>
        <v>8.0000000000000002E-3</v>
      </c>
      <c r="J51" s="10">
        <f ca="1">IFERROR(__xludf.DUMMYFUNCTION("""COMPUTED_VALUE"""),2.44)</f>
        <v>2.44</v>
      </c>
      <c r="K51" s="10"/>
      <c r="L51" s="10"/>
      <c r="M51" s="10"/>
      <c r="N51" s="10"/>
      <c r="O51" s="10"/>
      <c r="P51" s="10"/>
      <c r="Q51" s="10"/>
      <c r="R51" s="10"/>
      <c r="S51" s="10"/>
      <c r="T51" s="10"/>
      <c r="U51" s="10"/>
      <c r="V51" s="10"/>
      <c r="W51" s="10"/>
      <c r="X51" s="10"/>
      <c r="Y51" s="10"/>
      <c r="Z51" s="10"/>
      <c r="AA51" s="10"/>
      <c r="AB51" s="10"/>
    </row>
    <row r="52" spans="1:28" x14ac:dyDescent="0.2">
      <c r="A52" s="10" t="str">
        <f ca="1">IFERROR(__xludf.DUMMYFUNCTION("""COMPUTED_VALUE"""),"59 - Miscellaneous Retail (186)")</f>
        <v>59 - Miscellaneous Retail (186)</v>
      </c>
      <c r="B52" s="16" t="str">
        <f t="shared" ca="1" si="0"/>
        <v>58 - Eating And Drinking Places</v>
      </c>
      <c r="C52" s="10">
        <f ca="1">IFERROR(__xludf.DUMMYFUNCTION("""COMPUTED_VALUE"""),-0.016)</f>
        <v>-1.6E-2</v>
      </c>
      <c r="D52" s="10">
        <f ca="1">IFERROR(__xludf.DUMMYFUNCTION("""COMPUTED_VALUE"""),-0.348)</f>
        <v>-0.34799999999999998</v>
      </c>
      <c r="E52" s="10">
        <f ca="1">IFERROR(__xludf.DUMMYFUNCTION("""COMPUTED_VALUE"""),0.75)</f>
        <v>0.75</v>
      </c>
      <c r="F52" s="10">
        <f ca="1">IFERROR(__xludf.DUMMYFUNCTION("""COMPUTED_VALUE"""),1.01)</f>
        <v>1.01</v>
      </c>
      <c r="G52" s="10">
        <f ca="1">IFERROR(__xludf.DUMMYFUNCTION("""COMPUTED_VALUE"""),0.318)</f>
        <v>0.318</v>
      </c>
      <c r="H52" s="10">
        <f ca="1">IFERROR(__xludf.DUMMYFUNCTION("""COMPUTED_VALUE"""),-0.024)</f>
        <v>-2.4E-2</v>
      </c>
      <c r="I52" s="10">
        <f ca="1">IFERROR(__xludf.DUMMYFUNCTION("""COMPUTED_VALUE"""),-0.019)</f>
        <v>-1.9E-2</v>
      </c>
      <c r="J52" s="10">
        <f ca="1">IFERROR(__xludf.DUMMYFUNCTION("""COMPUTED_VALUE"""),1.55)</f>
        <v>1.55</v>
      </c>
      <c r="K52" s="10"/>
      <c r="L52" s="10"/>
      <c r="M52" s="10"/>
      <c r="N52" s="10"/>
      <c r="O52" s="10"/>
      <c r="P52" s="10"/>
      <c r="Q52" s="10"/>
      <c r="R52" s="10"/>
      <c r="S52" s="10"/>
      <c r="T52" s="10"/>
      <c r="U52" s="10"/>
      <c r="V52" s="10"/>
      <c r="W52" s="10"/>
      <c r="X52" s="10"/>
      <c r="Y52" s="10"/>
      <c r="Z52" s="10"/>
      <c r="AA52" s="10"/>
      <c r="AB52" s="10"/>
    </row>
    <row r="53" spans="1:28" x14ac:dyDescent="0.2">
      <c r="A53" s="10" t="str">
        <f ca="1">IFERROR(__xludf.DUMMYFUNCTION("""COMPUTED_VALUE"""),"60 - Depository Institutions (724)")</f>
        <v>60 - Depository Institutions (724)</v>
      </c>
      <c r="B53" s="16" t="str">
        <f t="shared" ca="1" si="0"/>
        <v>59 - Miscellaneous Retail</v>
      </c>
      <c r="C53" s="10">
        <f ca="1">IFERROR(__xludf.DUMMYFUNCTION("""COMPUTED_VALUE"""),0.01)</f>
        <v>0.01</v>
      </c>
      <c r="D53" s="10">
        <f ca="1">IFERROR(__xludf.DUMMYFUNCTION("""COMPUTED_VALUE"""),-0.1)</f>
        <v>-0.1</v>
      </c>
      <c r="E53" s="10">
        <f ca="1">IFERROR(__xludf.DUMMYFUNCTION("""COMPUTED_VALUE"""),0.69)</f>
        <v>0.69</v>
      </c>
      <c r="F53" s="10">
        <f ca="1">IFERROR(__xludf.DUMMYFUNCTION("""COMPUTED_VALUE"""),1.34)</f>
        <v>1.34</v>
      </c>
      <c r="G53" s="10">
        <f ca="1">IFERROR(__xludf.DUMMYFUNCTION("""COMPUTED_VALUE"""),0.901)</f>
        <v>0.90100000000000002</v>
      </c>
      <c r="H53" s="10">
        <f ca="1">IFERROR(__xludf.DUMMYFUNCTION("""COMPUTED_VALUE"""),0.015)</f>
        <v>1.4999999999999999E-2</v>
      </c>
      <c r="I53" s="10">
        <f ca="1">IFERROR(__xludf.DUMMYFUNCTION("""COMPUTED_VALUE"""),0.013)</f>
        <v>1.2999999999999999E-2</v>
      </c>
      <c r="J53" s="10">
        <f ca="1">IFERROR(__xludf.DUMMYFUNCTION("""COMPUTED_VALUE"""),1.1)</f>
        <v>1.1000000000000001</v>
      </c>
      <c r="K53" s="10"/>
      <c r="L53" s="10"/>
      <c r="M53" s="10"/>
      <c r="N53" s="10"/>
      <c r="O53" s="10"/>
      <c r="P53" s="10"/>
      <c r="Q53" s="10"/>
      <c r="R53" s="10"/>
      <c r="S53" s="10"/>
      <c r="T53" s="10"/>
      <c r="U53" s="10"/>
      <c r="V53" s="10"/>
      <c r="W53" s="10"/>
      <c r="X53" s="10"/>
      <c r="Y53" s="10"/>
      <c r="Z53" s="10"/>
      <c r="AA53" s="10"/>
      <c r="AB53" s="10"/>
    </row>
    <row r="54" spans="1:28" x14ac:dyDescent="0.2">
      <c r="A54" s="10" t="str">
        <f ca="1">IFERROR(__xludf.DUMMYFUNCTION("""COMPUTED_VALUE"""),"61 - Non-depository Credit Institutions (125)")</f>
        <v>61 - Non-depository Credit Institutions (125)</v>
      </c>
      <c r="B54" s="16" t="str">
        <f t="shared" ca="1" si="0"/>
        <v>60 - Depository Institutions</v>
      </c>
      <c r="C54" s="10">
        <f ca="1">IFERROR(__xludf.DUMMYFUNCTION("""COMPUTED_VALUE"""),0.009)</f>
        <v>8.9999999999999993E-3</v>
      </c>
      <c r="D54" s="10">
        <f ca="1">IFERROR(__xludf.DUMMYFUNCTION("""COMPUTED_VALUE"""),0.083)</f>
        <v>8.3000000000000004E-2</v>
      </c>
      <c r="E54" s="10">
        <f ca="1">IFERROR(__xludf.DUMMYFUNCTION("""COMPUTED_VALUE"""),11.99)</f>
        <v>11.99</v>
      </c>
      <c r="F54" s="10">
        <f ca="1">IFERROR(__xludf.DUMMYFUNCTION("""COMPUTED_VALUE"""),5.05)</f>
        <v>5.05</v>
      </c>
      <c r="G54" s="10">
        <f ca="1">IFERROR(__xludf.DUMMYFUNCTION("""COMPUTED_VALUE"""),0.76)</f>
        <v>0.76</v>
      </c>
      <c r="H54" s="10">
        <f ca="1">IFERROR(__xludf.DUMMYFUNCTION("""COMPUTED_VALUE"""),0.459)</f>
        <v>0.45900000000000002</v>
      </c>
      <c r="I54" s="10">
        <f ca="1">IFERROR(__xludf.DUMMYFUNCTION("""COMPUTED_VALUE"""),0.244)</f>
        <v>0.24399999999999999</v>
      </c>
      <c r="J54" s="10">
        <f ca="1">IFERROR(__xludf.DUMMYFUNCTION("""COMPUTED_VALUE"""),8.46)</f>
        <v>8.4600000000000009</v>
      </c>
      <c r="K54" s="10"/>
      <c r="L54" s="10"/>
      <c r="M54" s="10"/>
      <c r="N54" s="10"/>
      <c r="O54" s="10"/>
      <c r="P54" s="10"/>
      <c r="Q54" s="10"/>
      <c r="R54" s="10"/>
      <c r="S54" s="10"/>
      <c r="T54" s="10"/>
      <c r="U54" s="10"/>
      <c r="V54" s="10"/>
      <c r="W54" s="10"/>
      <c r="X54" s="10"/>
      <c r="Y54" s="10"/>
      <c r="Z54" s="10"/>
      <c r="AA54" s="10"/>
      <c r="AB54" s="10"/>
    </row>
    <row r="55" spans="1:28" x14ac:dyDescent="0.2">
      <c r="A55" s="10" t="str">
        <f ca="1">IFERROR(__xludf.DUMMYFUNCTION("""COMPUTED_VALUE"""),"62 - Security And Commodity Brokers, Dealers, Exchanges, And Services 
(255)")</f>
        <v>62 - Security And Commodity Brokers, Dealers, Exchanges, And Services _x000D_(255)</v>
      </c>
      <c r="B55" s="16" t="str">
        <f t="shared" ca="1" si="0"/>
        <v>61 - Non-depository Credit Institutions</v>
      </c>
      <c r="C55" s="10">
        <f ca="1">IFERROR(__xludf.DUMMYFUNCTION("""COMPUTED_VALUE"""),0.01)</f>
        <v>0.01</v>
      </c>
      <c r="D55" s="10">
        <f ca="1">IFERROR(__xludf.DUMMYFUNCTION("""COMPUTED_VALUE"""),0.077)</f>
        <v>7.6999999999999999E-2</v>
      </c>
      <c r="E55" s="10">
        <f ca="1">IFERROR(__xludf.DUMMYFUNCTION("""COMPUTED_VALUE"""),1.56)</f>
        <v>1.56</v>
      </c>
      <c r="F55" s="10">
        <f ca="1">IFERROR(__xludf.DUMMYFUNCTION("""COMPUTED_VALUE"""),0.7)</f>
        <v>0.7</v>
      </c>
      <c r="G55" s="10">
        <f ca="1">IFERROR(__xludf.DUMMYFUNCTION("""COMPUTED_VALUE"""),0.518)</f>
        <v>0.51800000000000002</v>
      </c>
      <c r="H55" s="10">
        <f ca="1">IFERROR(__xludf.DUMMYFUNCTION("""COMPUTED_VALUE"""),0.414)</f>
        <v>0.41399999999999998</v>
      </c>
      <c r="I55" s="10">
        <f ca="1">IFERROR(__xludf.DUMMYFUNCTION("""COMPUTED_VALUE"""),0.144)</f>
        <v>0.14399999999999999</v>
      </c>
      <c r="J55" s="10">
        <f ca="1">IFERROR(__xludf.DUMMYFUNCTION("""COMPUTED_VALUE"""),7.4)</f>
        <v>7.4</v>
      </c>
      <c r="K55" s="10"/>
      <c r="L55" s="10"/>
      <c r="M55" s="10"/>
      <c r="N55" s="10"/>
      <c r="O55" s="10"/>
      <c r="P55" s="10"/>
      <c r="Q55" s="10"/>
      <c r="R55" s="10"/>
      <c r="S55" s="10"/>
      <c r="T55" s="10"/>
      <c r="U55" s="10"/>
      <c r="V55" s="10"/>
      <c r="W55" s="10"/>
      <c r="X55" s="10"/>
      <c r="Y55" s="10"/>
      <c r="Z55" s="10"/>
      <c r="AA55" s="10"/>
      <c r="AB55" s="10"/>
    </row>
    <row r="56" spans="1:28" x14ac:dyDescent="0.2">
      <c r="A56" s="10" t="str">
        <f ca="1">IFERROR(__xludf.DUMMYFUNCTION("""COMPUTED_VALUE"""),"63 - Insurance Carriers (186)")</f>
        <v>63 - Insurance Carriers (186)</v>
      </c>
      <c r="B56" s="16" t="str">
        <f t="shared" ca="1" si="0"/>
        <v>62 - Security And Commodity Brokers, Dealers, Exchanges, And Services _x000D_</v>
      </c>
      <c r="C56" s="10">
        <f ca="1">IFERROR(__xludf.DUMMYFUNCTION("""COMPUTED_VALUE"""),0.028)</f>
        <v>2.8000000000000001E-2</v>
      </c>
      <c r="D56" s="10">
        <f ca="1">IFERROR(__xludf.DUMMYFUNCTION("""COMPUTED_VALUE"""),0.092)</f>
        <v>9.1999999999999998E-2</v>
      </c>
      <c r="E56" s="10">
        <f ca="1">IFERROR(__xludf.DUMMYFUNCTION("""COMPUTED_VALUE"""),1.58)</f>
        <v>1.58</v>
      </c>
      <c r="F56" s="10">
        <f ca="1">IFERROR(__xludf.DUMMYFUNCTION("""COMPUTED_VALUE"""),2.53)</f>
        <v>2.5299999999999998</v>
      </c>
      <c r="G56" s="10">
        <f ca="1">IFERROR(__xludf.DUMMYFUNCTION("""COMPUTED_VALUE"""),0.359)</f>
        <v>0.35899999999999999</v>
      </c>
      <c r="H56" s="10">
        <f ca="1">IFERROR(__xludf.DUMMYFUNCTION("""COMPUTED_VALUE"""),0.211)</f>
        <v>0.21099999999999999</v>
      </c>
      <c r="I56" s="10">
        <f ca="1">IFERROR(__xludf.DUMMYFUNCTION("""COMPUTED_VALUE"""),0.176)</f>
        <v>0.17599999999999999</v>
      </c>
      <c r="J56" s="10">
        <f ca="1">IFERROR(__xludf.DUMMYFUNCTION("""COMPUTED_VALUE"""),0.59)</f>
        <v>0.59</v>
      </c>
      <c r="K56" s="10"/>
      <c r="L56" s="10"/>
      <c r="M56" s="10"/>
      <c r="N56" s="10"/>
      <c r="O56" s="10"/>
      <c r="P56" s="10"/>
      <c r="Q56" s="10"/>
      <c r="R56" s="10"/>
      <c r="S56" s="10"/>
      <c r="T56" s="10"/>
      <c r="U56" s="10"/>
      <c r="V56" s="10"/>
      <c r="W56" s="10"/>
      <c r="X56" s="10"/>
      <c r="Y56" s="10"/>
      <c r="Z56" s="10"/>
      <c r="AA56" s="10"/>
      <c r="AB56" s="10"/>
    </row>
    <row r="57" spans="1:28" x14ac:dyDescent="0.2">
      <c r="A57" s="10" t="str">
        <f ca="1">IFERROR(__xludf.DUMMYFUNCTION("""COMPUTED_VALUE"""),"64 - Insurance Agents, Brokers, And Service (23)")</f>
        <v>64 - Insurance Agents, Brokers, And Service (23)</v>
      </c>
      <c r="B57" s="16" t="str">
        <f t="shared" ca="1" si="0"/>
        <v>63 - Insurance Carriers</v>
      </c>
      <c r="C57" s="10">
        <f ca="1">IFERROR(__xludf.DUMMYFUNCTION("""COMPUTED_VALUE"""),0.01)</f>
        <v>0.01</v>
      </c>
      <c r="D57" s="10">
        <f ca="1">IFERROR(__xludf.DUMMYFUNCTION("""COMPUTED_VALUE"""),0.063)</f>
        <v>6.3E-2</v>
      </c>
      <c r="E57" s="10">
        <f ca="1">IFERROR(__xludf.DUMMYFUNCTION("""COMPUTED_VALUE"""),26.41)</f>
        <v>26.41</v>
      </c>
      <c r="F57" s="10">
        <f ca="1">IFERROR(__xludf.DUMMYFUNCTION("""COMPUTED_VALUE"""),16.92)</f>
        <v>16.920000000000002</v>
      </c>
      <c r="G57" s="10">
        <f ca="1">IFERROR(__xludf.DUMMYFUNCTION("""COMPUTED_VALUE"""),0.294)</f>
        <v>0.29399999999999998</v>
      </c>
      <c r="H57" s="10">
        <f ca="1">IFERROR(__xludf.DUMMYFUNCTION("""COMPUTED_VALUE"""),0.097)</f>
        <v>9.7000000000000003E-2</v>
      </c>
      <c r="I57" s="10">
        <f ca="1">IFERROR(__xludf.DUMMYFUNCTION("""COMPUTED_VALUE"""),0.063)</f>
        <v>6.3E-2</v>
      </c>
      <c r="J57" s="10">
        <f ca="1">IFERROR(__xludf.DUMMYFUNCTION("""COMPUTED_VALUE"""),2.99)</f>
        <v>2.99</v>
      </c>
      <c r="K57" s="10"/>
      <c r="L57" s="10"/>
      <c r="M57" s="10"/>
      <c r="N57" s="10"/>
      <c r="O57" s="10"/>
      <c r="P57" s="10"/>
      <c r="Q57" s="10"/>
      <c r="R57" s="10"/>
      <c r="S57" s="10"/>
      <c r="T57" s="10"/>
      <c r="U57" s="10"/>
      <c r="V57" s="10"/>
      <c r="W57" s="10"/>
      <c r="X57" s="10"/>
      <c r="Y57" s="10"/>
      <c r="Z57" s="10"/>
      <c r="AA57" s="10"/>
      <c r="AB57" s="10"/>
    </row>
    <row r="58" spans="1:28" x14ac:dyDescent="0.2">
      <c r="A58" s="10" t="str">
        <f ca="1">IFERROR(__xludf.DUMMYFUNCTION("""COMPUTED_VALUE"""),"65 - Real Estate (247)")</f>
        <v>65 - Real Estate (247)</v>
      </c>
      <c r="B58" s="16" t="str">
        <f t="shared" ca="1" si="0"/>
        <v>64 - Insurance Agents, Brokers, And Service</v>
      </c>
      <c r="C58" s="10">
        <f ca="1">IFERROR(__xludf.DUMMYFUNCTION("""COMPUTED_VALUE"""),0.039)</f>
        <v>3.9E-2</v>
      </c>
      <c r="D58" s="10">
        <f ca="1">IFERROR(__xludf.DUMMYFUNCTION("""COMPUTED_VALUE"""),0.093)</f>
        <v>9.2999999999999999E-2</v>
      </c>
      <c r="E58" s="10">
        <f ca="1">IFERROR(__xludf.DUMMYFUNCTION("""COMPUTED_VALUE"""),0.76)</f>
        <v>0.76</v>
      </c>
      <c r="F58" s="10">
        <f ca="1">IFERROR(__xludf.DUMMYFUNCTION("""COMPUTED_VALUE"""),1.24)</f>
        <v>1.24</v>
      </c>
      <c r="G58" s="10">
        <f ca="1">IFERROR(__xludf.DUMMYFUNCTION("""COMPUTED_VALUE"""),0.375)</f>
        <v>0.375</v>
      </c>
      <c r="H58" s="10">
        <f ca="1">IFERROR(__xludf.DUMMYFUNCTION("""COMPUTED_VALUE"""),0.149)</f>
        <v>0.14899999999999999</v>
      </c>
      <c r="I58" s="10">
        <f ca="1">IFERROR(__xludf.DUMMYFUNCTION("""COMPUTED_VALUE"""),0.079)</f>
        <v>7.9000000000000001E-2</v>
      </c>
      <c r="J58" s="10">
        <f ca="1">IFERROR(__xludf.DUMMYFUNCTION("""COMPUTED_VALUE"""),1.39)</f>
        <v>1.39</v>
      </c>
      <c r="K58" s="10"/>
      <c r="L58" s="10"/>
      <c r="M58" s="10"/>
      <c r="N58" s="10"/>
      <c r="O58" s="10"/>
      <c r="P58" s="10"/>
      <c r="Q58" s="10"/>
      <c r="R58" s="10"/>
      <c r="S58" s="10"/>
      <c r="T58" s="10"/>
      <c r="U58" s="10"/>
      <c r="V58" s="10"/>
      <c r="W58" s="10"/>
      <c r="X58" s="10"/>
      <c r="Y58" s="10"/>
      <c r="Z58" s="10"/>
      <c r="AA58" s="10"/>
      <c r="AB58" s="10"/>
    </row>
    <row r="59" spans="1:28" x14ac:dyDescent="0.2">
      <c r="A59" s="10" t="str">
        <f ca="1">IFERROR(__xludf.DUMMYFUNCTION("""COMPUTED_VALUE"""),"67 - Holding And Other Investment Offices (849)")</f>
        <v>67 - Holding And Other Investment Offices (849)</v>
      </c>
      <c r="B59" s="16" t="str">
        <f t="shared" ca="1" si="0"/>
        <v>65 - Real Estate</v>
      </c>
      <c r="C59" s="10">
        <f ca="1">IFERROR(__xludf.DUMMYFUNCTION("""COMPUTED_VALUE"""),0.007)</f>
        <v>7.0000000000000001E-3</v>
      </c>
      <c r="D59" s="10">
        <f ca="1">IFERROR(__xludf.DUMMYFUNCTION("""COMPUTED_VALUE"""),0.003)</f>
        <v>3.0000000000000001E-3</v>
      </c>
      <c r="E59" s="10">
        <f ca="1">IFERROR(__xludf.DUMMYFUNCTION("""COMPUTED_VALUE"""),1.62)</f>
        <v>1.62</v>
      </c>
      <c r="F59" s="10">
        <f ca="1">IFERROR(__xludf.DUMMYFUNCTION("""COMPUTED_VALUE"""),1.87)</f>
        <v>1.87</v>
      </c>
      <c r="G59" s="10">
        <f ca="1">IFERROR(__xludf.DUMMYFUNCTION("""COMPUTED_VALUE"""),0.535)</f>
        <v>0.53500000000000003</v>
      </c>
      <c r="H59" s="10">
        <f ca="1">IFERROR(__xludf.DUMMYFUNCTION("""COMPUTED_VALUE"""),0.124)</f>
        <v>0.124</v>
      </c>
      <c r="I59" s="10">
        <f ca="1">IFERROR(__xludf.DUMMYFUNCTION("""COMPUTED_VALUE"""),0.042)</f>
        <v>4.2000000000000003E-2</v>
      </c>
      <c r="J59" s="10">
        <f ca="1">IFERROR(__xludf.DUMMYFUNCTION("""COMPUTED_VALUE"""),0.86)</f>
        <v>0.86</v>
      </c>
      <c r="K59" s="10"/>
      <c r="L59" s="10"/>
      <c r="M59" s="10"/>
      <c r="N59" s="10"/>
      <c r="O59" s="10"/>
      <c r="P59" s="10"/>
      <c r="Q59" s="10"/>
      <c r="R59" s="10"/>
      <c r="S59" s="10"/>
      <c r="T59" s="10"/>
      <c r="U59" s="10"/>
      <c r="V59" s="10"/>
      <c r="W59" s="10"/>
      <c r="X59" s="10"/>
      <c r="Y59" s="10"/>
      <c r="Z59" s="10"/>
      <c r="AA59" s="10"/>
      <c r="AB59" s="10"/>
    </row>
    <row r="60" spans="1:28" x14ac:dyDescent="0.2">
      <c r="A60" s="10" t="str">
        <f ca="1">IFERROR(__xludf.DUMMYFUNCTION("""COMPUTED_VALUE"""),"70 - Hotels, Rooming Houses, Camps, And Other Lodging Places (69)")</f>
        <v>70 - Hotels, Rooming Houses, Camps, And Other Lodging Places (69)</v>
      </c>
      <c r="B60" s="16" t="str">
        <f t="shared" ca="1" si="0"/>
        <v>67 - Holding And Other Investment Offices</v>
      </c>
      <c r="C60" s="10">
        <f ca="1">IFERROR(__xludf.DUMMYFUNCTION("""COMPUTED_VALUE"""),0.001)</f>
        <v>1E-3</v>
      </c>
      <c r="D60" s="10">
        <f ca="1">IFERROR(__xludf.DUMMYFUNCTION("""COMPUTED_VALUE"""),-0.001)</f>
        <v>-1E-3</v>
      </c>
      <c r="E60" s="10">
        <f ca="1">IFERROR(__xludf.DUMMYFUNCTION("""COMPUTED_VALUE"""),1.22)</f>
        <v>1.22</v>
      </c>
      <c r="F60" s="10">
        <f ca="1">IFERROR(__xludf.DUMMYFUNCTION("""COMPUTED_VALUE"""),0.69)</f>
        <v>0.69</v>
      </c>
      <c r="G60" s="10">
        <f ca="1">IFERROR(__xludf.DUMMYFUNCTION("""COMPUTED_VALUE"""),0.383)</f>
        <v>0.38300000000000001</v>
      </c>
      <c r="H60" s="10">
        <f ca="1">IFERROR(__xludf.DUMMYFUNCTION("""COMPUTED_VALUE"""),0.118)</f>
        <v>0.11799999999999999</v>
      </c>
      <c r="I60" s="10">
        <f ca="1">IFERROR(__xludf.DUMMYFUNCTION("""COMPUTED_VALUE"""),0.042)</f>
        <v>4.2000000000000003E-2</v>
      </c>
      <c r="J60" s="10">
        <f ca="1">IFERROR(__xludf.DUMMYFUNCTION("""COMPUTED_VALUE"""),1.28)</f>
        <v>1.28</v>
      </c>
      <c r="K60" s="10"/>
      <c r="L60" s="10"/>
      <c r="M60" s="10"/>
      <c r="N60" s="10"/>
      <c r="O60" s="10"/>
      <c r="P60" s="10"/>
      <c r="Q60" s="10"/>
      <c r="R60" s="10"/>
      <c r="S60" s="10"/>
      <c r="T60" s="10"/>
      <c r="U60" s="10"/>
      <c r="V60" s="10"/>
      <c r="W60" s="10"/>
      <c r="X60" s="10"/>
      <c r="Y60" s="10"/>
      <c r="Z60" s="10"/>
      <c r="AA60" s="10"/>
      <c r="AB60" s="10"/>
    </row>
    <row r="61" spans="1:28" x14ac:dyDescent="0.2">
      <c r="A61" s="10" t="str">
        <f ca="1">IFERROR(__xludf.DUMMYFUNCTION("""COMPUTED_VALUE"""),"72 - Personal Services (54)")</f>
        <v>72 - Personal Services (54)</v>
      </c>
      <c r="B61" s="16" t="str">
        <f t="shared" ca="1" si="0"/>
        <v>70 - Hotels, Rooming Houses, Camps, And Other Lodging Places</v>
      </c>
      <c r="C61" s="10">
        <f ca="1">IFERROR(__xludf.DUMMYFUNCTION("""COMPUTED_VALUE"""),-0.045)</f>
        <v>-4.4999999999999998E-2</v>
      </c>
      <c r="D61" s="10">
        <f ca="1">IFERROR(__xludf.DUMMYFUNCTION("""COMPUTED_VALUE"""),-0.246)</f>
        <v>-0.246</v>
      </c>
      <c r="E61" s="10">
        <f ca="1">IFERROR(__xludf.DUMMYFUNCTION("""COMPUTED_VALUE"""),1.19)</f>
        <v>1.19</v>
      </c>
      <c r="F61" s="10">
        <f ca="1">IFERROR(__xludf.DUMMYFUNCTION("""COMPUTED_VALUE"""),1.82)</f>
        <v>1.82</v>
      </c>
      <c r="G61" s="10">
        <f ca="1">IFERROR(__xludf.DUMMYFUNCTION("""COMPUTED_VALUE"""),0.383)</f>
        <v>0.38300000000000001</v>
      </c>
      <c r="H61" s="10">
        <f ca="1">IFERROR(__xludf.DUMMYFUNCTION("""COMPUTED_VALUE"""),-0.115)</f>
        <v>-0.115</v>
      </c>
      <c r="I61" s="10">
        <f ca="1">IFERROR(__xludf.DUMMYFUNCTION("""COMPUTED_VALUE"""),-0.166)</f>
        <v>-0.16600000000000001</v>
      </c>
      <c r="J61" s="10">
        <f ca="1">IFERROR(__xludf.DUMMYFUNCTION("""COMPUTED_VALUE"""),2.6)</f>
        <v>2.6</v>
      </c>
      <c r="K61" s="10"/>
      <c r="L61" s="10"/>
      <c r="M61" s="10"/>
      <c r="N61" s="10"/>
      <c r="O61" s="10"/>
      <c r="P61" s="10"/>
      <c r="Q61" s="10"/>
      <c r="R61" s="10"/>
      <c r="S61" s="10"/>
      <c r="T61" s="10"/>
      <c r="U61" s="10"/>
      <c r="V61" s="10"/>
      <c r="W61" s="10"/>
      <c r="X61" s="10"/>
      <c r="Y61" s="10"/>
      <c r="Z61" s="10"/>
      <c r="AA61" s="10"/>
      <c r="AB61" s="10"/>
    </row>
    <row r="62" spans="1:28" x14ac:dyDescent="0.2">
      <c r="A62" s="10" t="str">
        <f ca="1">IFERROR(__xludf.DUMMYFUNCTION("""COMPUTED_VALUE"""),"73 - Business Services (1247)")</f>
        <v>73 - Business Services (1247)</v>
      </c>
      <c r="B62" s="16" t="str">
        <f t="shared" ca="1" si="0"/>
        <v>72 - Personal Services</v>
      </c>
      <c r="C62" s="10">
        <f ca="1">IFERROR(__xludf.DUMMYFUNCTION("""COMPUTED_VALUE"""),-0.005)</f>
        <v>-5.0000000000000001E-3</v>
      </c>
      <c r="D62" s="10">
        <f ca="1">IFERROR(__xludf.DUMMYFUNCTION("""COMPUTED_VALUE"""),-1.159)</f>
        <v>-1.159</v>
      </c>
      <c r="E62" s="10">
        <f ca="1">IFERROR(__xludf.DUMMYFUNCTION("""COMPUTED_VALUE"""),0.54)</f>
        <v>0.54</v>
      </c>
      <c r="F62" s="10">
        <f ca="1">IFERROR(__xludf.DUMMYFUNCTION("""COMPUTED_VALUE"""),0.88)</f>
        <v>0.88</v>
      </c>
      <c r="G62" s="10">
        <f ca="1">IFERROR(__xludf.DUMMYFUNCTION("""COMPUTED_VALUE"""),0.568)</f>
        <v>0.56799999999999995</v>
      </c>
      <c r="H62" s="10">
        <f ca="1">IFERROR(__xludf.DUMMYFUNCTION("""COMPUTED_VALUE"""),0.068)</f>
        <v>6.8000000000000005E-2</v>
      </c>
      <c r="I62" s="10">
        <f ca="1">IFERROR(__xludf.DUMMYFUNCTION("""COMPUTED_VALUE"""),-0.026)</f>
        <v>-2.5999999999999999E-2</v>
      </c>
      <c r="J62" s="10">
        <f ca="1">IFERROR(__xludf.DUMMYFUNCTION("""COMPUTED_VALUE"""),0.13)</f>
        <v>0.13</v>
      </c>
      <c r="K62" s="10"/>
      <c r="L62" s="10"/>
      <c r="M62" s="10"/>
      <c r="N62" s="10"/>
      <c r="O62" s="10"/>
      <c r="P62" s="10"/>
      <c r="Q62" s="10"/>
      <c r="R62" s="10"/>
      <c r="S62" s="10"/>
      <c r="T62" s="10"/>
      <c r="U62" s="10"/>
      <c r="V62" s="10"/>
      <c r="W62" s="10"/>
      <c r="X62" s="10"/>
      <c r="Y62" s="10"/>
      <c r="Z62" s="10"/>
      <c r="AA62" s="10"/>
      <c r="AB62" s="10"/>
    </row>
    <row r="63" spans="1:28" x14ac:dyDescent="0.2">
      <c r="A63" s="10" t="str">
        <f ca="1">IFERROR(__xludf.DUMMYFUNCTION("""COMPUTED_VALUE"""),"75 - Automotive Repair, Services, And Parking (14)")</f>
        <v>75 - Automotive Repair, Services, And Parking (14)</v>
      </c>
      <c r="B63" s="16" t="str">
        <f t="shared" ca="1" si="0"/>
        <v>73 - Business Services</v>
      </c>
      <c r="C63" s="10">
        <f ca="1">IFERROR(__xludf.DUMMYFUNCTION("""COMPUTED_VALUE"""),-0.031)</f>
        <v>-3.1E-2</v>
      </c>
      <c r="D63" s="10">
        <f ca="1">IFERROR(__xludf.DUMMYFUNCTION("""COMPUTED_VALUE"""),-0.13)</f>
        <v>-0.13</v>
      </c>
      <c r="E63" s="10">
        <f ca="1">IFERROR(__xludf.DUMMYFUNCTION("""COMPUTED_VALUE"""),1.28)</f>
        <v>1.28</v>
      </c>
      <c r="F63" s="10">
        <f ca="1">IFERROR(__xludf.DUMMYFUNCTION("""COMPUTED_VALUE"""),1.49)</f>
        <v>1.49</v>
      </c>
      <c r="G63" s="10">
        <f ca="1">IFERROR(__xludf.DUMMYFUNCTION("""COMPUTED_VALUE"""),0.34)</f>
        <v>0.34</v>
      </c>
      <c r="H63" s="10">
        <f ca="1">IFERROR(__xludf.DUMMYFUNCTION("""COMPUTED_VALUE"""),-0.019)</f>
        <v>-1.9E-2</v>
      </c>
      <c r="I63" s="10">
        <f ca="1">IFERROR(__xludf.DUMMYFUNCTION("""COMPUTED_VALUE"""),-0.033)</f>
        <v>-3.3000000000000002E-2</v>
      </c>
      <c r="J63" s="10">
        <f ca="1">IFERROR(__xludf.DUMMYFUNCTION("""COMPUTED_VALUE"""),0.86)</f>
        <v>0.86</v>
      </c>
      <c r="K63" s="10"/>
      <c r="L63" s="10"/>
      <c r="M63" s="10"/>
      <c r="N63" s="10"/>
      <c r="O63" s="10"/>
      <c r="P63" s="10"/>
      <c r="Q63" s="10"/>
      <c r="R63" s="10"/>
      <c r="S63" s="10"/>
      <c r="T63" s="10"/>
      <c r="U63" s="10"/>
      <c r="V63" s="10"/>
      <c r="W63" s="10"/>
      <c r="X63" s="10"/>
      <c r="Y63" s="10"/>
      <c r="Z63" s="10"/>
      <c r="AA63" s="10"/>
      <c r="AB63" s="10"/>
    </row>
    <row r="64" spans="1:28" x14ac:dyDescent="0.2">
      <c r="A64" s="10" t="str">
        <f ca="1">IFERROR(__xludf.DUMMYFUNCTION("""COMPUTED_VALUE"""),"76 - Miscellaneous Repair Services (8)")</f>
        <v>76 - Miscellaneous Repair Services (8)</v>
      </c>
      <c r="B64" s="16" t="str">
        <f t="shared" ca="1" si="0"/>
        <v>75 - Automotive Repair, Services, And Parking</v>
      </c>
      <c r="C64" s="10">
        <f ca="1">IFERROR(__xludf.DUMMYFUNCTION("""COMPUTED_VALUE"""),-0.034)</f>
        <v>-3.4000000000000002E-2</v>
      </c>
      <c r="D64" s="10">
        <f ca="1">IFERROR(__xludf.DUMMYFUNCTION("""COMPUTED_VALUE"""),-0.621)</f>
        <v>-0.621</v>
      </c>
      <c r="E64" s="10">
        <f ca="1">IFERROR(__xludf.DUMMYFUNCTION("""COMPUTED_VALUE"""),0.48)</f>
        <v>0.48</v>
      </c>
      <c r="F64" s="10">
        <f ca="1">IFERROR(__xludf.DUMMYFUNCTION("""COMPUTED_VALUE"""),0.78)</f>
        <v>0.78</v>
      </c>
      <c r="G64" s="10">
        <f ca="1">IFERROR(__xludf.DUMMYFUNCTION("""COMPUTED_VALUE"""),-1.129)</f>
        <v>-1.129</v>
      </c>
      <c r="H64" s="10">
        <f ca="1">IFERROR(__xludf.DUMMYFUNCTION("""COMPUTED_VALUE"""),-0.166)</f>
        <v>-0.16600000000000001</v>
      </c>
      <c r="I64" s="10">
        <f ca="1">IFERROR(__xludf.DUMMYFUNCTION("""COMPUTED_VALUE"""),-0.127)</f>
        <v>-0.127</v>
      </c>
      <c r="J64" s="10">
        <f ca="1">IFERROR(__xludf.DUMMYFUNCTION("""COMPUTED_VALUE"""),2.04)</f>
        <v>2.04</v>
      </c>
      <c r="K64" s="10"/>
      <c r="L64" s="10"/>
      <c r="M64" s="10"/>
      <c r="N64" s="10"/>
      <c r="O64" s="10"/>
      <c r="P64" s="10"/>
      <c r="Q64" s="10"/>
      <c r="R64" s="10"/>
      <c r="S64" s="10"/>
      <c r="T64" s="10"/>
      <c r="U64" s="10"/>
      <c r="V64" s="10"/>
      <c r="W64" s="10"/>
      <c r="X64" s="10"/>
      <c r="Y64" s="10"/>
      <c r="Z64" s="10"/>
      <c r="AA64" s="10"/>
      <c r="AB64" s="10"/>
    </row>
    <row r="65" spans="1:28" x14ac:dyDescent="0.2">
      <c r="A65" s="10" t="str">
        <f ca="1">IFERROR(__xludf.DUMMYFUNCTION("""COMPUTED_VALUE"""),"78 - Motion Pictures (61)")</f>
        <v>78 - Motion Pictures (61)</v>
      </c>
      <c r="B65" s="16" t="str">
        <f t="shared" ca="1" si="0"/>
        <v>76 - Miscellaneous Repair Services</v>
      </c>
      <c r="C65" s="10">
        <f ca="1">IFERROR(__xludf.DUMMYFUNCTION("""COMPUTED_VALUE"""),-0.277)</f>
        <v>-0.27700000000000002</v>
      </c>
      <c r="D65" s="10">
        <f ca="1">IFERROR(__xludf.DUMMYFUNCTION("""COMPUTED_VALUE"""),-0.363)</f>
        <v>-0.36299999999999999</v>
      </c>
      <c r="E65" s="10">
        <f ca="1">IFERROR(__xludf.DUMMYFUNCTION("""COMPUTED_VALUE"""),1.07)</f>
        <v>1.07</v>
      </c>
      <c r="F65" s="10">
        <f ca="1">IFERROR(__xludf.DUMMYFUNCTION("""COMPUTED_VALUE"""),1.31)</f>
        <v>1.31</v>
      </c>
      <c r="G65" s="10">
        <f ca="1">IFERROR(__xludf.DUMMYFUNCTION("""COMPUTED_VALUE"""),0.225)</f>
        <v>0.22500000000000001</v>
      </c>
      <c r="H65" s="10">
        <f ca="1">IFERROR(__xludf.DUMMYFUNCTION("""COMPUTED_VALUE"""),-7.889)</f>
        <v>-7.8890000000000002</v>
      </c>
      <c r="I65" s="10">
        <f ca="1">IFERROR(__xludf.DUMMYFUNCTION("""COMPUTED_VALUE"""),-4.978)</f>
        <v>-4.9779999999999998</v>
      </c>
      <c r="J65" s="10">
        <f ca="1">IFERROR(__xludf.DUMMYFUNCTION("""COMPUTED_VALUE"""),1.2)</f>
        <v>1.2</v>
      </c>
      <c r="K65" s="10"/>
      <c r="L65" s="10"/>
      <c r="M65" s="10"/>
      <c r="N65" s="10"/>
      <c r="O65" s="10"/>
      <c r="P65" s="10"/>
      <c r="Q65" s="10"/>
      <c r="R65" s="10"/>
      <c r="S65" s="10"/>
      <c r="T65" s="10"/>
      <c r="U65" s="10"/>
      <c r="V65" s="10"/>
      <c r="W65" s="10"/>
      <c r="X65" s="10"/>
      <c r="Y65" s="10"/>
      <c r="Z65" s="10"/>
      <c r="AA65" s="10"/>
      <c r="AB65" s="10"/>
    </row>
    <row r="66" spans="1:28" x14ac:dyDescent="0.2">
      <c r="A66" s="10" t="str">
        <f ca="1">IFERROR(__xludf.DUMMYFUNCTION("""COMPUTED_VALUE"""),"79 - Amusement And Recreation Services (85)")</f>
        <v>79 - Amusement And Recreation Services (85)</v>
      </c>
      <c r="B66" s="16" t="str">
        <f t="shared" ca="1" si="0"/>
        <v>78 - Motion Pictures</v>
      </c>
      <c r="C66" s="10">
        <f ca="1">IFERROR(__xludf.DUMMYFUNCTION("""COMPUTED_VALUE"""),-0.298)</f>
        <v>-0.29799999999999999</v>
      </c>
      <c r="D66" s="10">
        <f ca="1">IFERROR(__xludf.DUMMYFUNCTION("""COMPUTED_VALUE"""),-1.217)</f>
        <v>-1.2170000000000001</v>
      </c>
      <c r="E66" s="10">
        <f ca="1">IFERROR(__xludf.DUMMYFUNCTION("""COMPUTED_VALUE"""),0.75)</f>
        <v>0.75</v>
      </c>
      <c r="F66" s="10">
        <f ca="1">IFERROR(__xludf.DUMMYFUNCTION("""COMPUTED_VALUE"""),0.74)</f>
        <v>0.74</v>
      </c>
      <c r="G66" s="10">
        <f ca="1">IFERROR(__xludf.DUMMYFUNCTION("""COMPUTED_VALUE"""),0.426)</f>
        <v>0.42599999999999999</v>
      </c>
      <c r="H66" s="10">
        <f ca="1">IFERROR(__xludf.DUMMYFUNCTION("""COMPUTED_VALUE"""),-1.162)</f>
        <v>-1.1619999999999999</v>
      </c>
      <c r="I66" s="10">
        <f ca="1">IFERROR(__xludf.DUMMYFUNCTION("""COMPUTED_VALUE"""),-0.891)</f>
        <v>-0.89100000000000001</v>
      </c>
      <c r="J66" s="10">
        <f ca="1">IFERROR(__xludf.DUMMYFUNCTION("""COMPUTED_VALUE"""),0.48)</f>
        <v>0.48</v>
      </c>
      <c r="K66" s="10"/>
      <c r="L66" s="10"/>
      <c r="M66" s="10"/>
      <c r="N66" s="10"/>
      <c r="O66" s="10"/>
      <c r="P66" s="10"/>
      <c r="Q66" s="10"/>
      <c r="R66" s="10"/>
      <c r="S66" s="10"/>
      <c r="T66" s="10"/>
      <c r="U66" s="10"/>
      <c r="V66" s="10"/>
      <c r="W66" s="10"/>
      <c r="X66" s="10"/>
      <c r="Y66" s="10"/>
      <c r="Z66" s="10"/>
      <c r="AA66" s="10"/>
      <c r="AB66" s="10"/>
    </row>
    <row r="67" spans="1:28" x14ac:dyDescent="0.2">
      <c r="A67" s="10" t="str">
        <f ca="1">IFERROR(__xludf.DUMMYFUNCTION("""COMPUTED_VALUE"""),"80 - Health Services (137)")</f>
        <v>80 - Health Services (137)</v>
      </c>
      <c r="B67" s="16" t="str">
        <f t="shared" ca="1" si="0"/>
        <v>79 - Amusement And Recreation Services</v>
      </c>
      <c r="C67" s="10">
        <f ca="1">IFERROR(__xludf.DUMMYFUNCTION("""COMPUTED_VALUE"""),-0.082)</f>
        <v>-8.2000000000000003E-2</v>
      </c>
      <c r="D67" s="10">
        <f ca="1">IFERROR(__xludf.DUMMYFUNCTION("""COMPUTED_VALUE"""),-0.754)</f>
        <v>-0.754</v>
      </c>
      <c r="E67" s="10">
        <f ca="1">IFERROR(__xludf.DUMMYFUNCTION("""COMPUTED_VALUE"""),1.19)</f>
        <v>1.19</v>
      </c>
      <c r="F67" s="10">
        <f ca="1">IFERROR(__xludf.DUMMYFUNCTION("""COMPUTED_VALUE"""),1.33)</f>
        <v>1.33</v>
      </c>
      <c r="G67" s="10">
        <f ca="1">IFERROR(__xludf.DUMMYFUNCTION("""COMPUTED_VALUE"""),0.337)</f>
        <v>0.33700000000000002</v>
      </c>
      <c r="H67" s="10">
        <f ca="1">IFERROR(__xludf.DUMMYFUNCTION("""COMPUTED_VALUE"""),-0.208)</f>
        <v>-0.20799999999999999</v>
      </c>
      <c r="I67" s="10">
        <f ca="1">IFERROR(__xludf.DUMMYFUNCTION("""COMPUTED_VALUE"""),-0.205)</f>
        <v>-0.20499999999999999</v>
      </c>
      <c r="J67" s="10">
        <f ca="1">IFERROR(__xludf.DUMMYFUNCTION("""COMPUTED_VALUE"""),0.27)</f>
        <v>0.27</v>
      </c>
      <c r="K67" s="10"/>
      <c r="L67" s="10"/>
      <c r="M67" s="10"/>
      <c r="N67" s="10"/>
      <c r="O67" s="10"/>
      <c r="P67" s="10"/>
      <c r="Q67" s="10"/>
      <c r="R67" s="10"/>
      <c r="S67" s="10"/>
      <c r="T67" s="10"/>
      <c r="U67" s="10"/>
      <c r="V67" s="10"/>
      <c r="W67" s="10"/>
      <c r="X67" s="10"/>
      <c r="Y67" s="10"/>
      <c r="Z67" s="10"/>
      <c r="AA67" s="10"/>
      <c r="AB67" s="10"/>
    </row>
    <row r="68" spans="1:28" x14ac:dyDescent="0.2">
      <c r="A68" s="10" t="str">
        <f ca="1">IFERROR(__xludf.DUMMYFUNCTION("""COMPUTED_VALUE"""),"81 - Legal Services (2)")</f>
        <v>81 - Legal Services (2)</v>
      </c>
      <c r="B68" s="16" t="str">
        <f t="shared" ca="1" si="0"/>
        <v>80 - Health Services</v>
      </c>
      <c r="C68" s="10">
        <f ca="1">IFERROR(__xludf.DUMMYFUNCTION("""COMPUTED_VALUE"""),-0.022)</f>
        <v>-2.1999999999999999E-2</v>
      </c>
      <c r="D68" s="10">
        <f ca="1">IFERROR(__xludf.DUMMYFUNCTION("""COMPUTED_VALUE"""),-0.159)</f>
        <v>-0.159</v>
      </c>
      <c r="E68" s="10">
        <f ca="1">IFERROR(__xludf.DUMMYFUNCTION("""COMPUTED_VALUE"""),1.25)</f>
        <v>1.25</v>
      </c>
      <c r="F68" s="10">
        <f ca="1">IFERROR(__xludf.DUMMYFUNCTION("""COMPUTED_VALUE"""),1.66)</f>
        <v>1.66</v>
      </c>
      <c r="G68" s="10">
        <f ca="1">IFERROR(__xludf.DUMMYFUNCTION("""COMPUTED_VALUE"""),0.271)</f>
        <v>0.27100000000000002</v>
      </c>
      <c r="H68" s="10">
        <f ca="1">IFERROR(__xludf.DUMMYFUNCTION("""COMPUTED_VALUE"""),-0.003)</f>
        <v>-3.0000000000000001E-3</v>
      </c>
      <c r="I68" s="10">
        <f ca="1">IFERROR(__xludf.DUMMYFUNCTION("""COMPUTED_VALUE"""),-0.061)</f>
        <v>-6.0999999999999999E-2</v>
      </c>
      <c r="J68" s="10">
        <f ca="1">IFERROR(__xludf.DUMMYFUNCTION("""COMPUTED_VALUE"""),0.74)</f>
        <v>0.74</v>
      </c>
      <c r="K68" s="10"/>
      <c r="L68" s="10"/>
      <c r="M68" s="10"/>
      <c r="N68" s="10"/>
      <c r="O68" s="10"/>
      <c r="P68" s="10"/>
      <c r="Q68" s="10"/>
      <c r="R68" s="10"/>
      <c r="S68" s="10"/>
      <c r="T68" s="10"/>
      <c r="U68" s="10"/>
      <c r="V68" s="10"/>
      <c r="W68" s="10"/>
      <c r="X68" s="10"/>
      <c r="Y68" s="10"/>
      <c r="Z68" s="10"/>
      <c r="AA68" s="10"/>
      <c r="AB68" s="10"/>
    </row>
    <row r="69" spans="1:28" x14ac:dyDescent="0.2">
      <c r="A69" s="10" t="str">
        <f ca="1">IFERROR(__xludf.DUMMYFUNCTION("""COMPUTED_VALUE"""),"82 - Educational Services (57)")</f>
        <v>82 - Educational Services (57)</v>
      </c>
      <c r="B69" s="16" t="str">
        <f t="shared" ca="1" si="0"/>
        <v>81 - Legal Services</v>
      </c>
      <c r="C69" s="10">
        <f ca="1">IFERROR(__xludf.DUMMYFUNCTION("""COMPUTED_VALUE"""),0.045)</f>
        <v>4.4999999999999998E-2</v>
      </c>
      <c r="D69" s="10">
        <f ca="1">IFERROR(__xludf.DUMMYFUNCTION("""COMPUTED_VALUE"""),0.12)</f>
        <v>0.12</v>
      </c>
      <c r="E69" s="10">
        <f ca="1">IFERROR(__xludf.DUMMYFUNCTION("""COMPUTED_VALUE"""),0.79)</f>
        <v>0.79</v>
      </c>
      <c r="F69" s="10">
        <f ca="1">IFERROR(__xludf.DUMMYFUNCTION("""COMPUTED_VALUE"""),1.1)</f>
        <v>1.1000000000000001</v>
      </c>
      <c r="G69" s="10">
        <f ca="1">IFERROR(__xludf.DUMMYFUNCTION("""COMPUTED_VALUE"""),0.538)</f>
        <v>0.53800000000000003</v>
      </c>
      <c r="H69" s="10">
        <f ca="1">IFERROR(__xludf.DUMMYFUNCTION("""COMPUTED_VALUE"""),0.069)</f>
        <v>6.9000000000000006E-2</v>
      </c>
      <c r="I69" s="10">
        <f ca="1">IFERROR(__xludf.DUMMYFUNCTION("""COMPUTED_VALUE"""),0.048)</f>
        <v>4.8000000000000001E-2</v>
      </c>
      <c r="J69" s="10">
        <f ca="1">IFERROR(__xludf.DUMMYFUNCTION("""COMPUTED_VALUE"""),1.67)</f>
        <v>1.67</v>
      </c>
      <c r="K69" s="10"/>
      <c r="L69" s="10"/>
      <c r="M69" s="10"/>
      <c r="N69" s="10"/>
      <c r="O69" s="10"/>
      <c r="P69" s="10"/>
      <c r="Q69" s="10"/>
      <c r="R69" s="10"/>
      <c r="S69" s="10"/>
      <c r="T69" s="10"/>
      <c r="U69" s="10"/>
      <c r="V69" s="10"/>
      <c r="W69" s="10"/>
      <c r="X69" s="10"/>
      <c r="Y69" s="10"/>
      <c r="Z69" s="10"/>
      <c r="AA69" s="10"/>
      <c r="AB69" s="10"/>
    </row>
    <row r="70" spans="1:28" x14ac:dyDescent="0.2">
      <c r="A70" s="10" t="str">
        <f ca="1">IFERROR(__xludf.DUMMYFUNCTION("""COMPUTED_VALUE"""),"83 - Social Services (7)")</f>
        <v>83 - Social Services (7)</v>
      </c>
      <c r="B70" s="16" t="str">
        <f t="shared" ca="1" si="0"/>
        <v>82 - Educational Services</v>
      </c>
      <c r="C70" s="10">
        <f ca="1">IFERROR(__xludf.DUMMYFUNCTION("""COMPUTED_VALUE"""),0.017)</f>
        <v>1.7000000000000001E-2</v>
      </c>
      <c r="D70" s="10">
        <f ca="1">IFERROR(__xludf.DUMMYFUNCTION("""COMPUTED_VALUE"""),0.026)</f>
        <v>2.5999999999999999E-2</v>
      </c>
      <c r="E70" s="10">
        <f ca="1">IFERROR(__xludf.DUMMYFUNCTION("""COMPUTED_VALUE"""),1.23)</f>
        <v>1.23</v>
      </c>
      <c r="F70" s="10">
        <f ca="1">IFERROR(__xludf.DUMMYFUNCTION("""COMPUTED_VALUE"""),1.85)</f>
        <v>1.85</v>
      </c>
      <c r="G70" s="10">
        <f ca="1">IFERROR(__xludf.DUMMYFUNCTION("""COMPUTED_VALUE"""),0.201)</f>
        <v>0.20100000000000001</v>
      </c>
      <c r="H70" s="10">
        <f ca="1">IFERROR(__xludf.DUMMYFUNCTION("""COMPUTED_VALUE"""),0.05)</f>
        <v>0.05</v>
      </c>
      <c r="I70" s="10">
        <f ca="1">IFERROR(__xludf.DUMMYFUNCTION("""COMPUTED_VALUE"""),0.036)</f>
        <v>3.5999999999999997E-2</v>
      </c>
      <c r="J70" s="10">
        <f ca="1">IFERROR(__xludf.DUMMYFUNCTION("""COMPUTED_VALUE"""),0.71)</f>
        <v>0.71</v>
      </c>
      <c r="K70" s="10"/>
      <c r="L70" s="10"/>
      <c r="M70" s="10"/>
      <c r="N70" s="10"/>
      <c r="O70" s="10"/>
      <c r="P70" s="10"/>
      <c r="Q70" s="10"/>
      <c r="R70" s="10"/>
      <c r="S70" s="10"/>
      <c r="T70" s="10"/>
      <c r="U70" s="10"/>
      <c r="V70" s="10"/>
      <c r="W70" s="10"/>
      <c r="X70" s="10"/>
      <c r="Y70" s="10"/>
      <c r="Z70" s="10"/>
      <c r="AA70" s="10"/>
      <c r="AB70" s="10"/>
    </row>
    <row r="71" spans="1:28" x14ac:dyDescent="0.2">
      <c r="A71" s="10" t="str">
        <f ca="1">IFERROR(__xludf.DUMMYFUNCTION("""COMPUTED_VALUE"""),"87 - Engineering, Accounting, Research, Management, And Related Services 
(189)")</f>
        <v>87 - Engineering, Accounting, Research, Management, And Related Services _x000D_(189)</v>
      </c>
      <c r="B71" s="16" t="str">
        <f t="shared" ca="1" si="0"/>
        <v>83 - Social Services</v>
      </c>
      <c r="C71" s="10">
        <f ca="1">IFERROR(__xludf.DUMMYFUNCTION("""COMPUTED_VALUE"""),-0.088)</f>
        <v>-8.7999999999999995E-2</v>
      </c>
      <c r="D71" s="10">
        <f ca="1">IFERROR(__xludf.DUMMYFUNCTION("""COMPUTED_VALUE"""),-0.099)</f>
        <v>-9.9000000000000005E-2</v>
      </c>
      <c r="E71" s="10">
        <f ca="1">IFERROR(__xludf.DUMMYFUNCTION("""COMPUTED_VALUE"""),0.57)</f>
        <v>0.56999999999999995</v>
      </c>
      <c r="F71" s="10">
        <f ca="1">IFERROR(__xludf.DUMMYFUNCTION("""COMPUTED_VALUE"""),0.62)</f>
        <v>0.62</v>
      </c>
      <c r="G71" s="10">
        <f ca="1">IFERROR(__xludf.DUMMYFUNCTION("""COMPUTED_VALUE"""),0.315)</f>
        <v>0.315</v>
      </c>
      <c r="H71" s="10">
        <f ca="1">IFERROR(__xludf.DUMMYFUNCTION("""COMPUTED_VALUE"""),0.011)</f>
        <v>1.0999999999999999E-2</v>
      </c>
      <c r="I71" s="10">
        <f ca="1">IFERROR(__xludf.DUMMYFUNCTION("""COMPUTED_VALUE"""),-3.814)</f>
        <v>-3.8140000000000001</v>
      </c>
      <c r="J71" s="10">
        <f ca="1">IFERROR(__xludf.DUMMYFUNCTION("""COMPUTED_VALUE"""),1.1)</f>
        <v>1.1000000000000001</v>
      </c>
      <c r="K71" s="10"/>
      <c r="L71" s="10"/>
      <c r="M71" s="10"/>
      <c r="N71" s="10"/>
      <c r="O71" s="10"/>
      <c r="P71" s="10"/>
      <c r="Q71" s="10"/>
      <c r="R71" s="10"/>
      <c r="S71" s="10"/>
      <c r="T71" s="10"/>
      <c r="U71" s="10"/>
      <c r="V71" s="10"/>
      <c r="W71" s="10"/>
      <c r="X71" s="10"/>
      <c r="Y71" s="10"/>
      <c r="Z71" s="10"/>
      <c r="AA71" s="10"/>
      <c r="AB71" s="10"/>
    </row>
    <row r="72" spans="1:28" x14ac:dyDescent="0.2">
      <c r="A72" s="10" t="str">
        <f ca="1">IFERROR(__xludf.DUMMYFUNCTION("""COMPUTED_VALUE"""),"89 - Miscellaneous Services (3)")</f>
        <v>89 - Miscellaneous Services (3)</v>
      </c>
      <c r="B72" s="16" t="str">
        <f t="shared" ca="1" si="0"/>
        <v>87 - Engineering, Accounting, Research, Management, And Related Services _x000D_</v>
      </c>
      <c r="C72" s="10">
        <f ca="1">IFERROR(__xludf.DUMMYFUNCTION("""COMPUTED_VALUE"""),-0.026)</f>
        <v>-2.5999999999999999E-2</v>
      </c>
      <c r="D72" s="10">
        <f ca="1">IFERROR(__xludf.DUMMYFUNCTION("""COMPUTED_VALUE"""),-0.125)</f>
        <v>-0.125</v>
      </c>
      <c r="E72" s="10">
        <f ca="1">IFERROR(__xludf.DUMMYFUNCTION("""COMPUTED_VALUE"""),1.12)</f>
        <v>1.1200000000000001</v>
      </c>
      <c r="F72" s="10">
        <f ca="1">IFERROR(__xludf.DUMMYFUNCTION("""COMPUTED_VALUE"""),1.23)</f>
        <v>1.23</v>
      </c>
      <c r="G72" s="10">
        <f ca="1">IFERROR(__xludf.DUMMYFUNCTION("""COMPUTED_VALUE"""),0.189)</f>
        <v>0.189</v>
      </c>
      <c r="H72" s="10">
        <f ca="1">IFERROR(__xludf.DUMMYFUNCTION("""COMPUTED_VALUE"""),0.02)</f>
        <v>0.02</v>
      </c>
      <c r="I72" s="10">
        <f ca="1">IFERROR(__xludf.DUMMYFUNCTION("""COMPUTED_VALUE"""),0.008)</f>
        <v>8.0000000000000002E-3</v>
      </c>
      <c r="J72" s="10">
        <f ca="1">IFERROR(__xludf.DUMMYFUNCTION("""COMPUTED_VALUE"""),0.86)</f>
        <v>0.86</v>
      </c>
      <c r="K72" s="10"/>
      <c r="L72" s="10"/>
      <c r="M72" s="10"/>
      <c r="N72" s="10"/>
      <c r="O72" s="10"/>
      <c r="P72" s="10"/>
      <c r="Q72" s="10"/>
      <c r="R72" s="10"/>
      <c r="S72" s="10"/>
      <c r="T72" s="10"/>
      <c r="U72" s="10"/>
      <c r="V72" s="10"/>
      <c r="W72" s="10"/>
      <c r="X72" s="10"/>
      <c r="Y72" s="10"/>
      <c r="Z72" s="10"/>
      <c r="AA72" s="10"/>
      <c r="AB72" s="10"/>
    </row>
    <row r="73" spans="1:28" x14ac:dyDescent="0.2">
      <c r="A73" s="10" t="str">
        <f ca="1">IFERROR(__xludf.DUMMYFUNCTION("""COMPUTED_VALUE"""),"All Industries")</f>
        <v>All Industries</v>
      </c>
      <c r="B73" s="16" t="str">
        <f t="shared" ca="1" si="0"/>
        <v>89 - Miscellaneous Services</v>
      </c>
      <c r="C73" s="10">
        <f ca="1">IFERROR(__xludf.DUMMYFUNCTION("""COMPUTED_VALUE"""),-0.01)</f>
        <v>-0.01</v>
      </c>
      <c r="D73" s="10">
        <f ca="1">IFERROR(__xludf.DUMMYFUNCTION("""COMPUTED_VALUE"""),-0.035)</f>
        <v>-3.5000000000000003E-2</v>
      </c>
      <c r="E73" s="10">
        <f ca="1">IFERROR(__xludf.DUMMYFUNCTION("""COMPUTED_VALUE"""),0.96)</f>
        <v>0.96</v>
      </c>
      <c r="F73" s="10">
        <f ca="1">IFERROR(__xludf.DUMMYFUNCTION("""COMPUTED_VALUE"""),1.52)</f>
        <v>1.52</v>
      </c>
      <c r="G73" s="10">
        <f ca="1">IFERROR(__xludf.DUMMYFUNCTION("""COMPUTED_VALUE"""),0.415)</f>
        <v>0.41499999999999998</v>
      </c>
      <c r="H73" s="10">
        <f ca="1">IFERROR(__xludf.DUMMYFUNCTION("""COMPUTED_VALUE"""),0.015)</f>
        <v>1.4999999999999999E-2</v>
      </c>
      <c r="I73" s="10">
        <f ca="1">IFERROR(__xludf.DUMMYFUNCTION("""COMPUTED_VALUE"""),-0.014)</f>
        <v>-1.4E-2</v>
      </c>
      <c r="J73" s="10">
        <f ca="1">IFERROR(__xludf.DUMMYFUNCTION("""COMPUTED_VALUE"""),3.2)</f>
        <v>3.2</v>
      </c>
      <c r="K73" s="10"/>
      <c r="L73" s="10"/>
      <c r="M73" s="10"/>
      <c r="N73" s="10"/>
      <c r="O73" s="10"/>
      <c r="P73" s="10"/>
      <c r="Q73" s="10"/>
      <c r="R73" s="10"/>
      <c r="S73" s="10"/>
      <c r="T73" s="10"/>
      <c r="U73" s="10"/>
      <c r="V73" s="10"/>
      <c r="W73" s="10"/>
      <c r="X73" s="10"/>
      <c r="Y73" s="10"/>
      <c r="Z73" s="10"/>
      <c r="AA73" s="10"/>
      <c r="AB73" s="10"/>
    </row>
    <row r="74" spans="1:28" x14ac:dyDescent="0.2">
      <c r="A74" s="10" t="str">
        <f ca="1">IFERROR(__xludf.DUMMYFUNCTION("""COMPUTED_VALUE"""),"08 - Forestry (2)")</f>
        <v>08 - Forestry (2)</v>
      </c>
      <c r="B74" s="16" t="e">
        <f t="shared" ca="1" si="0"/>
        <v>#VALUE!</v>
      </c>
      <c r="C74" s="10">
        <f ca="1">IFERROR(__xludf.DUMMYFUNCTION("""COMPUTED_VALUE"""),-0.001)</f>
        <v>-1E-3</v>
      </c>
      <c r="D74" s="10">
        <f ca="1">IFERROR(__xludf.DUMMYFUNCTION("""COMPUTED_VALUE"""),-0.021)</f>
        <v>-2.1000000000000001E-2</v>
      </c>
      <c r="E74" s="10">
        <f ca="1">IFERROR(__xludf.DUMMYFUNCTION("""COMPUTED_VALUE"""),1.25)</f>
        <v>1.25</v>
      </c>
      <c r="F74" s="10">
        <f ca="1">IFERROR(__xludf.DUMMYFUNCTION("""COMPUTED_VALUE"""),1.94)</f>
        <v>1.94</v>
      </c>
      <c r="G74" s="10">
        <f ca="1">IFERROR(__xludf.DUMMYFUNCTION("""COMPUTED_VALUE"""),0.412)</f>
        <v>0.41199999999999998</v>
      </c>
      <c r="H74" s="10">
        <f ca="1">IFERROR(__xludf.DUMMYFUNCTION("""COMPUTED_VALUE"""),0.048)</f>
        <v>4.8000000000000001E-2</v>
      </c>
      <c r="I74" s="10">
        <f ca="1">IFERROR(__xludf.DUMMYFUNCTION("""COMPUTED_VALUE"""),0.015)</f>
        <v>1.4999999999999999E-2</v>
      </c>
      <c r="J74" s="10">
        <f ca="1">IFERROR(__xludf.DUMMYFUNCTION("""COMPUTED_VALUE"""),1.07)</f>
        <v>1.07</v>
      </c>
      <c r="K74" s="10"/>
      <c r="L74" s="10"/>
      <c r="M74" s="10"/>
      <c r="N74" s="10"/>
      <c r="O74" s="10"/>
      <c r="P74" s="10"/>
      <c r="Q74" s="10"/>
      <c r="R74" s="10"/>
      <c r="S74" s="10"/>
      <c r="T74" s="10"/>
      <c r="U74" s="10"/>
      <c r="V74" s="10"/>
      <c r="W74" s="10"/>
      <c r="X74" s="10"/>
      <c r="Y74" s="10"/>
      <c r="Z74" s="10"/>
      <c r="AA74" s="10"/>
      <c r="AB74" s="10"/>
    </row>
    <row r="75" spans="1:28" x14ac:dyDescent="0.2">
      <c r="A75" s="10" t="str">
        <f ca="1">IFERROR(__xludf.DUMMYFUNCTION("""COMPUTED_VALUE"""),"41 - Local And Suburban Transit And Interurban Highway Passenger 
Transportation (2)")</f>
        <v>41 - Local And Suburban Transit And Interurban Highway Passenger _x000D_Transportation (2)</v>
      </c>
      <c r="B75" s="16" t="str">
        <f t="shared" ca="1" si="0"/>
        <v>08 - Forestry</v>
      </c>
      <c r="C75" s="10">
        <f ca="1">IFERROR(__xludf.DUMMYFUNCTION("""COMPUTED_VALUE"""),-0.001)</f>
        <v>-1E-3</v>
      </c>
      <c r="D75" s="10">
        <f ca="1">IFERROR(__xludf.DUMMYFUNCTION("""COMPUTED_VALUE"""),-0.041)</f>
        <v>-4.1000000000000002E-2</v>
      </c>
      <c r="E75" s="10">
        <f ca="1">IFERROR(__xludf.DUMMYFUNCTION("""COMPUTED_VALUE"""),1.09)</f>
        <v>1.0900000000000001</v>
      </c>
      <c r="F75" s="10">
        <f ca="1">IFERROR(__xludf.DUMMYFUNCTION("""COMPUTED_VALUE"""),1.53)</f>
        <v>1.53</v>
      </c>
      <c r="G75" s="10">
        <f ca="1">IFERROR(__xludf.DUMMYFUNCTION("""COMPUTED_VALUE"""),0.403)</f>
        <v>0.40300000000000002</v>
      </c>
      <c r="H75" s="10">
        <f ca="1">IFERROR(__xludf.DUMMYFUNCTION("""COMPUTED_VALUE"""),0.055)</f>
        <v>5.5E-2</v>
      </c>
      <c r="I75" s="10">
        <f ca="1">IFERROR(__xludf.DUMMYFUNCTION("""COMPUTED_VALUE"""),0.019)</f>
        <v>1.9E-2</v>
      </c>
      <c r="J75" s="10">
        <f ca="1">IFERROR(__xludf.DUMMYFUNCTION("""COMPUTED_VALUE"""),0.67)</f>
        <v>0.67</v>
      </c>
      <c r="K75" s="10"/>
      <c r="L75" s="10"/>
      <c r="M75" s="10"/>
      <c r="N75" s="10"/>
      <c r="O75" s="10"/>
      <c r="P75" s="10"/>
      <c r="Q75" s="10"/>
      <c r="R75" s="10"/>
      <c r="S75" s="10"/>
      <c r="T75" s="10"/>
      <c r="U75" s="10"/>
      <c r="V75" s="10"/>
      <c r="W75" s="10"/>
      <c r="X75" s="10"/>
      <c r="Y75" s="10"/>
      <c r="Z75" s="10"/>
      <c r="AA75" s="10"/>
      <c r="AB75" s="10"/>
    </row>
    <row r="76" spans="1:28" x14ac:dyDescent="0.2">
      <c r="A76" s="10" t="str">
        <f ca="1">IFERROR(__xludf.DUMMYFUNCTION("""COMPUTED_VALUE"""),"99 - Nonclassifiable Establishments (9)")</f>
        <v>99 - Nonclassifiable Establishments (9)</v>
      </c>
      <c r="B76" s="16" t="str">
        <f t="shared" ca="1" si="0"/>
        <v>41 - Local And Suburban Transit And Interurban Highway Passenger _x000D_Transportation</v>
      </c>
      <c r="C76" s="10">
        <f ca="1">IFERROR(__xludf.DUMMYFUNCTION("""COMPUTED_VALUE"""),0.031)</f>
        <v>3.1E-2</v>
      </c>
      <c r="D76" s="10">
        <f ca="1">IFERROR(__xludf.DUMMYFUNCTION("""COMPUTED_VALUE"""),0.06)</f>
        <v>0.06</v>
      </c>
      <c r="E76" s="10"/>
      <c r="F76" s="10">
        <f ca="1">IFERROR(__xludf.DUMMYFUNCTION("""COMPUTED_VALUE"""),1.08)</f>
        <v>1.08</v>
      </c>
      <c r="G76" s="10">
        <f ca="1">IFERROR(__xludf.DUMMYFUNCTION("""COMPUTED_VALUE"""),-0.086)</f>
        <v>-8.5999999999999993E-2</v>
      </c>
      <c r="H76" s="10">
        <f ca="1">IFERROR(__xludf.DUMMYFUNCTION("""COMPUTED_VALUE"""),0.148)</f>
        <v>0.14799999999999999</v>
      </c>
      <c r="I76" s="10">
        <f ca="1">IFERROR(__xludf.DUMMYFUNCTION("""COMPUTED_VALUE"""),0.14)</f>
        <v>0.14000000000000001</v>
      </c>
      <c r="J76" s="10">
        <f ca="1">IFERROR(__xludf.DUMMYFUNCTION("""COMPUTED_VALUE"""),0.51)</f>
        <v>0.51</v>
      </c>
      <c r="K76" s="10"/>
      <c r="L76" s="10"/>
      <c r="M76" s="10"/>
      <c r="N76" s="10"/>
      <c r="O76" s="10"/>
      <c r="P76" s="10"/>
      <c r="Q76" s="10"/>
      <c r="R76" s="10"/>
      <c r="S76" s="10"/>
      <c r="T76" s="10"/>
      <c r="U76" s="10"/>
      <c r="V76" s="10"/>
      <c r="W76" s="10"/>
      <c r="X76" s="10"/>
      <c r="Y76" s="10"/>
      <c r="Z76" s="10"/>
      <c r="AA76" s="10"/>
      <c r="AB76" s="10"/>
    </row>
    <row r="77" spans="1:28" x14ac:dyDescent="0.2">
      <c r="A77" s="10"/>
      <c r="B77" s="16" t="str">
        <f t="shared" ca="1" si="0"/>
        <v>99 - Nonclassifiable Establishments</v>
      </c>
      <c r="C77" s="10">
        <f ca="1">IFERROR(__xludf.DUMMYFUNCTION("""COMPUTED_VALUE"""),-15.544)</f>
        <v>-15.544</v>
      </c>
      <c r="D77" s="10">
        <f ca="1">IFERROR(__xludf.DUMMYFUNCTION("""COMPUTED_VALUE"""),0)</f>
        <v>0</v>
      </c>
      <c r="E77" s="10"/>
      <c r="F77" s="10">
        <f ca="1">IFERROR(__xludf.DUMMYFUNCTION("""COMPUTED_VALUE"""),0)</f>
        <v>0</v>
      </c>
      <c r="G77" s="10">
        <f ca="1">IFERROR(__xludf.DUMMYFUNCTION("""COMPUTED_VALUE"""),-0.086)</f>
        <v>-8.5999999999999993E-2</v>
      </c>
      <c r="H77" s="10">
        <f ca="1">IFERROR(__xludf.DUMMYFUNCTION("""COMPUTED_VALUE"""),-1.318)</f>
        <v>-1.3180000000000001</v>
      </c>
      <c r="I77" s="10">
        <f ca="1">IFERROR(__xludf.DUMMYFUNCTION("""COMPUTED_VALUE"""),-2.647)</f>
        <v>-2.6469999999999998</v>
      </c>
      <c r="J77" s="10">
        <f ca="1">IFERROR(__xludf.DUMMYFUNCTION("""COMPUTED_VALUE"""),0)</f>
        <v>0</v>
      </c>
      <c r="K77" s="10"/>
      <c r="L77" s="10"/>
      <c r="M77" s="10"/>
      <c r="N77" s="10"/>
      <c r="O77" s="10"/>
      <c r="P77" s="10"/>
      <c r="Q77" s="10"/>
      <c r="R77" s="10"/>
      <c r="S77" s="10"/>
      <c r="T77" s="10"/>
      <c r="U77" s="10"/>
      <c r="V77" s="10"/>
      <c r="W77" s="10"/>
      <c r="X77" s="10"/>
      <c r="Y77" s="10"/>
      <c r="Z77" s="10"/>
      <c r="AA77" s="10"/>
      <c r="AB77" s="10"/>
    </row>
    <row r="78" spans="1:28" x14ac:dyDescent="0.2">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row>
    <row r="79" spans="1:28" x14ac:dyDescent="0.2">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row>
    <row r="80" spans="1:28" x14ac:dyDescent="0.2">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row>
    <row r="81" spans="1:28" x14ac:dyDescent="0.2">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row>
    <row r="82" spans="1:28" x14ac:dyDescent="0.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row>
    <row r="83" spans="1:28" x14ac:dyDescent="0.2">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row>
    <row r="84" spans="1:28" x14ac:dyDescent="0.2">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row>
    <row r="85" spans="1:28" x14ac:dyDescent="0.2">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row>
    <row r="86" spans="1:28" x14ac:dyDescent="0.2">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row>
    <row r="87" spans="1:28" x14ac:dyDescent="0.2">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row>
    <row r="88" spans="1:28" x14ac:dyDescent="0.2">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row>
    <row r="89" spans="1:28" x14ac:dyDescent="0.2">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row>
    <row r="90" spans="1:28" x14ac:dyDescent="0.2">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row>
    <row r="91" spans="1:28" x14ac:dyDescent="0.2">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row>
    <row r="92" spans="1:28" x14ac:dyDescent="0.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row>
    <row r="93" spans="1:28" x14ac:dyDescent="0.2">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row>
    <row r="94" spans="1:28" x14ac:dyDescent="0.2">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row>
    <row r="95" spans="1:28" x14ac:dyDescent="0.2">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row>
    <row r="96" spans="1:28" x14ac:dyDescent="0.2">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row>
    <row r="97" spans="1:28" x14ac:dyDescent="0.2">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row>
    <row r="98" spans="1:28" x14ac:dyDescent="0.2">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row>
    <row r="99" spans="1:28" x14ac:dyDescent="0.2">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row>
    <row r="100" spans="1:28" x14ac:dyDescent="0.2">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row>
    <row r="101" spans="1:28" x14ac:dyDescent="0.2">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row>
    <row r="102" spans="1:28" x14ac:dyDescent="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row>
    <row r="103" spans="1:28" x14ac:dyDescent="0.2">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row>
    <row r="104" spans="1:28" x14ac:dyDescent="0.2">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row>
    <row r="105" spans="1:28" x14ac:dyDescent="0.2">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row>
    <row r="106" spans="1:28" x14ac:dyDescent="0.2">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row>
    <row r="107" spans="1:28" x14ac:dyDescent="0.2">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row>
    <row r="108" spans="1:28" x14ac:dyDescent="0.2">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row>
    <row r="109" spans="1:28" x14ac:dyDescent="0.2">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row>
    <row r="110" spans="1:28" x14ac:dyDescent="0.2">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row>
    <row r="111" spans="1:28" x14ac:dyDescent="0.2">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row>
    <row r="112" spans="1:28" x14ac:dyDescent="0.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row>
    <row r="113" spans="1:28" x14ac:dyDescent="0.2">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row>
    <row r="114" spans="1:28" x14ac:dyDescent="0.2">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row>
    <row r="115" spans="1:28" x14ac:dyDescent="0.2">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row>
    <row r="116" spans="1:28" x14ac:dyDescent="0.2">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row>
    <row r="117" spans="1:28" x14ac:dyDescent="0.2">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row>
    <row r="118" spans="1:28" x14ac:dyDescent="0.2">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row>
    <row r="119" spans="1:28" x14ac:dyDescent="0.2">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row>
    <row r="120" spans="1:28" x14ac:dyDescent="0.2">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row>
    <row r="121" spans="1:28" x14ac:dyDescent="0.2">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row>
    <row r="122" spans="1:28" x14ac:dyDescent="0.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row>
    <row r="123" spans="1:28" x14ac:dyDescent="0.2">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row>
    <row r="124" spans="1:28" x14ac:dyDescent="0.2">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row>
    <row r="125" spans="1:28" x14ac:dyDescent="0.2">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row>
    <row r="126" spans="1:28" x14ac:dyDescent="0.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row>
    <row r="127" spans="1:28" x14ac:dyDescent="0.2">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row>
    <row r="128" spans="1:28" x14ac:dyDescent="0.2">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row>
    <row r="129" spans="1:28" x14ac:dyDescent="0.2">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row>
    <row r="130" spans="1:28" x14ac:dyDescent="0.2">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row>
    <row r="131" spans="1:28" x14ac:dyDescent="0.2">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row>
    <row r="132" spans="1:28" x14ac:dyDescent="0.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row>
    <row r="133" spans="1:28" x14ac:dyDescent="0.2">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row>
    <row r="134" spans="1:28" x14ac:dyDescent="0.2">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row>
    <row r="135" spans="1:28" x14ac:dyDescent="0.2">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row>
    <row r="136" spans="1:28" x14ac:dyDescent="0.2">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row>
    <row r="137" spans="1:28" x14ac:dyDescent="0.2">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row>
    <row r="138" spans="1:28" x14ac:dyDescent="0.2">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row>
    <row r="139" spans="1:28" x14ac:dyDescent="0.2">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row>
    <row r="140" spans="1:28" x14ac:dyDescent="0.2">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row>
    <row r="141" spans="1:28" x14ac:dyDescent="0.2">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row>
    <row r="142" spans="1:28" x14ac:dyDescent="0.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row>
    <row r="143" spans="1:28" x14ac:dyDescent="0.2">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row>
    <row r="144" spans="1:28" x14ac:dyDescent="0.2">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row>
    <row r="145" spans="1:28" x14ac:dyDescent="0.2">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row>
    <row r="146" spans="1:28" x14ac:dyDescent="0.2">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row>
    <row r="147" spans="1:28" x14ac:dyDescent="0.2">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row>
    <row r="148" spans="1:28" x14ac:dyDescent="0.2">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row>
    <row r="149" spans="1:28" x14ac:dyDescent="0.2">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row>
    <row r="150" spans="1:28" x14ac:dyDescent="0.2">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row>
    <row r="151" spans="1:28" x14ac:dyDescent="0.2">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row>
    <row r="152" spans="1:28" x14ac:dyDescent="0.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row>
    <row r="153" spans="1:28" x14ac:dyDescent="0.2">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row>
    <row r="154" spans="1:28" x14ac:dyDescent="0.2">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row>
    <row r="155" spans="1:28" x14ac:dyDescent="0.2">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row>
    <row r="156" spans="1:28" x14ac:dyDescent="0.2">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row>
    <row r="157" spans="1:28" x14ac:dyDescent="0.2">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row>
    <row r="158" spans="1:28" x14ac:dyDescent="0.2">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row>
    <row r="159" spans="1:28" x14ac:dyDescent="0.2">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row>
    <row r="160" spans="1:28" x14ac:dyDescent="0.2">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row>
    <row r="161" spans="1:28" x14ac:dyDescent="0.2">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row>
    <row r="162" spans="1:28" x14ac:dyDescent="0.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row>
    <row r="163" spans="1:28" x14ac:dyDescent="0.2">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row>
    <row r="164" spans="1:28" x14ac:dyDescent="0.2">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row>
    <row r="165" spans="1:28" x14ac:dyDescent="0.2">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row>
    <row r="166" spans="1:28" x14ac:dyDescent="0.2">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row>
    <row r="167" spans="1:28" x14ac:dyDescent="0.2">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row>
    <row r="168" spans="1:28" x14ac:dyDescent="0.2">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row>
    <row r="169" spans="1:28" x14ac:dyDescent="0.2">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row>
    <row r="170" spans="1:28" x14ac:dyDescent="0.2">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row>
    <row r="171" spans="1:28" x14ac:dyDescent="0.2">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row>
    <row r="172" spans="1:28" x14ac:dyDescent="0.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row>
    <row r="173" spans="1:28" x14ac:dyDescent="0.2">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row>
    <row r="174" spans="1:28" x14ac:dyDescent="0.2">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row>
    <row r="175" spans="1:28" x14ac:dyDescent="0.2">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row>
    <row r="176" spans="1:28" x14ac:dyDescent="0.2">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row>
    <row r="177" spans="1:28" x14ac:dyDescent="0.2">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row>
    <row r="178" spans="1:28" x14ac:dyDescent="0.2">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row>
    <row r="179" spans="1:28" x14ac:dyDescent="0.2">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row>
    <row r="180" spans="1:28" x14ac:dyDescent="0.2">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row>
    <row r="181" spans="1:28" x14ac:dyDescent="0.2">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row>
    <row r="182" spans="1:28" x14ac:dyDescent="0.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row>
    <row r="183" spans="1:28" x14ac:dyDescent="0.2">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row>
    <row r="184" spans="1:28" x14ac:dyDescent="0.2">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row>
    <row r="185" spans="1:28" x14ac:dyDescent="0.2">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row>
    <row r="186" spans="1:28" x14ac:dyDescent="0.2">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row>
    <row r="187" spans="1:28" x14ac:dyDescent="0.2">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row>
    <row r="188" spans="1:28" x14ac:dyDescent="0.2">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row>
    <row r="189" spans="1:28" x14ac:dyDescent="0.2">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row>
    <row r="190" spans="1:28" x14ac:dyDescent="0.2">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row>
    <row r="191" spans="1:28" x14ac:dyDescent="0.2">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row>
    <row r="192" spans="1:28" x14ac:dyDescent="0.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row>
    <row r="193" spans="1:28" x14ac:dyDescent="0.2">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row>
    <row r="194" spans="1:28" x14ac:dyDescent="0.2">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row>
    <row r="195" spans="1:28" x14ac:dyDescent="0.2">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row>
    <row r="196" spans="1:28" x14ac:dyDescent="0.2">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row>
    <row r="197" spans="1:28" x14ac:dyDescent="0.2">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row>
    <row r="198" spans="1:28" x14ac:dyDescent="0.2">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row>
    <row r="199" spans="1:28" x14ac:dyDescent="0.2">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row>
    <row r="200" spans="1:28" x14ac:dyDescent="0.2">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row>
    <row r="201" spans="1:28" x14ac:dyDescent="0.2">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row>
    <row r="202" spans="1:28" x14ac:dyDescent="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row>
    <row r="203" spans="1:28" x14ac:dyDescent="0.2">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row>
    <row r="204" spans="1:28" x14ac:dyDescent="0.2">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row>
    <row r="205" spans="1:28" x14ac:dyDescent="0.2">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row>
    <row r="206" spans="1:28" x14ac:dyDescent="0.2">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row>
    <row r="207" spans="1:28" x14ac:dyDescent="0.2">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row>
    <row r="208" spans="1:28" x14ac:dyDescent="0.2">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row>
    <row r="209" spans="1:28" x14ac:dyDescent="0.2">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row>
    <row r="210" spans="1:28" x14ac:dyDescent="0.2">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row>
    <row r="211" spans="1:28" x14ac:dyDescent="0.2">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row>
    <row r="212" spans="1:28" x14ac:dyDescent="0.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row>
    <row r="213" spans="1:28" x14ac:dyDescent="0.2">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row>
    <row r="214" spans="1:28" x14ac:dyDescent="0.2">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row>
    <row r="215" spans="1:28" x14ac:dyDescent="0.2">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row>
    <row r="216" spans="1:28" x14ac:dyDescent="0.2">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row>
    <row r="217" spans="1:28" x14ac:dyDescent="0.2">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row>
    <row r="218" spans="1:28" x14ac:dyDescent="0.2">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row>
    <row r="219" spans="1:28" x14ac:dyDescent="0.2">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row>
    <row r="220" spans="1:28" x14ac:dyDescent="0.2">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row>
    <row r="221" spans="1:28" x14ac:dyDescent="0.2">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row>
    <row r="222" spans="1:28" x14ac:dyDescent="0.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row>
    <row r="223" spans="1:28" x14ac:dyDescent="0.2">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row>
    <row r="224" spans="1:28" x14ac:dyDescent="0.2">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row>
    <row r="225" spans="1:28" x14ac:dyDescent="0.2">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row>
    <row r="226" spans="1:28" x14ac:dyDescent="0.2">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row>
    <row r="227" spans="1:28" x14ac:dyDescent="0.2">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row>
    <row r="228" spans="1:28" x14ac:dyDescent="0.2">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row>
    <row r="229" spans="1:28" x14ac:dyDescent="0.2">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row>
    <row r="230" spans="1:28" x14ac:dyDescent="0.2">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row>
    <row r="231" spans="1:28" x14ac:dyDescent="0.2">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row>
    <row r="232" spans="1:28" x14ac:dyDescent="0.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row>
    <row r="233" spans="1:28" x14ac:dyDescent="0.2">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row>
    <row r="234" spans="1:28" x14ac:dyDescent="0.2">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row>
    <row r="235" spans="1:28" x14ac:dyDescent="0.2">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row>
    <row r="236" spans="1:28" x14ac:dyDescent="0.2">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row>
    <row r="237" spans="1:28" x14ac:dyDescent="0.2">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row>
    <row r="238" spans="1:28" x14ac:dyDescent="0.2">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row>
    <row r="239" spans="1:28" x14ac:dyDescent="0.2">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row>
    <row r="240" spans="1:28" x14ac:dyDescent="0.2">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row>
    <row r="241" spans="1:28" x14ac:dyDescent="0.2">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row>
    <row r="242" spans="1:28" x14ac:dyDescent="0.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row>
    <row r="243" spans="1:28" x14ac:dyDescent="0.2">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row>
    <row r="244" spans="1:28" x14ac:dyDescent="0.2">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row>
    <row r="245" spans="1:28" x14ac:dyDescent="0.2">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row>
    <row r="246" spans="1:28" x14ac:dyDescent="0.2">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row>
    <row r="247" spans="1:28" x14ac:dyDescent="0.2">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row>
    <row r="248" spans="1:28" x14ac:dyDescent="0.2">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row>
    <row r="249" spans="1:28" x14ac:dyDescent="0.2">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row>
    <row r="250" spans="1:28" x14ac:dyDescent="0.2">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row>
    <row r="251" spans="1:28" x14ac:dyDescent="0.2">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row>
    <row r="252" spans="1:28" x14ac:dyDescent="0.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row>
    <row r="253" spans="1:28" x14ac:dyDescent="0.2">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row>
    <row r="254" spans="1:28" x14ac:dyDescent="0.2">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row>
    <row r="255" spans="1:28" x14ac:dyDescent="0.2">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row>
    <row r="256" spans="1:28" x14ac:dyDescent="0.2">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row>
    <row r="257" spans="1:28" x14ac:dyDescent="0.2">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row>
    <row r="258" spans="1:28" x14ac:dyDescent="0.2">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row>
    <row r="259" spans="1:28" x14ac:dyDescent="0.2">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row>
    <row r="260" spans="1:28" x14ac:dyDescent="0.2">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row>
    <row r="261" spans="1:28" x14ac:dyDescent="0.2">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row>
    <row r="262" spans="1:28" x14ac:dyDescent="0.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row>
    <row r="263" spans="1:28" x14ac:dyDescent="0.2">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row>
    <row r="264" spans="1:28" x14ac:dyDescent="0.2">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row>
    <row r="265" spans="1:28" x14ac:dyDescent="0.2">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row>
    <row r="266" spans="1:28" x14ac:dyDescent="0.2">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row>
    <row r="267" spans="1:28" x14ac:dyDescent="0.2">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row>
    <row r="268" spans="1:28" x14ac:dyDescent="0.2">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row>
    <row r="269" spans="1:28" x14ac:dyDescent="0.2">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row>
    <row r="270" spans="1:28" x14ac:dyDescent="0.2">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row>
    <row r="271" spans="1:28" x14ac:dyDescent="0.2">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row>
    <row r="272" spans="1:28" x14ac:dyDescent="0.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row>
    <row r="273" spans="1:28" x14ac:dyDescent="0.2">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row>
    <row r="274" spans="1:28" x14ac:dyDescent="0.2">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row>
    <row r="275" spans="1:28" x14ac:dyDescent="0.2">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row>
    <row r="276" spans="1:28" x14ac:dyDescent="0.2">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row>
    <row r="277" spans="1:28" x14ac:dyDescent="0.2">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row>
    <row r="278" spans="1:28" x14ac:dyDescent="0.2">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row>
    <row r="279" spans="1:28" x14ac:dyDescent="0.2">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row>
    <row r="280" spans="1:28" x14ac:dyDescent="0.2">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row>
    <row r="281" spans="1:28" x14ac:dyDescent="0.2">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row>
    <row r="282" spans="1:28" x14ac:dyDescent="0.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row>
    <row r="283" spans="1:28" x14ac:dyDescent="0.2">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row>
    <row r="284" spans="1:28" x14ac:dyDescent="0.2">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row>
    <row r="285" spans="1:28" x14ac:dyDescent="0.2">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row>
    <row r="286" spans="1:28" x14ac:dyDescent="0.2">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row>
    <row r="287" spans="1:28" x14ac:dyDescent="0.2">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row>
    <row r="288" spans="1:28" x14ac:dyDescent="0.2">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row>
    <row r="289" spans="1:28" x14ac:dyDescent="0.2">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row>
    <row r="290" spans="1:28" x14ac:dyDescent="0.2">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row>
    <row r="291" spans="1:28" x14ac:dyDescent="0.2">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row>
    <row r="292" spans="1:28" x14ac:dyDescent="0.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row>
    <row r="293" spans="1:28" x14ac:dyDescent="0.2">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row>
    <row r="294" spans="1:28" x14ac:dyDescent="0.2">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row>
    <row r="295" spans="1:28" x14ac:dyDescent="0.2">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row>
    <row r="296" spans="1:28" x14ac:dyDescent="0.2">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row>
    <row r="297" spans="1:28" x14ac:dyDescent="0.2">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row>
    <row r="298" spans="1:28" x14ac:dyDescent="0.2">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row>
    <row r="299" spans="1:28" x14ac:dyDescent="0.2">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row>
    <row r="300" spans="1:28" x14ac:dyDescent="0.2">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row>
    <row r="301" spans="1:28" x14ac:dyDescent="0.2">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row>
    <row r="302" spans="1:28" x14ac:dyDescent="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row>
    <row r="303" spans="1:28" x14ac:dyDescent="0.2">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row>
    <row r="304" spans="1:28" x14ac:dyDescent="0.2">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row>
    <row r="305" spans="1:28" x14ac:dyDescent="0.2">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row>
    <row r="306" spans="1:28" x14ac:dyDescent="0.2">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row>
    <row r="307" spans="1:28" x14ac:dyDescent="0.2">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row>
    <row r="308" spans="1:28" x14ac:dyDescent="0.2">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row>
    <row r="309" spans="1:28" x14ac:dyDescent="0.2">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row>
    <row r="310" spans="1:28" x14ac:dyDescent="0.2">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row>
    <row r="311" spans="1:28" x14ac:dyDescent="0.2">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row>
    <row r="312" spans="1:28" x14ac:dyDescent="0.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row>
    <row r="313" spans="1:28" x14ac:dyDescent="0.2">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row>
    <row r="314" spans="1:28" x14ac:dyDescent="0.2">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row>
    <row r="315" spans="1:28" x14ac:dyDescent="0.2">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row>
    <row r="316" spans="1:28" x14ac:dyDescent="0.2">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row>
    <row r="317" spans="1:28" x14ac:dyDescent="0.2">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row>
    <row r="318" spans="1:28" x14ac:dyDescent="0.2">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row>
    <row r="319" spans="1:28" x14ac:dyDescent="0.2">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row>
    <row r="320" spans="1:28" x14ac:dyDescent="0.2">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row>
    <row r="321" spans="1:28" x14ac:dyDescent="0.2">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row>
    <row r="322" spans="1:28" x14ac:dyDescent="0.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row>
    <row r="323" spans="1:28" x14ac:dyDescent="0.2">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row>
    <row r="324" spans="1:28" x14ac:dyDescent="0.2">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row>
    <row r="325" spans="1:28" x14ac:dyDescent="0.2">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row>
    <row r="326" spans="1:28" x14ac:dyDescent="0.2">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row>
    <row r="327" spans="1:28" x14ac:dyDescent="0.2">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row>
    <row r="328" spans="1:28" x14ac:dyDescent="0.2">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row>
    <row r="329" spans="1:28" x14ac:dyDescent="0.2">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row>
    <row r="330" spans="1:28" x14ac:dyDescent="0.2">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row>
    <row r="331" spans="1:28" x14ac:dyDescent="0.2">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row>
    <row r="332" spans="1:28" x14ac:dyDescent="0.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row>
    <row r="333" spans="1:28" x14ac:dyDescent="0.2">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row>
    <row r="334" spans="1:28" x14ac:dyDescent="0.2">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row>
    <row r="335" spans="1:28" x14ac:dyDescent="0.2">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row>
    <row r="336" spans="1:28" x14ac:dyDescent="0.2">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row>
    <row r="337" spans="1:28" x14ac:dyDescent="0.2">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row>
    <row r="338" spans="1:28" x14ac:dyDescent="0.2">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row>
    <row r="339" spans="1:28" x14ac:dyDescent="0.2">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row>
    <row r="340" spans="1:28" x14ac:dyDescent="0.2">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row>
    <row r="341" spans="1:28" x14ac:dyDescent="0.2">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row>
    <row r="342" spans="1:28" x14ac:dyDescent="0.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row>
    <row r="343" spans="1:28" x14ac:dyDescent="0.2">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row>
    <row r="344" spans="1:28" x14ac:dyDescent="0.2">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row>
    <row r="345" spans="1:28" x14ac:dyDescent="0.2">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row>
    <row r="346" spans="1:28" x14ac:dyDescent="0.2">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row>
    <row r="347" spans="1:28" x14ac:dyDescent="0.2">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row>
    <row r="348" spans="1:28" x14ac:dyDescent="0.2">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row>
    <row r="349" spans="1:28" x14ac:dyDescent="0.2">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row>
    <row r="350" spans="1:28" x14ac:dyDescent="0.2">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row>
    <row r="351" spans="1:28" x14ac:dyDescent="0.2">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row>
    <row r="352" spans="1:28" x14ac:dyDescent="0.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row>
    <row r="353" spans="1:28" x14ac:dyDescent="0.2">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row>
    <row r="354" spans="1:28" x14ac:dyDescent="0.2">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row>
    <row r="355" spans="1:28" x14ac:dyDescent="0.2">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row>
    <row r="356" spans="1:28" x14ac:dyDescent="0.2">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row>
    <row r="357" spans="1:28" x14ac:dyDescent="0.2">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row>
    <row r="358" spans="1:28" x14ac:dyDescent="0.2">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row>
    <row r="359" spans="1:28" x14ac:dyDescent="0.2">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row>
    <row r="360" spans="1:28" x14ac:dyDescent="0.2">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row>
    <row r="361" spans="1:28" x14ac:dyDescent="0.2">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row>
    <row r="362" spans="1:28" x14ac:dyDescent="0.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row>
    <row r="363" spans="1:28" x14ac:dyDescent="0.2">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row>
    <row r="364" spans="1:28" x14ac:dyDescent="0.2">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row>
    <row r="365" spans="1:28" x14ac:dyDescent="0.2">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row>
    <row r="366" spans="1:28" x14ac:dyDescent="0.2">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row>
    <row r="367" spans="1:28" x14ac:dyDescent="0.2">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row>
    <row r="368" spans="1:28" x14ac:dyDescent="0.2">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row>
    <row r="369" spans="1:28" x14ac:dyDescent="0.2">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row>
    <row r="370" spans="1:28" x14ac:dyDescent="0.2">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row>
    <row r="371" spans="1:28" x14ac:dyDescent="0.2">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row>
    <row r="372" spans="1:28" x14ac:dyDescent="0.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row>
    <row r="373" spans="1:28" x14ac:dyDescent="0.2">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row>
    <row r="374" spans="1:28" x14ac:dyDescent="0.2">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row>
    <row r="375" spans="1:28" x14ac:dyDescent="0.2">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row>
    <row r="376" spans="1:28" x14ac:dyDescent="0.2">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row>
    <row r="377" spans="1:28" x14ac:dyDescent="0.2">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row>
    <row r="378" spans="1:28" x14ac:dyDescent="0.2">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row>
    <row r="379" spans="1:28" x14ac:dyDescent="0.2">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row>
    <row r="380" spans="1:28" x14ac:dyDescent="0.2">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row>
    <row r="381" spans="1:28" x14ac:dyDescent="0.2">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row>
    <row r="382" spans="1:28" x14ac:dyDescent="0.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row>
    <row r="383" spans="1:28" x14ac:dyDescent="0.2">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row>
    <row r="384" spans="1:28" x14ac:dyDescent="0.2">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row>
    <row r="385" spans="1:28" x14ac:dyDescent="0.2">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row>
    <row r="386" spans="1:28" x14ac:dyDescent="0.2">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row>
    <row r="387" spans="1:28" x14ac:dyDescent="0.2">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row>
    <row r="388" spans="1:28" x14ac:dyDescent="0.2">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row>
    <row r="389" spans="1:28" x14ac:dyDescent="0.2">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row>
    <row r="390" spans="1:28" x14ac:dyDescent="0.2">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row>
    <row r="391" spans="1:28" x14ac:dyDescent="0.2">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row>
    <row r="392" spans="1:28" x14ac:dyDescent="0.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row>
    <row r="393" spans="1:28" x14ac:dyDescent="0.2">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row>
    <row r="394" spans="1:28" x14ac:dyDescent="0.2">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row>
    <row r="395" spans="1:28" x14ac:dyDescent="0.2">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row>
    <row r="396" spans="1:28" x14ac:dyDescent="0.2">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row>
    <row r="397" spans="1:28" x14ac:dyDescent="0.2">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row>
    <row r="398" spans="1:28" x14ac:dyDescent="0.2">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row>
    <row r="399" spans="1:28" x14ac:dyDescent="0.2">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row>
    <row r="400" spans="1:28" x14ac:dyDescent="0.2">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row>
    <row r="401" spans="1:28" x14ac:dyDescent="0.2">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row>
    <row r="402" spans="1:28" x14ac:dyDescent="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row>
    <row r="403" spans="1:28" x14ac:dyDescent="0.2">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row>
    <row r="404" spans="1:28" x14ac:dyDescent="0.2">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row>
    <row r="405" spans="1:28" x14ac:dyDescent="0.2">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row>
    <row r="406" spans="1:28" x14ac:dyDescent="0.2">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row>
    <row r="407" spans="1:28" x14ac:dyDescent="0.2">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row>
    <row r="408" spans="1:28" x14ac:dyDescent="0.2">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row>
    <row r="409" spans="1:28" x14ac:dyDescent="0.2">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row>
    <row r="410" spans="1:28" x14ac:dyDescent="0.2">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row>
    <row r="411" spans="1:28" x14ac:dyDescent="0.2">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row>
    <row r="412" spans="1:28" x14ac:dyDescent="0.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row>
    <row r="413" spans="1:28" x14ac:dyDescent="0.2">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row>
    <row r="414" spans="1:28" x14ac:dyDescent="0.2">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row>
    <row r="415" spans="1:28" x14ac:dyDescent="0.2">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row>
    <row r="416" spans="1:28" x14ac:dyDescent="0.2">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row>
    <row r="417" spans="1:28" x14ac:dyDescent="0.2">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row>
    <row r="418" spans="1:28" x14ac:dyDescent="0.2">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row>
    <row r="419" spans="1:28" x14ac:dyDescent="0.2">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row>
    <row r="420" spans="1:28" x14ac:dyDescent="0.2">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row>
    <row r="421" spans="1:28" x14ac:dyDescent="0.2">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row>
    <row r="422" spans="1:28" x14ac:dyDescent="0.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row>
    <row r="423" spans="1:28" x14ac:dyDescent="0.2">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row>
    <row r="424" spans="1:28" x14ac:dyDescent="0.2">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row>
    <row r="425" spans="1:28" x14ac:dyDescent="0.2">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row>
    <row r="426" spans="1:28" x14ac:dyDescent="0.2">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row>
    <row r="427" spans="1:28" x14ac:dyDescent="0.2">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row>
    <row r="428" spans="1:28" x14ac:dyDescent="0.2">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row>
    <row r="429" spans="1:28" x14ac:dyDescent="0.2">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row>
    <row r="430" spans="1:28" x14ac:dyDescent="0.2">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row>
    <row r="431" spans="1:28" x14ac:dyDescent="0.2">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row>
    <row r="432" spans="1:28" x14ac:dyDescent="0.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row>
    <row r="433" spans="1:28" x14ac:dyDescent="0.2">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row>
    <row r="434" spans="1:28" x14ac:dyDescent="0.2">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row>
    <row r="435" spans="1:28" x14ac:dyDescent="0.2">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row>
    <row r="436" spans="1:28" x14ac:dyDescent="0.2">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row>
    <row r="437" spans="1:28" x14ac:dyDescent="0.2">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row>
    <row r="438" spans="1:28" x14ac:dyDescent="0.2">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row>
    <row r="439" spans="1:28" x14ac:dyDescent="0.2">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row>
    <row r="440" spans="1:28" x14ac:dyDescent="0.2">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row>
    <row r="441" spans="1:28" x14ac:dyDescent="0.2">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row>
    <row r="442" spans="1:28" x14ac:dyDescent="0.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row>
    <row r="443" spans="1:28" x14ac:dyDescent="0.2">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row>
    <row r="444" spans="1:28" x14ac:dyDescent="0.2">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row>
    <row r="445" spans="1:28" x14ac:dyDescent="0.2">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row>
    <row r="446" spans="1:28" x14ac:dyDescent="0.2">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row>
    <row r="447" spans="1:28" x14ac:dyDescent="0.2">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row>
    <row r="448" spans="1:28" x14ac:dyDescent="0.2">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row>
    <row r="449" spans="1:28" x14ac:dyDescent="0.2">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row>
    <row r="450" spans="1:28" x14ac:dyDescent="0.2">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row>
    <row r="451" spans="1:28" x14ac:dyDescent="0.2">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row>
    <row r="452" spans="1:28" x14ac:dyDescent="0.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row>
    <row r="453" spans="1:28" x14ac:dyDescent="0.2">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row>
    <row r="454" spans="1:28" x14ac:dyDescent="0.2">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row>
    <row r="455" spans="1:28" x14ac:dyDescent="0.2">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row>
    <row r="456" spans="1:28" x14ac:dyDescent="0.2">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row>
    <row r="457" spans="1:28" x14ac:dyDescent="0.2">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row>
    <row r="458" spans="1:28" x14ac:dyDescent="0.2">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row>
    <row r="459" spans="1:28" x14ac:dyDescent="0.2">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row>
    <row r="460" spans="1:28" x14ac:dyDescent="0.2">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row>
    <row r="461" spans="1:28" x14ac:dyDescent="0.2">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row>
    <row r="462" spans="1:28" x14ac:dyDescent="0.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row>
    <row r="463" spans="1:28" x14ac:dyDescent="0.2">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row>
    <row r="464" spans="1:28" x14ac:dyDescent="0.2">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row>
    <row r="465" spans="1:28" x14ac:dyDescent="0.2">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row>
    <row r="466" spans="1:28" x14ac:dyDescent="0.2">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row>
    <row r="467" spans="1:28" x14ac:dyDescent="0.2">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row>
    <row r="468" spans="1:28" x14ac:dyDescent="0.2">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row>
    <row r="469" spans="1:28" x14ac:dyDescent="0.2">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row>
    <row r="470" spans="1:28" x14ac:dyDescent="0.2">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row>
    <row r="471" spans="1:28" x14ac:dyDescent="0.2">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row>
    <row r="472" spans="1:28" x14ac:dyDescent="0.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row>
    <row r="473" spans="1:28" x14ac:dyDescent="0.2">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row>
    <row r="474" spans="1:28" x14ac:dyDescent="0.2">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row>
    <row r="475" spans="1:28" x14ac:dyDescent="0.2">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row>
    <row r="476" spans="1:28" x14ac:dyDescent="0.2">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row>
    <row r="477" spans="1:28" x14ac:dyDescent="0.2">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row>
    <row r="478" spans="1:28" x14ac:dyDescent="0.2">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row>
    <row r="479" spans="1:28" x14ac:dyDescent="0.2">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row>
    <row r="480" spans="1:28" x14ac:dyDescent="0.2">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row>
    <row r="481" spans="1:28" x14ac:dyDescent="0.2">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row>
    <row r="482" spans="1:28" x14ac:dyDescent="0.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row>
    <row r="483" spans="1:28" x14ac:dyDescent="0.2">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row>
    <row r="484" spans="1:28" x14ac:dyDescent="0.2">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row>
    <row r="485" spans="1:28" x14ac:dyDescent="0.2">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row>
    <row r="486" spans="1:28" x14ac:dyDescent="0.2">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row>
    <row r="487" spans="1:28" x14ac:dyDescent="0.2">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row>
    <row r="488" spans="1:28" x14ac:dyDescent="0.2">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row>
    <row r="489" spans="1:28" x14ac:dyDescent="0.2">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row>
    <row r="490" spans="1:28" x14ac:dyDescent="0.2">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row>
    <row r="491" spans="1:28" x14ac:dyDescent="0.2">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row>
    <row r="492" spans="1:28" x14ac:dyDescent="0.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row>
    <row r="493" spans="1:28" x14ac:dyDescent="0.2">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row>
    <row r="494" spans="1:28" x14ac:dyDescent="0.2">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row>
    <row r="495" spans="1:28" x14ac:dyDescent="0.2">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row>
    <row r="496" spans="1:28" x14ac:dyDescent="0.2">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row>
    <row r="497" spans="1:28" x14ac:dyDescent="0.2">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row>
    <row r="498" spans="1:28" x14ac:dyDescent="0.2">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row>
    <row r="499" spans="1:28" x14ac:dyDescent="0.2">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row>
    <row r="500" spans="1:28" x14ac:dyDescent="0.2">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row>
    <row r="501" spans="1:28" x14ac:dyDescent="0.2">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row>
    <row r="502" spans="1:28" x14ac:dyDescent="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row>
    <row r="503" spans="1:28" x14ac:dyDescent="0.2">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row>
    <row r="504" spans="1:28" x14ac:dyDescent="0.2">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row>
    <row r="505" spans="1:28" x14ac:dyDescent="0.2">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row>
    <row r="506" spans="1:28" x14ac:dyDescent="0.2">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row>
    <row r="507" spans="1:28" x14ac:dyDescent="0.2">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row>
    <row r="508" spans="1:28" x14ac:dyDescent="0.2">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row>
    <row r="509" spans="1:28" x14ac:dyDescent="0.2">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row>
    <row r="510" spans="1:28" x14ac:dyDescent="0.2">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row>
    <row r="511" spans="1:28" x14ac:dyDescent="0.2">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row>
    <row r="512" spans="1:28" x14ac:dyDescent="0.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row>
    <row r="513" spans="1:28" x14ac:dyDescent="0.2">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row>
    <row r="514" spans="1:28" x14ac:dyDescent="0.2">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row>
    <row r="515" spans="1:28" x14ac:dyDescent="0.2">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row>
    <row r="516" spans="1:28" x14ac:dyDescent="0.2">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row>
    <row r="517" spans="1:28" x14ac:dyDescent="0.2">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row>
    <row r="518" spans="1:28" x14ac:dyDescent="0.2">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row>
    <row r="519" spans="1:28" x14ac:dyDescent="0.2">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row>
    <row r="520" spans="1:28" x14ac:dyDescent="0.2">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row>
    <row r="521" spans="1:28" x14ac:dyDescent="0.2">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row>
    <row r="522" spans="1:28" x14ac:dyDescent="0.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row>
    <row r="523" spans="1:28" x14ac:dyDescent="0.2">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row>
    <row r="524" spans="1:28" x14ac:dyDescent="0.2">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row>
    <row r="525" spans="1:28" x14ac:dyDescent="0.2">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row>
    <row r="526" spans="1:28" x14ac:dyDescent="0.2">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row>
    <row r="527" spans="1:28" x14ac:dyDescent="0.2">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row>
    <row r="528" spans="1:28" x14ac:dyDescent="0.2">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row>
    <row r="529" spans="1:28" x14ac:dyDescent="0.2">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row>
    <row r="530" spans="1:28" x14ac:dyDescent="0.2">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row>
    <row r="531" spans="1:28" x14ac:dyDescent="0.2">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row>
    <row r="532" spans="1:28" x14ac:dyDescent="0.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row>
    <row r="533" spans="1:28" x14ac:dyDescent="0.2">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row>
    <row r="534" spans="1:28" x14ac:dyDescent="0.2">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row>
    <row r="535" spans="1:28" x14ac:dyDescent="0.2">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row>
    <row r="536" spans="1:28" x14ac:dyDescent="0.2">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row>
    <row r="537" spans="1:28" x14ac:dyDescent="0.2">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row>
    <row r="538" spans="1:28" x14ac:dyDescent="0.2">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row>
    <row r="539" spans="1:28" x14ac:dyDescent="0.2">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row>
    <row r="540" spans="1:28" x14ac:dyDescent="0.2">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row>
    <row r="541" spans="1:28" x14ac:dyDescent="0.2">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row>
    <row r="542" spans="1:28" x14ac:dyDescent="0.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row>
    <row r="543" spans="1:28" x14ac:dyDescent="0.2">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row>
    <row r="544" spans="1:28" x14ac:dyDescent="0.2">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row>
    <row r="545" spans="1:28" x14ac:dyDescent="0.2">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row>
    <row r="546" spans="1:28" x14ac:dyDescent="0.2">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row>
    <row r="547" spans="1:28" x14ac:dyDescent="0.2">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row>
    <row r="548" spans="1:28" x14ac:dyDescent="0.2">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row>
    <row r="549" spans="1:28" x14ac:dyDescent="0.2">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row>
    <row r="550" spans="1:28" x14ac:dyDescent="0.2">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row>
    <row r="551" spans="1:28" x14ac:dyDescent="0.2">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row>
    <row r="552" spans="1:28" x14ac:dyDescent="0.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row>
    <row r="553" spans="1:28" x14ac:dyDescent="0.2">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row>
    <row r="554" spans="1:28" x14ac:dyDescent="0.2">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row>
    <row r="555" spans="1:28" x14ac:dyDescent="0.2">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row>
    <row r="556" spans="1:28" x14ac:dyDescent="0.2">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row>
    <row r="557" spans="1:28" x14ac:dyDescent="0.2">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row>
    <row r="558" spans="1:28" x14ac:dyDescent="0.2">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row>
    <row r="559" spans="1:28" x14ac:dyDescent="0.2">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row>
    <row r="560" spans="1:28" x14ac:dyDescent="0.2">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row>
    <row r="561" spans="1:28" x14ac:dyDescent="0.2">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row>
    <row r="562" spans="1:28" x14ac:dyDescent="0.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row>
    <row r="563" spans="1:28" x14ac:dyDescent="0.2">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row>
    <row r="564" spans="1:28" x14ac:dyDescent="0.2">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row>
    <row r="565" spans="1:28" x14ac:dyDescent="0.2">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row>
    <row r="566" spans="1:28" x14ac:dyDescent="0.2">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row>
    <row r="567" spans="1:28" x14ac:dyDescent="0.2">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row>
    <row r="568" spans="1:28" x14ac:dyDescent="0.2">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row>
    <row r="569" spans="1:28" x14ac:dyDescent="0.2">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row>
    <row r="570" spans="1:28" x14ac:dyDescent="0.2">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row>
    <row r="571" spans="1:28" x14ac:dyDescent="0.2">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row>
    <row r="572" spans="1:28" x14ac:dyDescent="0.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row>
    <row r="573" spans="1:28" x14ac:dyDescent="0.2">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row>
    <row r="574" spans="1:28" x14ac:dyDescent="0.2">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row>
    <row r="575" spans="1:28" x14ac:dyDescent="0.2">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row>
    <row r="576" spans="1:28" x14ac:dyDescent="0.2">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row>
    <row r="577" spans="1:28" x14ac:dyDescent="0.2">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row>
    <row r="578" spans="1:28" x14ac:dyDescent="0.2">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row>
    <row r="579" spans="1:28" x14ac:dyDescent="0.2">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row>
    <row r="580" spans="1:28" x14ac:dyDescent="0.2">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row>
    <row r="581" spans="1:28" x14ac:dyDescent="0.2">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row>
    <row r="582" spans="1:28" x14ac:dyDescent="0.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row>
    <row r="583" spans="1:28" x14ac:dyDescent="0.2">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row>
    <row r="584" spans="1:28" x14ac:dyDescent="0.2">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row>
    <row r="585" spans="1:28" x14ac:dyDescent="0.2">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row>
    <row r="586" spans="1:28" x14ac:dyDescent="0.2">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row>
    <row r="587" spans="1:28" x14ac:dyDescent="0.2">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row>
    <row r="588" spans="1:28" x14ac:dyDescent="0.2">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row>
    <row r="589" spans="1:28" x14ac:dyDescent="0.2">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row>
    <row r="590" spans="1:28" x14ac:dyDescent="0.2">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row>
    <row r="591" spans="1:28" x14ac:dyDescent="0.2">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row>
    <row r="592" spans="1:28" x14ac:dyDescent="0.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row>
    <row r="593" spans="1:28" x14ac:dyDescent="0.2">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row>
    <row r="594" spans="1:28" x14ac:dyDescent="0.2">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row>
    <row r="595" spans="1:28" x14ac:dyDescent="0.2">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row>
    <row r="596" spans="1:28" x14ac:dyDescent="0.2">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row>
    <row r="597" spans="1:28" x14ac:dyDescent="0.2">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row>
    <row r="598" spans="1:28" x14ac:dyDescent="0.2">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row>
    <row r="599" spans="1:28" x14ac:dyDescent="0.2">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row>
    <row r="600" spans="1:28" x14ac:dyDescent="0.2">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row>
    <row r="601" spans="1:28" x14ac:dyDescent="0.2">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row>
    <row r="602" spans="1:28" x14ac:dyDescent="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row>
    <row r="603" spans="1:28" x14ac:dyDescent="0.2">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row>
    <row r="604" spans="1:28" x14ac:dyDescent="0.2">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row>
    <row r="605" spans="1:28" x14ac:dyDescent="0.2">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row>
    <row r="606" spans="1:28" x14ac:dyDescent="0.2">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row>
    <row r="607" spans="1:28" x14ac:dyDescent="0.2">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row>
    <row r="608" spans="1:28" x14ac:dyDescent="0.2">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row>
    <row r="609" spans="1:28" x14ac:dyDescent="0.2">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row>
    <row r="610" spans="1:28" x14ac:dyDescent="0.2">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row>
    <row r="611" spans="1:28" x14ac:dyDescent="0.2">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row>
    <row r="612" spans="1:28" x14ac:dyDescent="0.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row>
    <row r="613" spans="1:28" x14ac:dyDescent="0.2">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row>
    <row r="614" spans="1:28" x14ac:dyDescent="0.2">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row>
    <row r="615" spans="1:28" x14ac:dyDescent="0.2">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row>
    <row r="616" spans="1:28" x14ac:dyDescent="0.2">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row>
    <row r="617" spans="1:28" x14ac:dyDescent="0.2">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row>
    <row r="618" spans="1:28" x14ac:dyDescent="0.2">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row>
    <row r="619" spans="1:28" x14ac:dyDescent="0.2">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row>
    <row r="620" spans="1:28" x14ac:dyDescent="0.2">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row>
    <row r="621" spans="1:28" x14ac:dyDescent="0.2">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row>
    <row r="622" spans="1:28" x14ac:dyDescent="0.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row>
    <row r="623" spans="1:28" x14ac:dyDescent="0.2">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row>
    <row r="624" spans="1:28" x14ac:dyDescent="0.2">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row>
    <row r="625" spans="1:28" x14ac:dyDescent="0.2">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row>
    <row r="626" spans="1:28" x14ac:dyDescent="0.2">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row>
    <row r="627" spans="1:28" x14ac:dyDescent="0.2">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row>
    <row r="628" spans="1:28" x14ac:dyDescent="0.2">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row>
    <row r="629" spans="1:28" x14ac:dyDescent="0.2">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row>
    <row r="630" spans="1:28" x14ac:dyDescent="0.2">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row>
    <row r="631" spans="1:28" x14ac:dyDescent="0.2">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row>
    <row r="632" spans="1:28" x14ac:dyDescent="0.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row>
    <row r="633" spans="1:28" x14ac:dyDescent="0.2">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row>
    <row r="634" spans="1:28" x14ac:dyDescent="0.2">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row>
    <row r="635" spans="1:28" x14ac:dyDescent="0.2">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row>
    <row r="636" spans="1:28" x14ac:dyDescent="0.2">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row>
    <row r="637" spans="1:28" x14ac:dyDescent="0.2">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row>
    <row r="638" spans="1:28" x14ac:dyDescent="0.2">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row>
    <row r="639" spans="1:28" x14ac:dyDescent="0.2">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row>
    <row r="640" spans="1:28" x14ac:dyDescent="0.2">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row>
    <row r="641" spans="1:28" x14ac:dyDescent="0.2">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row>
    <row r="642" spans="1:28" x14ac:dyDescent="0.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row>
    <row r="643" spans="1:28" x14ac:dyDescent="0.2">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row>
    <row r="644" spans="1:28" x14ac:dyDescent="0.2">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row>
    <row r="645" spans="1:28" x14ac:dyDescent="0.2">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row>
    <row r="646" spans="1:28" x14ac:dyDescent="0.2">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row>
    <row r="647" spans="1:28" x14ac:dyDescent="0.2">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row>
    <row r="648" spans="1:28" x14ac:dyDescent="0.2">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row>
    <row r="649" spans="1:28" x14ac:dyDescent="0.2">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row>
    <row r="650" spans="1:28" x14ac:dyDescent="0.2">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row>
    <row r="651" spans="1:28" x14ac:dyDescent="0.2">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row>
    <row r="652" spans="1:28" x14ac:dyDescent="0.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row>
    <row r="653" spans="1:28" x14ac:dyDescent="0.2">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row>
    <row r="654" spans="1:28" x14ac:dyDescent="0.2">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row>
    <row r="655" spans="1:28" x14ac:dyDescent="0.2">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row>
    <row r="656" spans="1:28" x14ac:dyDescent="0.2">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row>
    <row r="657" spans="1:28" x14ac:dyDescent="0.2">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row>
    <row r="658" spans="1:28" x14ac:dyDescent="0.2">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row>
    <row r="659" spans="1:28" x14ac:dyDescent="0.2">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row>
    <row r="660" spans="1:28" x14ac:dyDescent="0.2">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row>
    <row r="661" spans="1:28" x14ac:dyDescent="0.2">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row>
    <row r="662" spans="1:28" x14ac:dyDescent="0.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row>
    <row r="663" spans="1:28" x14ac:dyDescent="0.2">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row>
    <row r="664" spans="1:28" x14ac:dyDescent="0.2">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row>
    <row r="665" spans="1:28" x14ac:dyDescent="0.2">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row>
    <row r="666" spans="1:28" x14ac:dyDescent="0.2">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row>
    <row r="667" spans="1:28" x14ac:dyDescent="0.2">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row>
    <row r="668" spans="1:28" x14ac:dyDescent="0.2">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row>
    <row r="669" spans="1:28" x14ac:dyDescent="0.2">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row>
    <row r="670" spans="1:28" x14ac:dyDescent="0.2">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row>
    <row r="671" spans="1:28" x14ac:dyDescent="0.2">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row>
    <row r="672" spans="1:28" x14ac:dyDescent="0.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row>
    <row r="673" spans="1:28" x14ac:dyDescent="0.2">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row>
    <row r="674" spans="1:28" x14ac:dyDescent="0.2">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row>
    <row r="675" spans="1:28" x14ac:dyDescent="0.2">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row>
    <row r="676" spans="1:28" x14ac:dyDescent="0.2">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row>
    <row r="677" spans="1:28" x14ac:dyDescent="0.2">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row>
    <row r="678" spans="1:28" x14ac:dyDescent="0.2">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row>
    <row r="679" spans="1:28" x14ac:dyDescent="0.2">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row>
    <row r="680" spans="1:28" x14ac:dyDescent="0.2">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row>
    <row r="681" spans="1:28" x14ac:dyDescent="0.2">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row>
    <row r="682" spans="1:28" x14ac:dyDescent="0.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row>
    <row r="683" spans="1:28" x14ac:dyDescent="0.2">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row>
    <row r="684" spans="1:28" x14ac:dyDescent="0.2">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row>
    <row r="685" spans="1:28" x14ac:dyDescent="0.2">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row>
    <row r="686" spans="1:28" x14ac:dyDescent="0.2">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row>
    <row r="687" spans="1:28" x14ac:dyDescent="0.2">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row>
    <row r="688" spans="1:28" x14ac:dyDescent="0.2">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row>
    <row r="689" spans="1:28" x14ac:dyDescent="0.2">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row>
    <row r="690" spans="1:28" x14ac:dyDescent="0.2">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row>
    <row r="691" spans="1:28" x14ac:dyDescent="0.2">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row>
    <row r="692" spans="1:28" x14ac:dyDescent="0.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row>
    <row r="693" spans="1:28" x14ac:dyDescent="0.2">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row>
    <row r="694" spans="1:28" x14ac:dyDescent="0.2">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row>
    <row r="695" spans="1:28" x14ac:dyDescent="0.2">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row>
    <row r="696" spans="1:28" x14ac:dyDescent="0.2">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row>
    <row r="697" spans="1:28" x14ac:dyDescent="0.2">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row>
    <row r="698" spans="1:28" x14ac:dyDescent="0.2">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row>
    <row r="699" spans="1:28" x14ac:dyDescent="0.2">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row>
    <row r="700" spans="1:28" x14ac:dyDescent="0.2">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row>
    <row r="701" spans="1:28" x14ac:dyDescent="0.2">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row>
    <row r="702" spans="1:28" x14ac:dyDescent="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row>
    <row r="703" spans="1:28" x14ac:dyDescent="0.2">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row>
    <row r="704" spans="1:28" x14ac:dyDescent="0.2">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row>
    <row r="705" spans="1:28" x14ac:dyDescent="0.2">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row>
    <row r="706" spans="1:28" x14ac:dyDescent="0.2">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row>
    <row r="707" spans="1:28" x14ac:dyDescent="0.2">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row>
    <row r="708" spans="1:28" x14ac:dyDescent="0.2">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row>
    <row r="709" spans="1:28" x14ac:dyDescent="0.2">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row>
    <row r="710" spans="1:28" x14ac:dyDescent="0.2">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row>
    <row r="711" spans="1:28" x14ac:dyDescent="0.2">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row>
    <row r="712" spans="1:28" x14ac:dyDescent="0.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row>
    <row r="713" spans="1:28" x14ac:dyDescent="0.2">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row>
    <row r="714" spans="1:28" x14ac:dyDescent="0.2">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row>
    <row r="715" spans="1:28" x14ac:dyDescent="0.2">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row>
    <row r="716" spans="1:28" x14ac:dyDescent="0.2">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row>
    <row r="717" spans="1:28" x14ac:dyDescent="0.2">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row>
    <row r="718" spans="1:28" x14ac:dyDescent="0.2">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row>
    <row r="719" spans="1:28" x14ac:dyDescent="0.2">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row>
    <row r="720" spans="1:28" x14ac:dyDescent="0.2">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row>
    <row r="721" spans="1:28" x14ac:dyDescent="0.2">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row>
    <row r="722" spans="1:28" x14ac:dyDescent="0.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row>
    <row r="723" spans="1:28" x14ac:dyDescent="0.2">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row>
    <row r="724" spans="1:28" x14ac:dyDescent="0.2">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row>
    <row r="725" spans="1:28" x14ac:dyDescent="0.2">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row>
    <row r="726" spans="1:28" x14ac:dyDescent="0.2">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row>
    <row r="727" spans="1:28" x14ac:dyDescent="0.2">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row>
    <row r="728" spans="1:28" x14ac:dyDescent="0.2">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row>
    <row r="729" spans="1:28" x14ac:dyDescent="0.2">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row>
    <row r="730" spans="1:28" x14ac:dyDescent="0.2">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row>
    <row r="731" spans="1:28" x14ac:dyDescent="0.2">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row>
    <row r="732" spans="1:28" x14ac:dyDescent="0.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row>
    <row r="733" spans="1:28" x14ac:dyDescent="0.2">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row>
    <row r="734" spans="1:28" x14ac:dyDescent="0.2">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row>
    <row r="735" spans="1:28" x14ac:dyDescent="0.2">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row>
    <row r="736" spans="1:28" x14ac:dyDescent="0.2">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row>
    <row r="737" spans="1:28" x14ac:dyDescent="0.2">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row>
    <row r="738" spans="1:28" x14ac:dyDescent="0.2">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row>
    <row r="739" spans="1:28" x14ac:dyDescent="0.2">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row>
    <row r="740" spans="1:28" x14ac:dyDescent="0.2">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row>
    <row r="741" spans="1:28" x14ac:dyDescent="0.2">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row>
    <row r="742" spans="1:28" x14ac:dyDescent="0.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row>
    <row r="743" spans="1:28" x14ac:dyDescent="0.2">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row>
    <row r="744" spans="1:28" x14ac:dyDescent="0.2">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row>
    <row r="745" spans="1:28" x14ac:dyDescent="0.2">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row>
    <row r="746" spans="1:28" x14ac:dyDescent="0.2">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row>
    <row r="747" spans="1:28" x14ac:dyDescent="0.2">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row>
    <row r="748" spans="1:28" x14ac:dyDescent="0.2">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row>
    <row r="749" spans="1:28" x14ac:dyDescent="0.2">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row>
    <row r="750" spans="1:28" x14ac:dyDescent="0.2">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row>
    <row r="751" spans="1:28" x14ac:dyDescent="0.2">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row>
    <row r="752" spans="1:28" x14ac:dyDescent="0.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row>
    <row r="753" spans="1:28" x14ac:dyDescent="0.2">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row>
    <row r="754" spans="1:28" x14ac:dyDescent="0.2">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row>
    <row r="755" spans="1:28" x14ac:dyDescent="0.2">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row>
    <row r="756" spans="1:28" x14ac:dyDescent="0.2">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row>
    <row r="757" spans="1:28" x14ac:dyDescent="0.2">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row>
    <row r="758" spans="1:28" x14ac:dyDescent="0.2">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row>
    <row r="759" spans="1:28" x14ac:dyDescent="0.2">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row>
    <row r="760" spans="1:28" x14ac:dyDescent="0.2">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row>
    <row r="761" spans="1:28" x14ac:dyDescent="0.2">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row>
    <row r="762" spans="1:28" x14ac:dyDescent="0.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row>
    <row r="763" spans="1:28" x14ac:dyDescent="0.2">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row>
    <row r="764" spans="1:28" x14ac:dyDescent="0.2">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row>
    <row r="765" spans="1:28" x14ac:dyDescent="0.2">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row>
    <row r="766" spans="1:28" x14ac:dyDescent="0.2">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row>
    <row r="767" spans="1:28" x14ac:dyDescent="0.2">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row>
    <row r="768" spans="1:28" x14ac:dyDescent="0.2">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row>
    <row r="769" spans="1:28" x14ac:dyDescent="0.2">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row>
    <row r="770" spans="1:28" x14ac:dyDescent="0.2">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row>
    <row r="771" spans="1:28" x14ac:dyDescent="0.2">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row>
    <row r="772" spans="1:28" x14ac:dyDescent="0.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row>
    <row r="773" spans="1:28" x14ac:dyDescent="0.2">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row>
    <row r="774" spans="1:28" x14ac:dyDescent="0.2">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row>
    <row r="775" spans="1:28" x14ac:dyDescent="0.2">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row>
    <row r="776" spans="1:28" x14ac:dyDescent="0.2">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row>
    <row r="777" spans="1:28" x14ac:dyDescent="0.2">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row>
    <row r="778" spans="1:28" x14ac:dyDescent="0.2">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row>
    <row r="779" spans="1:28" x14ac:dyDescent="0.2">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row>
    <row r="780" spans="1:28" x14ac:dyDescent="0.2">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row>
    <row r="781" spans="1:28" x14ac:dyDescent="0.2">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row>
    <row r="782" spans="1:28" x14ac:dyDescent="0.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row>
    <row r="783" spans="1:28" x14ac:dyDescent="0.2">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row>
    <row r="784" spans="1:28" x14ac:dyDescent="0.2">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row>
    <row r="785" spans="1:28" x14ac:dyDescent="0.2">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row>
    <row r="786" spans="1:28" x14ac:dyDescent="0.2">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row>
    <row r="787" spans="1:28" x14ac:dyDescent="0.2">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row>
    <row r="788" spans="1:28" x14ac:dyDescent="0.2">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row>
    <row r="789" spans="1:28" x14ac:dyDescent="0.2">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row>
    <row r="790" spans="1:28" x14ac:dyDescent="0.2">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row>
    <row r="791" spans="1:28" x14ac:dyDescent="0.2">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row>
    <row r="792" spans="1:28" x14ac:dyDescent="0.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row>
    <row r="793" spans="1:28" x14ac:dyDescent="0.2">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row>
    <row r="794" spans="1:28" x14ac:dyDescent="0.2">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row>
    <row r="795" spans="1:28" x14ac:dyDescent="0.2">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row>
    <row r="796" spans="1:28" x14ac:dyDescent="0.2">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row>
    <row r="797" spans="1:28" x14ac:dyDescent="0.2">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row>
    <row r="798" spans="1:28" x14ac:dyDescent="0.2">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row>
    <row r="799" spans="1:28" x14ac:dyDescent="0.2">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row>
    <row r="800" spans="1:28" x14ac:dyDescent="0.2">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row>
    <row r="801" spans="1:28" x14ac:dyDescent="0.2">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row>
    <row r="802" spans="1:28" x14ac:dyDescent="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row>
    <row r="803" spans="1:28" x14ac:dyDescent="0.2">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row>
    <row r="804" spans="1:28" x14ac:dyDescent="0.2">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row>
    <row r="805" spans="1:28" x14ac:dyDescent="0.2">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row>
    <row r="806" spans="1:28" x14ac:dyDescent="0.2">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row>
    <row r="807" spans="1:28" x14ac:dyDescent="0.2">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row>
    <row r="808" spans="1:28" x14ac:dyDescent="0.2">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row>
    <row r="809" spans="1:28" x14ac:dyDescent="0.2">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row>
    <row r="810" spans="1:28" x14ac:dyDescent="0.2">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row>
    <row r="811" spans="1:28" x14ac:dyDescent="0.2">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row>
    <row r="812" spans="1:28" x14ac:dyDescent="0.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row>
    <row r="813" spans="1:28" x14ac:dyDescent="0.2">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row>
    <row r="814" spans="1:28" x14ac:dyDescent="0.2">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row>
    <row r="815" spans="1:28" x14ac:dyDescent="0.2">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row>
    <row r="816" spans="1:28" x14ac:dyDescent="0.2">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row>
    <row r="817" spans="1:28" x14ac:dyDescent="0.2">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row>
    <row r="818" spans="1:28" x14ac:dyDescent="0.2">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row>
    <row r="819" spans="1:28" x14ac:dyDescent="0.2">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row>
    <row r="820" spans="1:28" x14ac:dyDescent="0.2">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row>
    <row r="821" spans="1:28" x14ac:dyDescent="0.2">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row>
    <row r="822" spans="1:28" x14ac:dyDescent="0.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row>
    <row r="823" spans="1:28" x14ac:dyDescent="0.2">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row>
    <row r="824" spans="1:28" x14ac:dyDescent="0.2">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row>
    <row r="825" spans="1:28" x14ac:dyDescent="0.2">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row>
    <row r="826" spans="1:28" x14ac:dyDescent="0.2">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row>
    <row r="827" spans="1:28" x14ac:dyDescent="0.2">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row>
    <row r="828" spans="1:28" x14ac:dyDescent="0.2">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row>
    <row r="829" spans="1:28" x14ac:dyDescent="0.2">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row>
    <row r="830" spans="1:28" x14ac:dyDescent="0.2">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row>
    <row r="831" spans="1:28" x14ac:dyDescent="0.2">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row>
    <row r="832" spans="1:28" x14ac:dyDescent="0.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row>
    <row r="833" spans="1:28" x14ac:dyDescent="0.2">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row>
    <row r="834" spans="1:28" x14ac:dyDescent="0.2">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row>
    <row r="835" spans="1:28" x14ac:dyDescent="0.2">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row>
    <row r="836" spans="1:28" x14ac:dyDescent="0.2">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row>
    <row r="837" spans="1:28" x14ac:dyDescent="0.2">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row>
    <row r="838" spans="1:28" x14ac:dyDescent="0.2">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row>
    <row r="839" spans="1:28" x14ac:dyDescent="0.2">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row>
    <row r="840" spans="1:28" x14ac:dyDescent="0.2">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row>
    <row r="841" spans="1:28" x14ac:dyDescent="0.2">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row>
    <row r="842" spans="1:28" x14ac:dyDescent="0.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row>
    <row r="843" spans="1:28" x14ac:dyDescent="0.2">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row>
    <row r="844" spans="1:28" x14ac:dyDescent="0.2">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row>
    <row r="845" spans="1:28" x14ac:dyDescent="0.2">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row>
    <row r="846" spans="1:28" x14ac:dyDescent="0.2">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row>
    <row r="847" spans="1:28" x14ac:dyDescent="0.2">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row>
    <row r="848" spans="1:28" x14ac:dyDescent="0.2">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row>
    <row r="849" spans="1:28" x14ac:dyDescent="0.2">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row>
    <row r="850" spans="1:28" x14ac:dyDescent="0.2">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row>
    <row r="851" spans="1:28" x14ac:dyDescent="0.2">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row>
    <row r="852" spans="1:28" x14ac:dyDescent="0.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row>
    <row r="853" spans="1:28" x14ac:dyDescent="0.2">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row>
    <row r="854" spans="1:28" x14ac:dyDescent="0.2">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row>
    <row r="855" spans="1:28" x14ac:dyDescent="0.2">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row>
    <row r="856" spans="1:28" x14ac:dyDescent="0.2">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row>
    <row r="857" spans="1:28" x14ac:dyDescent="0.2">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row>
    <row r="858" spans="1:28" x14ac:dyDescent="0.2">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row>
    <row r="859" spans="1:28" x14ac:dyDescent="0.2">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row>
    <row r="860" spans="1:28" x14ac:dyDescent="0.2">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row>
    <row r="861" spans="1:28" x14ac:dyDescent="0.2">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row>
    <row r="862" spans="1:28" x14ac:dyDescent="0.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row>
    <row r="863" spans="1:28" x14ac:dyDescent="0.2">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row>
    <row r="864" spans="1:28" x14ac:dyDescent="0.2">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row>
    <row r="865" spans="1:28" x14ac:dyDescent="0.2">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row>
    <row r="866" spans="1:28" x14ac:dyDescent="0.2">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row>
    <row r="867" spans="1:28" x14ac:dyDescent="0.2">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row>
    <row r="868" spans="1:28" x14ac:dyDescent="0.2">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row>
    <row r="869" spans="1:28" x14ac:dyDescent="0.2">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row>
    <row r="870" spans="1:28" x14ac:dyDescent="0.2">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row>
    <row r="871" spans="1:28" x14ac:dyDescent="0.2">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row>
    <row r="872" spans="1:28" x14ac:dyDescent="0.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row>
    <row r="873" spans="1:28" x14ac:dyDescent="0.2">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row>
    <row r="874" spans="1:28" x14ac:dyDescent="0.2">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row>
    <row r="875" spans="1:28" x14ac:dyDescent="0.2">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row>
    <row r="876" spans="1:28" x14ac:dyDescent="0.2">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row>
    <row r="877" spans="1:28" x14ac:dyDescent="0.2">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row>
    <row r="878" spans="1:28" x14ac:dyDescent="0.2">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row>
    <row r="879" spans="1:28" x14ac:dyDescent="0.2">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row>
    <row r="880" spans="1:28" x14ac:dyDescent="0.2">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row>
    <row r="881" spans="1:28" x14ac:dyDescent="0.2">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row>
    <row r="882" spans="1:28" x14ac:dyDescent="0.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row>
    <row r="883" spans="1:28" x14ac:dyDescent="0.2">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row>
    <row r="884" spans="1:28" x14ac:dyDescent="0.2">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row>
    <row r="885" spans="1:28" x14ac:dyDescent="0.2">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row>
    <row r="886" spans="1:28" x14ac:dyDescent="0.2">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row>
    <row r="887" spans="1:28" x14ac:dyDescent="0.2">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row>
    <row r="888" spans="1:28" x14ac:dyDescent="0.2">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row>
    <row r="889" spans="1:28" x14ac:dyDescent="0.2">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row>
    <row r="890" spans="1:28" x14ac:dyDescent="0.2">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row>
    <row r="891" spans="1:28" x14ac:dyDescent="0.2">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row>
    <row r="892" spans="1:28" x14ac:dyDescent="0.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row>
    <row r="893" spans="1:28" x14ac:dyDescent="0.2">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row>
    <row r="894" spans="1:28" x14ac:dyDescent="0.2">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row>
    <row r="895" spans="1:28" x14ac:dyDescent="0.2">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row>
    <row r="896" spans="1:28" x14ac:dyDescent="0.2">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row>
    <row r="897" spans="1:28" x14ac:dyDescent="0.2">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row>
    <row r="898" spans="1:28" x14ac:dyDescent="0.2">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row>
    <row r="899" spans="1:28" x14ac:dyDescent="0.2">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row>
    <row r="900" spans="1:28" x14ac:dyDescent="0.2">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row>
    <row r="901" spans="1:28" x14ac:dyDescent="0.2">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row>
    <row r="902" spans="1:28" x14ac:dyDescent="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row>
    <row r="903" spans="1:28" x14ac:dyDescent="0.2">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row>
    <row r="904" spans="1:28" x14ac:dyDescent="0.2">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row>
    <row r="905" spans="1:28" x14ac:dyDescent="0.2">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row>
    <row r="906" spans="1:28" x14ac:dyDescent="0.2">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row>
    <row r="907" spans="1:28" x14ac:dyDescent="0.2">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row>
    <row r="908" spans="1:28" x14ac:dyDescent="0.2">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row>
    <row r="909" spans="1:28" x14ac:dyDescent="0.2">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row>
    <row r="910" spans="1:28" x14ac:dyDescent="0.2">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row>
    <row r="911" spans="1:28" x14ac:dyDescent="0.2">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row>
    <row r="912" spans="1:28" x14ac:dyDescent="0.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row>
    <row r="913" spans="1:28" x14ac:dyDescent="0.2">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row>
    <row r="914" spans="1:28" x14ac:dyDescent="0.2">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row>
    <row r="915" spans="1:28" x14ac:dyDescent="0.2">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row>
    <row r="916" spans="1:28" x14ac:dyDescent="0.2">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row>
    <row r="917" spans="1:28" x14ac:dyDescent="0.2">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row>
    <row r="918" spans="1:28" x14ac:dyDescent="0.2">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row>
    <row r="919" spans="1:28" x14ac:dyDescent="0.2">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row>
    <row r="920" spans="1:28" x14ac:dyDescent="0.2">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row>
    <row r="921" spans="1:28" x14ac:dyDescent="0.2">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row>
    <row r="922" spans="1:28" x14ac:dyDescent="0.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row>
    <row r="923" spans="1:28" x14ac:dyDescent="0.2">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row>
    <row r="924" spans="1:28" x14ac:dyDescent="0.2">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row>
    <row r="925" spans="1:28" x14ac:dyDescent="0.2">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row>
    <row r="926" spans="1:28" x14ac:dyDescent="0.2">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row>
    <row r="927" spans="1:28" x14ac:dyDescent="0.2">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row>
    <row r="928" spans="1:28" x14ac:dyDescent="0.2">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row>
    <row r="929" spans="1:28" x14ac:dyDescent="0.2">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row>
    <row r="930" spans="1:28" x14ac:dyDescent="0.2">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row>
    <row r="931" spans="1:28" x14ac:dyDescent="0.2">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row>
    <row r="932" spans="1:28" x14ac:dyDescent="0.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row>
    <row r="933" spans="1:28" x14ac:dyDescent="0.2">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row>
    <row r="934" spans="1:28" x14ac:dyDescent="0.2">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row>
    <row r="935" spans="1:28" x14ac:dyDescent="0.2">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row>
    <row r="936" spans="1:28" x14ac:dyDescent="0.2">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row>
    <row r="937" spans="1:28" x14ac:dyDescent="0.2">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row>
    <row r="938" spans="1:28" x14ac:dyDescent="0.2">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row>
    <row r="939" spans="1:28" x14ac:dyDescent="0.2">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row>
    <row r="940" spans="1:28" x14ac:dyDescent="0.2">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row>
    <row r="941" spans="1:28" x14ac:dyDescent="0.2">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row>
    <row r="942" spans="1:28" x14ac:dyDescent="0.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row>
    <row r="943" spans="1:28" x14ac:dyDescent="0.2">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row>
    <row r="944" spans="1:28" x14ac:dyDescent="0.2">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row>
    <row r="945" spans="1:28" x14ac:dyDescent="0.2">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row>
    <row r="946" spans="1:28" x14ac:dyDescent="0.2">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row>
    <row r="947" spans="1:28" x14ac:dyDescent="0.2">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row>
    <row r="948" spans="1:28" x14ac:dyDescent="0.2">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row>
    <row r="949" spans="1:28" x14ac:dyDescent="0.2">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row>
    <row r="950" spans="1:28" x14ac:dyDescent="0.2">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row>
    <row r="951" spans="1:28" x14ac:dyDescent="0.2">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row>
    <row r="952" spans="1:28" x14ac:dyDescent="0.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row>
    <row r="953" spans="1:28" x14ac:dyDescent="0.2">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row>
    <row r="954" spans="1:28" x14ac:dyDescent="0.2">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row>
    <row r="955" spans="1:28" x14ac:dyDescent="0.2">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row>
    <row r="956" spans="1:28" x14ac:dyDescent="0.2">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row>
    <row r="957" spans="1:28" x14ac:dyDescent="0.2">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row>
    <row r="958" spans="1:28" x14ac:dyDescent="0.2">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row>
    <row r="959" spans="1:28" x14ac:dyDescent="0.2">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row>
    <row r="960" spans="1:28" x14ac:dyDescent="0.2">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row>
    <row r="961" spans="1:28" x14ac:dyDescent="0.2">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row>
    <row r="962" spans="1:28" x14ac:dyDescent="0.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row>
    <row r="963" spans="1:28" x14ac:dyDescent="0.2">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row>
    <row r="964" spans="1:28" x14ac:dyDescent="0.2">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row>
    <row r="965" spans="1:28" x14ac:dyDescent="0.2">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row>
    <row r="966" spans="1:28" x14ac:dyDescent="0.2">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row>
    <row r="967" spans="1:28" x14ac:dyDescent="0.2">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row>
    <row r="968" spans="1:28" x14ac:dyDescent="0.2">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row>
    <row r="969" spans="1:28" x14ac:dyDescent="0.2">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row>
    <row r="970" spans="1:28" x14ac:dyDescent="0.2">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row>
    <row r="971" spans="1:28" x14ac:dyDescent="0.2">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row>
    <row r="972" spans="1:28" x14ac:dyDescent="0.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row>
    <row r="973" spans="1:28" x14ac:dyDescent="0.2">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row>
    <row r="974" spans="1:28" x14ac:dyDescent="0.2">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row>
    <row r="975" spans="1:28" x14ac:dyDescent="0.2">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row>
    <row r="976" spans="1:28" x14ac:dyDescent="0.2">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row>
    <row r="977" spans="1:28" x14ac:dyDescent="0.2">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row>
    <row r="978" spans="1:28" x14ac:dyDescent="0.2">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row>
    <row r="979" spans="1:28" x14ac:dyDescent="0.2">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row>
    <row r="980" spans="1:28" x14ac:dyDescent="0.2">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row>
    <row r="981" spans="1:28" x14ac:dyDescent="0.2">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row>
    <row r="982" spans="1:28" x14ac:dyDescent="0.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row>
    <row r="983" spans="1:28" x14ac:dyDescent="0.2">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row>
    <row r="984" spans="1:28" x14ac:dyDescent="0.2">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row>
    <row r="985" spans="1:28" x14ac:dyDescent="0.2">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row>
    <row r="986" spans="1:28" x14ac:dyDescent="0.2">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row>
    <row r="987" spans="1:28" x14ac:dyDescent="0.2">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row>
    <row r="988" spans="1:28" x14ac:dyDescent="0.2">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row>
    <row r="989" spans="1:28" x14ac:dyDescent="0.2">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row>
    <row r="990" spans="1:28" x14ac:dyDescent="0.2">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row>
    <row r="991" spans="1:28" x14ac:dyDescent="0.2">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row>
    <row r="992" spans="1:28" x14ac:dyDescent="0.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row>
    <row r="993" spans="1:28" x14ac:dyDescent="0.2">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row>
    <row r="994" spans="1:28" x14ac:dyDescent="0.2">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row>
    <row r="995" spans="1:28" x14ac:dyDescent="0.2">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row>
    <row r="996" spans="1:28" x14ac:dyDescent="0.2">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row>
    <row r="997" spans="1:28" x14ac:dyDescent="0.2">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row>
    <row r="998" spans="1:28" x14ac:dyDescent="0.2">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row>
    <row r="999" spans="1:28" x14ac:dyDescent="0.2">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row>
    <row r="1000" spans="1:28" x14ac:dyDescent="0.2">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Holdings</vt:lpstr>
      <vt:lpstr>Raw IBKR Pull</vt:lpstr>
      <vt:lpstr>Sector Metrics</vt:lpstr>
      <vt:lpstr>Industry Metrics</vt:lpstr>
      <vt:lpstr>Industry Metrics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2021-07-16T23:03:10Z</dcterms:created>
  <dcterms:modified xsi:type="dcterms:W3CDTF">2022-01-11T16:18:38Z</dcterms:modified>
</cp:coreProperties>
</file>