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projects\ebegu-server\src\test\java\ch\dvbern\ebegu\rechner\"/>
    </mc:Choice>
  </mc:AlternateContent>
  <xr:revisionPtr revIDLastSave="0" documentId="13_ncr:1_{04ABF27E-B9EA-4DFF-9AF6-E884C44E7146}" xr6:coauthVersionLast="47" xr6:coauthVersionMax="47" xr10:uidLastSave="{00000000-0000-0000-0000-000000000000}"/>
  <bookViews>
    <workbookView xWindow="-108" yWindow="-108" windowWidth="23256" windowHeight="14016" activeTab="2" xr2:uid="{00000000-000D-0000-FFFF-FFFF00000000}"/>
  </bookViews>
  <sheets>
    <sheet name="Kita" sheetId="8" r:id="rId1"/>
    <sheet name="Tagesfamilien" sheetId="9" r:id="rId2"/>
    <sheet name="Tagesfamilien Neu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8" i="10" l="1"/>
  <c r="E48" i="10"/>
  <c r="F48" i="10"/>
  <c r="G48" i="10"/>
  <c r="I48" i="10"/>
  <c r="J48" i="10"/>
  <c r="C48" i="10"/>
  <c r="E44" i="10"/>
  <c r="E41" i="10"/>
  <c r="E43" i="10"/>
  <c r="E15" i="10"/>
  <c r="E34" i="10"/>
  <c r="E38" i="10" s="1"/>
  <c r="E40" i="10" s="1"/>
  <c r="E49" i="10" s="1"/>
  <c r="G34" i="10"/>
  <c r="I34" i="10"/>
  <c r="J34" i="10"/>
  <c r="J38" i="10" s="1"/>
  <c r="J40" i="10" s="1"/>
  <c r="J49" i="10" s="1"/>
  <c r="E35" i="10"/>
  <c r="G35" i="10"/>
  <c r="I35" i="10"/>
  <c r="J35" i="10"/>
  <c r="E36" i="10"/>
  <c r="G36" i="10"/>
  <c r="G37" i="10" s="1"/>
  <c r="I36" i="10"/>
  <c r="I37" i="10" s="1"/>
  <c r="J36" i="10"/>
  <c r="J37" i="10" s="1"/>
  <c r="E37" i="10"/>
  <c r="E42" i="10"/>
  <c r="E47" i="10" s="1"/>
  <c r="G42" i="10"/>
  <c r="G47" i="10" s="1"/>
  <c r="I42" i="10"/>
  <c r="J42" i="10"/>
  <c r="E46" i="10"/>
  <c r="G46" i="10"/>
  <c r="I46" i="10"/>
  <c r="J46" i="10"/>
  <c r="C49" i="10"/>
  <c r="C47" i="10"/>
  <c r="C41" i="10"/>
  <c r="C53" i="8"/>
  <c r="C46" i="10"/>
  <c r="C44" i="10"/>
  <c r="C50" i="10" s="1"/>
  <c r="C42" i="10"/>
  <c r="C43" i="10" s="1"/>
  <c r="J47" i="10" l="1"/>
  <c r="I47" i="10"/>
  <c r="J41" i="10"/>
  <c r="J43" i="10" s="1"/>
  <c r="J44" i="10" s="1"/>
  <c r="J50" i="10" s="1"/>
  <c r="G38" i="10"/>
  <c r="G40" i="10" s="1"/>
  <c r="G49" i="10" s="1"/>
  <c r="I38" i="10"/>
  <c r="I40" i="10" s="1"/>
  <c r="I49" i="10" s="1"/>
  <c r="E50" i="10"/>
  <c r="J14" i="10"/>
  <c r="J15" i="10"/>
  <c r="J29" i="10"/>
  <c r="J26" i="10" s="1"/>
  <c r="I29" i="10"/>
  <c r="I26" i="10" s="1"/>
  <c r="I15" i="10"/>
  <c r="I14" i="10"/>
  <c r="G29" i="10"/>
  <c r="G26" i="10" s="1"/>
  <c r="G15" i="10"/>
  <c r="G14" i="10"/>
  <c r="C24" i="9"/>
  <c r="C26" i="8"/>
  <c r="C36" i="10"/>
  <c r="A36" i="10"/>
  <c r="C35" i="10"/>
  <c r="A35" i="10"/>
  <c r="E29" i="10"/>
  <c r="E26" i="10" s="1"/>
  <c r="C29" i="10"/>
  <c r="C26" i="10" s="1"/>
  <c r="C15" i="10"/>
  <c r="E14" i="10"/>
  <c r="C14" i="10"/>
  <c r="C43" i="8"/>
  <c r="G41" i="10" l="1"/>
  <c r="G43" i="10" s="1"/>
  <c r="G44" i="10" s="1"/>
  <c r="G50" i="10" s="1"/>
  <c r="I41" i="10"/>
  <c r="I43" i="10" s="1"/>
  <c r="I44" i="10" s="1"/>
  <c r="I50" i="10" s="1"/>
  <c r="J28" i="10"/>
  <c r="J27" i="10"/>
  <c r="I28" i="10"/>
  <c r="I27" i="10"/>
  <c r="G27" i="10"/>
  <c r="G28" i="10"/>
  <c r="E28" i="10"/>
  <c r="E27" i="10"/>
  <c r="T37" i="8"/>
  <c r="T25" i="8"/>
  <c r="T29" i="8"/>
  <c r="T26" i="8" s="1"/>
  <c r="T31" i="8"/>
  <c r="T32" i="8" s="1"/>
  <c r="T34" i="8" s="1"/>
  <c r="T43" i="8" s="1"/>
  <c r="T38" i="8"/>
  <c r="T39" i="8"/>
  <c r="T46" i="8"/>
  <c r="T47" i="8"/>
  <c r="M37" i="8"/>
  <c r="N37" i="8"/>
  <c r="P37" i="8"/>
  <c r="R47" i="8"/>
  <c r="R46" i="8"/>
  <c r="R39" i="8"/>
  <c r="R38" i="8"/>
  <c r="R31" i="8"/>
  <c r="R32" i="8" s="1"/>
  <c r="R34" i="8" s="1"/>
  <c r="R29" i="8"/>
  <c r="R26" i="8" s="1"/>
  <c r="R37" i="8" s="1"/>
  <c r="R25" i="8"/>
  <c r="G47" i="8"/>
  <c r="G46" i="8"/>
  <c r="G39" i="8"/>
  <c r="G38" i="8"/>
  <c r="G31" i="8"/>
  <c r="G32" i="8" s="1"/>
  <c r="G34" i="8" s="1"/>
  <c r="G29" i="8"/>
  <c r="G26" i="8" s="1"/>
  <c r="G37" i="8" s="1"/>
  <c r="G25" i="8"/>
  <c r="P25" i="8"/>
  <c r="P29" i="8"/>
  <c r="P26" i="8" s="1"/>
  <c r="P31" i="8"/>
  <c r="P32" i="8" s="1"/>
  <c r="P34" i="8" s="1"/>
  <c r="P38" i="8"/>
  <c r="P39" i="8"/>
  <c r="P46" i="8"/>
  <c r="P47" i="8"/>
  <c r="N47" i="8"/>
  <c r="N46" i="8"/>
  <c r="N39" i="8"/>
  <c r="N38" i="8"/>
  <c r="N31" i="8"/>
  <c r="N32" i="8" s="1"/>
  <c r="N34" i="8" s="1"/>
  <c r="N29" i="8"/>
  <c r="N26" i="8" s="1"/>
  <c r="N25" i="8"/>
  <c r="C25" i="8"/>
  <c r="C31" i="8"/>
  <c r="C29" i="8"/>
  <c r="C38" i="8" s="1"/>
  <c r="K25" i="8"/>
  <c r="I25" i="8"/>
  <c r="E25" i="8"/>
  <c r="E46" i="8"/>
  <c r="T48" i="8" l="1"/>
  <c r="T27" i="8"/>
  <c r="T40" i="8"/>
  <c r="T41" i="8" s="1"/>
  <c r="T28" i="8"/>
  <c r="R43" i="8"/>
  <c r="R48" i="8"/>
  <c r="R40" i="8"/>
  <c r="R41" i="8" s="1"/>
  <c r="R27" i="8"/>
  <c r="R28" i="8"/>
  <c r="G27" i="8"/>
  <c r="G28" i="8"/>
  <c r="G40" i="8"/>
  <c r="G41" i="8" s="1"/>
  <c r="G43" i="8"/>
  <c r="G48" i="8"/>
  <c r="P48" i="8"/>
  <c r="P27" i="8"/>
  <c r="P28" i="8"/>
  <c r="P40" i="8"/>
  <c r="P41" i="8" s="1"/>
  <c r="P42" i="8" s="1"/>
  <c r="P43" i="8"/>
  <c r="N27" i="8"/>
  <c r="N28" i="8"/>
  <c r="N43" i="8"/>
  <c r="N40" i="8"/>
  <c r="N41" i="8" s="1"/>
  <c r="N42" i="8" s="1"/>
  <c r="N54" i="8" s="1"/>
  <c r="N48" i="8"/>
  <c r="N53" i="8" s="1"/>
  <c r="C28" i="8"/>
  <c r="K47" i="8"/>
  <c r="K46" i="8"/>
  <c r="K31" i="8"/>
  <c r="K29" i="8"/>
  <c r="K26" i="8" s="1"/>
  <c r="K37" i="8" s="1"/>
  <c r="K28" i="8"/>
  <c r="K39" i="8" s="1"/>
  <c r="K27" i="8"/>
  <c r="K38" i="8" s="1"/>
  <c r="E47" i="8"/>
  <c r="E39" i="8"/>
  <c r="E31" i="8"/>
  <c r="E29" i="8"/>
  <c r="E26" i="8" s="1"/>
  <c r="E37" i="8" s="1"/>
  <c r="T53" i="8" l="1"/>
  <c r="C27" i="8"/>
  <c r="T42" i="8"/>
  <c r="T54" i="8" s="1"/>
  <c r="R42" i="8"/>
  <c r="R54" i="8" s="1"/>
  <c r="R53" i="8"/>
  <c r="G42" i="8"/>
  <c r="G54" i="8" s="1"/>
  <c r="G53" i="8"/>
  <c r="E32" i="8"/>
  <c r="E34" i="8" s="1"/>
  <c r="P53" i="8"/>
  <c r="K32" i="8"/>
  <c r="K34" i="8" s="1"/>
  <c r="P54" i="8"/>
  <c r="N44" i="8"/>
  <c r="N55" i="8" s="1"/>
  <c r="N56" i="8" s="1"/>
  <c r="K40" i="8"/>
  <c r="E27" i="8"/>
  <c r="E38" i="8" s="1"/>
  <c r="E40" i="8" s="1"/>
  <c r="E28" i="8"/>
  <c r="T44" i="8" l="1"/>
  <c r="E48" i="8"/>
  <c r="E43" i="8"/>
  <c r="E41" i="8"/>
  <c r="E42" i="8" s="1"/>
  <c r="E54" i="8" s="1"/>
  <c r="R44" i="8"/>
  <c r="G44" i="8"/>
  <c r="K43" i="8"/>
  <c r="K48" i="8"/>
  <c r="K41" i="8"/>
  <c r="K42" i="8" s="1"/>
  <c r="P44" i="8"/>
  <c r="P55" i="8" s="1"/>
  <c r="N45" i="8"/>
  <c r="N49" i="8" s="1"/>
  <c r="N50" i="8" s="1"/>
  <c r="K54" i="8"/>
  <c r="E44" i="9"/>
  <c r="C44" i="9"/>
  <c r="C45" i="9" s="1"/>
  <c r="E37" i="9"/>
  <c r="C37" i="9"/>
  <c r="A37" i="9"/>
  <c r="A36" i="9"/>
  <c r="E29" i="9"/>
  <c r="E30" i="9" s="1"/>
  <c r="E32" i="9" s="1"/>
  <c r="C29" i="9"/>
  <c r="C30" i="9" s="1"/>
  <c r="C32" i="9" s="1"/>
  <c r="E27" i="9"/>
  <c r="E24" i="9" s="1"/>
  <c r="C27" i="9"/>
  <c r="C35" i="9" s="1"/>
  <c r="T45" i="8" l="1"/>
  <c r="T49" i="8" s="1"/>
  <c r="T50" i="8" s="1"/>
  <c r="T55" i="8"/>
  <c r="T56" i="8" s="1"/>
  <c r="K53" i="8"/>
  <c r="K44" i="8"/>
  <c r="K45" i="8" s="1"/>
  <c r="K49" i="8" s="1"/>
  <c r="K50" i="8" s="1"/>
  <c r="E53" i="8"/>
  <c r="E44" i="8"/>
  <c r="E45" i="8" s="1"/>
  <c r="E49" i="8" s="1"/>
  <c r="E50" i="8" s="1"/>
  <c r="R55" i="8"/>
  <c r="R56" i="8" s="1"/>
  <c r="R45" i="8"/>
  <c r="R49" i="8" s="1"/>
  <c r="R50" i="8" s="1"/>
  <c r="G45" i="8"/>
  <c r="G49" i="8" s="1"/>
  <c r="G50" i="8" s="1"/>
  <c r="G55" i="8"/>
  <c r="G56" i="8" s="1"/>
  <c r="P56" i="8"/>
  <c r="P45" i="8"/>
  <c r="P49" i="8" s="1"/>
  <c r="P50" i="8" s="1"/>
  <c r="E45" i="9"/>
  <c r="E26" i="9"/>
  <c r="E35" i="9"/>
  <c r="E25" i="9"/>
  <c r="E36" i="9"/>
  <c r="C41" i="9"/>
  <c r="E41" i="9"/>
  <c r="C46" i="8"/>
  <c r="K55" i="8" l="1"/>
  <c r="K56" i="8" s="1"/>
  <c r="E55" i="8"/>
  <c r="E56" i="8" s="1"/>
  <c r="C26" i="9"/>
  <c r="C25" i="9"/>
  <c r="C36" i="9" s="1"/>
  <c r="E38" i="9"/>
  <c r="E39" i="9" s="1"/>
  <c r="E40" i="9" s="1"/>
  <c r="E42" i="9" s="1"/>
  <c r="E43" i="9" s="1"/>
  <c r="E46" i="9" s="1"/>
  <c r="C39" i="8"/>
  <c r="C47" i="8"/>
  <c r="C32" i="8"/>
  <c r="C34" i="8" s="1"/>
  <c r="I31" i="8"/>
  <c r="I32" i="8" s="1"/>
  <c r="I47" i="8"/>
  <c r="A39" i="8"/>
  <c r="A38" i="8"/>
  <c r="I46" i="8"/>
  <c r="C38" i="9" l="1"/>
  <c r="C39" i="9" s="1"/>
  <c r="C40" i="9" s="1"/>
  <c r="C42" i="9" s="1"/>
  <c r="C43" i="9" s="1"/>
  <c r="C46" i="9" s="1"/>
  <c r="C48" i="8"/>
  <c r="I34" i="8" l="1"/>
  <c r="I29" i="8"/>
  <c r="I26" i="8" l="1"/>
  <c r="I37" i="8" s="1"/>
  <c r="I43" i="8"/>
  <c r="I48" i="8"/>
  <c r="I28" i="8" l="1"/>
  <c r="I39" i="8" s="1"/>
  <c r="I27" i="8"/>
  <c r="I38" i="8"/>
  <c r="C40" i="8" l="1"/>
  <c r="C41" i="8" s="1"/>
  <c r="I40" i="8"/>
  <c r="I41" i="8" s="1"/>
  <c r="I53" i="8" s="1"/>
  <c r="C42" i="8" l="1"/>
  <c r="I42" i="8"/>
  <c r="C44" i="8" l="1"/>
  <c r="C55" i="8" s="1"/>
  <c r="C54" i="8"/>
  <c r="C56" i="8" s="1"/>
  <c r="I44" i="8"/>
  <c r="I54" i="8"/>
  <c r="I45" i="8" l="1"/>
  <c r="I49" i="8" s="1"/>
  <c r="I50" i="8" s="1"/>
  <c r="I55" i="8"/>
  <c r="I56" i="8" s="1"/>
  <c r="C45" i="8"/>
  <c r="C49" i="8" s="1"/>
  <c r="C50" i="8" s="1"/>
  <c r="C28" i="10" l="1"/>
  <c r="C27" i="10"/>
  <c r="C34" i="10"/>
  <c r="C38" i="10" l="1"/>
  <c r="C40" i="10" s="1"/>
  <c r="C37" i="10"/>
</calcChain>
</file>

<file path=xl/sharedStrings.xml><?xml version="1.0" encoding="utf-8"?>
<sst xmlns="http://schemas.openxmlformats.org/spreadsheetml/2006/main" count="236" uniqueCount="87">
  <si>
    <t>Minimaltarif</t>
  </si>
  <si>
    <t>Kleinkind</t>
  </si>
  <si>
    <t>Säuglinge</t>
  </si>
  <si>
    <t>Vollkostentarif</t>
  </si>
  <si>
    <t>Einkommensabhängige Faktoren</t>
  </si>
  <si>
    <t>Tarife</t>
  </si>
  <si>
    <t>Obergrenze</t>
  </si>
  <si>
    <t>Selbstbehalt der Eltern</t>
  </si>
  <si>
    <t>Eingabe massgebendes Einkommen</t>
  </si>
  <si>
    <t>z</t>
  </si>
  <si>
    <t>Geschwisterbonus 2. Kind</t>
  </si>
  <si>
    <t>Geschwisterbonus 3. Kind</t>
  </si>
  <si>
    <t>Wochen pro Monat</t>
  </si>
  <si>
    <t>Eingabe Betreuungspensum</t>
  </si>
  <si>
    <t>Betreuungstage pro Woche</t>
  </si>
  <si>
    <t>KitaPlus Tarif (unabhängig von Einkommen)</t>
  </si>
  <si>
    <t>Untergrenze (maximaler BG)</t>
  </si>
  <si>
    <t>Selbstbehalt der Eltern * 50% * Vollkostentarif</t>
  </si>
  <si>
    <t>Selbstbehalt der Eltern * 70% * Vollkostentarif</t>
  </si>
  <si>
    <t xml:space="preserve">Minimaltarif / Vollkostentarif + (z * (massgebendes Einkommen - Untergrenze))
</t>
  </si>
  <si>
    <t>1-(minimaltarif / Vollkostentarif) / (Obergrenze - Untergrenze)</t>
  </si>
  <si>
    <t>Berechnungen</t>
  </si>
  <si>
    <t>Eingabe Zuschlag pro Tag</t>
  </si>
  <si>
    <t>Gutscheinhöhe pro Tag aufgrund Einkommen</t>
  </si>
  <si>
    <t>Tage pro Monat</t>
  </si>
  <si>
    <t>KitaPlus Zuschlag</t>
  </si>
  <si>
    <t>Geschwisternbonus 2. Kind</t>
  </si>
  <si>
    <t>Geschwisternbonus 3. Kind</t>
  </si>
  <si>
    <t>Zuschlag pro Tag</t>
  </si>
  <si>
    <t>KitaPlus Tarif</t>
  </si>
  <si>
    <t>Anspruchsberechtiges Betreuungspensum</t>
  </si>
  <si>
    <t>BG Pensum</t>
  </si>
  <si>
    <t>Stunden pro Monat</t>
  </si>
  <si>
    <t>Differenz Vollkosten und Gutschein</t>
  </si>
  <si>
    <t>Wenn Differenz Vollkosten und Gutschein &lt; Minimaler Selbstbehalt, wird zusätzlicher Selbstbehalt abgezogen.</t>
  </si>
  <si>
    <t>BG Rechner Kita ab 01.01.2022</t>
  </si>
  <si>
    <t>Minimaler Selbstbehalt</t>
  </si>
  <si>
    <t>Total Zuschläge pro Monat</t>
  </si>
  <si>
    <t>Bei 2. Kind WAHR eintragen. Beim ältesten Kind immer FALSCH</t>
  </si>
  <si>
    <t>Bei 3. Kind WAHR eintragen. Beim ältesten und 2. ältesten Kind immer FALSCH</t>
  </si>
  <si>
    <t>Zusätzlicher Selbstbehalt</t>
  </si>
  <si>
    <t>Gutschein pro Monat vor Zuschläge, vor Selbstbehalt</t>
  </si>
  <si>
    <t>Gutschein Pro Tag vor Zuschläge, vor Selbstbehalt</t>
  </si>
  <si>
    <t>Gutschein pro Monat vor Zuschläge</t>
  </si>
  <si>
    <t>Gutschein pro Monat</t>
  </si>
  <si>
    <t>Monatliche Vollkosten (ohne besondere Bedürfnisse / KitaPlus)</t>
  </si>
  <si>
    <t>Eingabe</t>
  </si>
  <si>
    <t>Total</t>
  </si>
  <si>
    <t>Eingabefelder</t>
  </si>
  <si>
    <t xml:space="preserve">Fr. </t>
  </si>
  <si>
    <t>BG Rechner Tagesfamilien ab 01.01.2022</t>
  </si>
  <si>
    <t>Eingabe Zuschlag erhöhter Betreuungsbedarf pro Tag</t>
  </si>
  <si>
    <t>Minimaler Auszahlungsbetrag</t>
  </si>
  <si>
    <t>Minimaler Betreuungsgutschein</t>
  </si>
  <si>
    <t>-</t>
  </si>
  <si>
    <t>Säugling</t>
  </si>
  <si>
    <t>Geschwisterbonus</t>
  </si>
  <si>
    <t>Monatliche Vollkosten (gekürzt)</t>
  </si>
  <si>
    <t>Abzüglich minimaler Elternbeitrag</t>
  </si>
  <si>
    <t>An Institution/Eltern überwiesener Betrag</t>
  </si>
  <si>
    <t>Gutscheinbetrag gemäss Formel in CHF  (VergOhneBeruecksichtigungVollkosten)</t>
  </si>
  <si>
    <t>Betreuungsgutschein in CHF (VergOhneBeruecksichtigungMinimalbetrag)</t>
  </si>
  <si>
    <t>maximal maximaler Gutschein</t>
  </si>
  <si>
    <t>Öffnungstage TFO</t>
  </si>
  <si>
    <t>Öffnungsstunden TFO</t>
  </si>
  <si>
    <t>Stündliche Vollkosten (ohne besondere Bedürfnisse / KitaPlus)</t>
  </si>
  <si>
    <t>Anzahl Stunden pro Monat (rückwirkende Eingabe)</t>
  </si>
  <si>
    <t>Std</t>
  </si>
  <si>
    <t>Anzahl Stunden pro Monat Anspruch</t>
  </si>
  <si>
    <t>Eingabe Zuschlag pro Stunde</t>
  </si>
  <si>
    <t>Betreuungspensum in Prozent (für Tests)</t>
  </si>
  <si>
    <t>Öffnungstage / 12 * Öffnungsstunden = 100% pensum</t>
  </si>
  <si>
    <t>Anspruchspensum in Prozent (für Tests)</t>
  </si>
  <si>
    <t>Gutscheinhöhe pro Stunde aufgrund Einkommen</t>
  </si>
  <si>
    <t>Gutschein Pro Stunde vor Zuschläge, vor Selbstbehalt</t>
  </si>
  <si>
    <t>Gutschein pro Stunde</t>
  </si>
  <si>
    <t>Vollkosten</t>
  </si>
  <si>
    <t>Kind 1</t>
  </si>
  <si>
    <t>Baby 1</t>
  </si>
  <si>
    <t>Kind 2</t>
  </si>
  <si>
    <t>Baby 2</t>
  </si>
  <si>
    <t>Kind 3</t>
  </si>
  <si>
    <t>Zusätzlicher Selbstbehalt pro Tag</t>
  </si>
  <si>
    <t>Differenz Vollkosten und Gutschein (pro Stunde)</t>
  </si>
  <si>
    <t>Minimaler Selbstbehalt (pro Stunde)</t>
  </si>
  <si>
    <t>Gutschein pro Stunde vor Zuschläge</t>
  </si>
  <si>
    <t>Zuschlag pro Stunde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</si>
</sst>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00000000"/>
    <numFmt numFmtId="165" formatCode="0.0000%"/>
    <numFmt numFmtId="166" formatCode="#,##0.0"/>
    <numFmt numFmtId="167" formatCode="0.000000"/>
  </numFmts>
  <fonts count="1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rgb="FF3F3F76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  <font>
      <b/>
      <sz val="10"/>
      <color theme="0"/>
      <name val="Arial"/>
      <family val="2"/>
    </font>
    <font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499984740745262"/>
      </left>
      <right style="thin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2" borderId="2" applyNumberFormat="0" applyAlignment="0" applyProtection="0"/>
  </cellStyleXfs>
  <cellXfs count="140">
    <xf numFmtId="0" fontId="0" fillId="0" borderId="0" xfId="0"/>
    <xf numFmtId="0" fontId="2" fillId="0" borderId="0" xfId="0" applyFont="1"/>
    <xf numFmtId="0" fontId="0" fillId="0" borderId="3" xfId="0" applyBorder="1"/>
    <xf numFmtId="0" fontId="7" fillId="0" borderId="0" xfId="0" applyFont="1"/>
    <xf numFmtId="3" fontId="4" fillId="6" borderId="3" xfId="2" applyNumberFormat="1" applyFill="1" applyBorder="1" applyAlignment="1" applyProtection="1">
      <protection locked="0"/>
    </xf>
    <xf numFmtId="3" fontId="4" fillId="6" borderId="4" xfId="2" applyNumberFormat="1" applyFill="1" applyBorder="1" applyAlignment="1" applyProtection="1">
      <protection locked="0"/>
    </xf>
    <xf numFmtId="9" fontId="4" fillId="6" borderId="3" xfId="1" applyFont="1" applyFill="1" applyBorder="1" applyAlignment="1" applyProtection="1">
      <protection locked="0"/>
    </xf>
    <xf numFmtId="9" fontId="4" fillId="6" borderId="4" xfId="1" applyFont="1" applyFill="1" applyBorder="1" applyAlignment="1" applyProtection="1">
      <protection locked="0"/>
    </xf>
    <xf numFmtId="3" fontId="4" fillId="6" borderId="3" xfId="2" applyNumberFormat="1" applyFill="1" applyBorder="1" applyProtection="1">
      <protection locked="0"/>
    </xf>
    <xf numFmtId="4" fontId="4" fillId="6" borderId="4" xfId="2" applyNumberFormat="1" applyFill="1" applyBorder="1" applyProtection="1">
      <protection locked="0"/>
    </xf>
    <xf numFmtId="0" fontId="7" fillId="0" borderId="0" xfId="0" applyFont="1" applyProtection="1"/>
    <xf numFmtId="0" fontId="0" fillId="0" borderId="0" xfId="0" applyProtection="1"/>
    <xf numFmtId="3" fontId="4" fillId="6" borderId="3" xfId="2" applyNumberFormat="1" applyFill="1" applyBorder="1" applyAlignment="1" applyProtection="1"/>
    <xf numFmtId="0" fontId="2" fillId="0" borderId="3" xfId="0" applyFont="1" applyBorder="1" applyAlignment="1" applyProtection="1">
      <alignment horizontal="right"/>
    </xf>
    <xf numFmtId="0" fontId="2" fillId="0" borderId="4" xfId="0" applyFont="1" applyBorder="1" applyAlignment="1" applyProtection="1">
      <alignment horizontal="right"/>
    </xf>
    <xf numFmtId="0" fontId="0" fillId="0" borderId="4" xfId="0" applyBorder="1" applyProtection="1"/>
    <xf numFmtId="0" fontId="0" fillId="5" borderId="0" xfId="0" applyFont="1" applyFill="1" applyProtection="1"/>
    <xf numFmtId="0" fontId="0" fillId="5" borderId="0" xfId="0" applyFill="1" applyProtection="1"/>
    <xf numFmtId="0" fontId="0" fillId="5" borderId="3" xfId="0" applyFill="1" applyBorder="1" applyAlignment="1" applyProtection="1">
      <alignment horizontal="right"/>
    </xf>
    <xf numFmtId="0" fontId="0" fillId="5" borderId="4" xfId="0" applyFill="1" applyBorder="1" applyAlignment="1" applyProtection="1">
      <alignment horizontal="right"/>
    </xf>
    <xf numFmtId="0" fontId="0" fillId="5" borderId="4" xfId="0" applyFill="1" applyBorder="1" applyProtection="1"/>
    <xf numFmtId="0" fontId="3" fillId="0" borderId="0" xfId="0" applyFont="1" applyProtection="1"/>
    <xf numFmtId="0" fontId="0" fillId="3" borderId="0" xfId="0" applyFont="1" applyFill="1" applyAlignment="1" applyProtection="1">
      <alignment horizontal="left"/>
    </xf>
    <xf numFmtId="0" fontId="0" fillId="0" borderId="0" xfId="0" applyBorder="1" applyProtection="1"/>
    <xf numFmtId="0" fontId="0" fillId="3" borderId="0" xfId="0" applyFont="1" applyFill="1" applyBorder="1" applyProtection="1"/>
    <xf numFmtId="0" fontId="0" fillId="0" borderId="3" xfId="0" applyBorder="1" applyProtection="1"/>
    <xf numFmtId="0" fontId="0" fillId="0" borderId="0" xfId="0" applyAlignment="1" applyProtection="1">
      <alignment wrapText="1"/>
    </xf>
    <xf numFmtId="3" fontId="0" fillId="0" borderId="3" xfId="0" applyNumberFormat="1" applyBorder="1" applyProtection="1"/>
    <xf numFmtId="3" fontId="0" fillId="0" borderId="4" xfId="0" applyNumberFormat="1" applyBorder="1" applyProtection="1"/>
    <xf numFmtId="4" fontId="0" fillId="0" borderId="4" xfId="0" applyNumberFormat="1" applyBorder="1" applyProtection="1"/>
    <xf numFmtId="0" fontId="5" fillId="3" borderId="0" xfId="0" applyFont="1" applyFill="1" applyProtection="1"/>
    <xf numFmtId="10" fontId="0" fillId="0" borderId="3" xfId="1" applyNumberFormat="1" applyFont="1" applyBorder="1" applyProtection="1"/>
    <xf numFmtId="0" fontId="5" fillId="3" borderId="4" xfId="0" applyFont="1" applyFill="1" applyBorder="1" applyProtection="1"/>
    <xf numFmtId="0" fontId="5" fillId="3" borderId="1" xfId="0" applyFont="1" applyFill="1" applyBorder="1" applyAlignment="1" applyProtection="1"/>
    <xf numFmtId="0" fontId="0" fillId="0" borderId="0" xfId="0" applyFont="1" applyProtection="1"/>
    <xf numFmtId="2" fontId="0" fillId="0" borderId="3" xfId="1" applyNumberFormat="1" applyFont="1" applyBorder="1" applyProtection="1"/>
    <xf numFmtId="0" fontId="0" fillId="3" borderId="0" xfId="0" applyFont="1" applyFill="1" applyProtection="1"/>
    <xf numFmtId="0" fontId="0" fillId="0" borderId="0" xfId="0" applyFill="1" applyProtection="1"/>
    <xf numFmtId="164" fontId="6" fillId="0" borderId="3" xfId="0" applyNumberFormat="1" applyFont="1" applyBorder="1" applyProtection="1"/>
    <xf numFmtId="0" fontId="6" fillId="0" borderId="4" xfId="0" applyFont="1" applyBorder="1" applyProtection="1"/>
    <xf numFmtId="2" fontId="0" fillId="0" borderId="3" xfId="0" applyNumberFormat="1" applyFont="1" applyBorder="1" applyProtection="1"/>
    <xf numFmtId="2" fontId="0" fillId="0" borderId="4" xfId="0" applyNumberFormat="1" applyFont="1" applyBorder="1" applyProtection="1"/>
    <xf numFmtId="4" fontId="0" fillId="0" borderId="0" xfId="0" applyNumberFormat="1" applyProtection="1"/>
    <xf numFmtId="0" fontId="0" fillId="0" borderId="0" xfId="0" applyFont="1" applyAlignment="1" applyProtection="1">
      <alignment wrapText="1"/>
    </xf>
    <xf numFmtId="0" fontId="2" fillId="0" borderId="0" xfId="0" applyFont="1" applyProtection="1"/>
    <xf numFmtId="0" fontId="8" fillId="4" borderId="0" xfId="0" applyFont="1" applyFill="1" applyProtection="1"/>
    <xf numFmtId="2" fontId="8" fillId="4" borderId="3" xfId="0" applyNumberFormat="1" applyFont="1" applyFill="1" applyBorder="1" applyProtection="1"/>
    <xf numFmtId="2" fontId="8" fillId="4" borderId="4" xfId="0" applyNumberFormat="1" applyFont="1" applyFill="1" applyBorder="1" applyProtection="1"/>
    <xf numFmtId="3" fontId="4" fillId="0" borderId="0" xfId="2" applyNumberFormat="1" applyFill="1" applyBorder="1" applyAlignment="1" applyProtection="1"/>
    <xf numFmtId="0" fontId="3" fillId="0" borderId="0" xfId="0" applyFont="1" applyFill="1" applyProtection="1"/>
    <xf numFmtId="0" fontId="0" fillId="0" borderId="3" xfId="0" applyFill="1" applyBorder="1" applyProtection="1"/>
    <xf numFmtId="0" fontId="0" fillId="0" borderId="4" xfId="0" applyFill="1" applyBorder="1" applyProtection="1"/>
    <xf numFmtId="0" fontId="6" fillId="0" borderId="0" xfId="0" applyFont="1" applyAlignment="1" applyProtection="1"/>
    <xf numFmtId="165" fontId="0" fillId="0" borderId="3" xfId="1" applyNumberFormat="1" applyFont="1" applyBorder="1" applyProtection="1"/>
    <xf numFmtId="0" fontId="2" fillId="0" borderId="4" xfId="0" applyFont="1" applyBorder="1" applyProtection="1"/>
    <xf numFmtId="2" fontId="0" fillId="0" borderId="0" xfId="0" applyNumberFormat="1" applyProtection="1"/>
    <xf numFmtId="1" fontId="0" fillId="0" borderId="0" xfId="0" applyNumberFormat="1" applyProtection="1"/>
    <xf numFmtId="1" fontId="5" fillId="3" borderId="3" xfId="1" applyNumberFormat="1" applyFont="1" applyFill="1" applyBorder="1" applyAlignment="1" applyProtection="1">
      <protection locked="0"/>
    </xf>
    <xf numFmtId="9" fontId="5" fillId="3" borderId="4" xfId="1" applyFont="1" applyFill="1" applyBorder="1" applyAlignment="1" applyProtection="1">
      <protection locked="0"/>
    </xf>
    <xf numFmtId="2" fontId="0" fillId="0" borderId="0" xfId="0" applyNumberFormat="1"/>
    <xf numFmtId="0" fontId="2" fillId="0" borderId="0" xfId="0" applyFont="1" applyBorder="1" applyAlignment="1" applyProtection="1">
      <alignment horizontal="right"/>
    </xf>
    <xf numFmtId="0" fontId="0" fillId="5" borderId="0" xfId="0" applyFill="1" applyBorder="1" applyAlignment="1" applyProtection="1">
      <alignment horizontal="right"/>
    </xf>
    <xf numFmtId="3" fontId="4" fillId="6" borderId="0" xfId="2" applyNumberFormat="1" applyFill="1" applyBorder="1" applyAlignment="1" applyProtection="1">
      <protection locked="0"/>
    </xf>
    <xf numFmtId="9" fontId="4" fillId="6" borderId="0" xfId="1" applyFont="1" applyFill="1" applyBorder="1" applyAlignment="1" applyProtection="1">
      <protection locked="0"/>
    </xf>
    <xf numFmtId="3" fontId="0" fillId="0" borderId="0" xfId="0" applyNumberFormat="1" applyBorder="1" applyProtection="1"/>
    <xf numFmtId="9" fontId="4" fillId="3" borderId="0" xfId="1" applyFont="1" applyFill="1" applyBorder="1" applyAlignment="1" applyProtection="1">
      <protection locked="0"/>
    </xf>
    <xf numFmtId="0" fontId="5" fillId="3" borderId="0" xfId="0" applyFont="1" applyFill="1" applyBorder="1" applyProtection="1"/>
    <xf numFmtId="0" fontId="6" fillId="0" borderId="0" xfId="0" applyFont="1" applyBorder="1" applyProtection="1"/>
    <xf numFmtId="2" fontId="0" fillId="0" borderId="0" xfId="0" applyNumberFormat="1" applyFont="1" applyBorder="1" applyProtection="1"/>
    <xf numFmtId="2" fontId="8" fillId="4" borderId="0" xfId="0" applyNumberFormat="1" applyFont="1" applyFill="1" applyBorder="1" applyProtection="1"/>
    <xf numFmtId="1" fontId="5" fillId="3" borderId="0" xfId="1" applyNumberFormat="1" applyFont="1" applyFill="1" applyBorder="1" applyAlignment="1" applyProtection="1">
      <protection locked="0"/>
    </xf>
    <xf numFmtId="165" fontId="0" fillId="0" borderId="0" xfId="1" applyNumberFormat="1" applyFont="1" applyBorder="1" applyProtection="1"/>
    <xf numFmtId="2" fontId="0" fillId="0" borderId="0" xfId="1" applyNumberFormat="1" applyFont="1" applyBorder="1" applyProtection="1"/>
    <xf numFmtId="164" fontId="6" fillId="0" borderId="0" xfId="0" applyNumberFormat="1" applyFont="1" applyBorder="1" applyProtection="1"/>
    <xf numFmtId="10" fontId="0" fillId="0" borderId="0" xfId="1" applyNumberFormat="1" applyFont="1" applyBorder="1" applyProtection="1"/>
    <xf numFmtId="0" fontId="2" fillId="0" borderId="5" xfId="0" applyFont="1" applyBorder="1" applyAlignment="1" applyProtection="1">
      <alignment horizontal="right"/>
    </xf>
    <xf numFmtId="0" fontId="0" fillId="5" borderId="5" xfId="0" applyFill="1" applyBorder="1" applyAlignment="1" applyProtection="1">
      <alignment horizontal="right"/>
    </xf>
    <xf numFmtId="3" fontId="4" fillId="6" borderId="5" xfId="2" applyNumberFormat="1" applyFill="1" applyBorder="1" applyAlignment="1" applyProtection="1">
      <protection locked="0"/>
    </xf>
    <xf numFmtId="9" fontId="4" fillId="6" borderId="5" xfId="1" applyFont="1" applyFill="1" applyBorder="1" applyAlignment="1" applyProtection="1">
      <protection locked="0"/>
    </xf>
    <xf numFmtId="0" fontId="0" fillId="0" borderId="5" xfId="0" applyBorder="1" applyProtection="1"/>
    <xf numFmtId="3" fontId="0" fillId="0" borderId="5" xfId="0" applyNumberFormat="1" applyBorder="1" applyProtection="1"/>
    <xf numFmtId="1" fontId="5" fillId="3" borderId="5" xfId="1" applyNumberFormat="1" applyFont="1" applyFill="1" applyBorder="1" applyAlignment="1" applyProtection="1">
      <protection locked="0"/>
    </xf>
    <xf numFmtId="165" fontId="0" fillId="0" borderId="5" xfId="1" applyNumberFormat="1" applyFont="1" applyBorder="1" applyProtection="1"/>
    <xf numFmtId="2" fontId="0" fillId="0" borderId="5" xfId="1" applyNumberFormat="1" applyFont="1" applyBorder="1" applyProtection="1"/>
    <xf numFmtId="164" fontId="6" fillId="0" borderId="5" xfId="0" applyNumberFormat="1" applyFont="1" applyBorder="1" applyProtection="1"/>
    <xf numFmtId="10" fontId="0" fillId="0" borderId="5" xfId="1" applyNumberFormat="1" applyFont="1" applyBorder="1" applyProtection="1"/>
    <xf numFmtId="2" fontId="0" fillId="0" borderId="5" xfId="0" applyNumberFormat="1" applyFont="1" applyBorder="1" applyProtection="1"/>
    <xf numFmtId="0" fontId="2" fillId="0" borderId="6" xfId="0" applyFont="1" applyBorder="1" applyAlignment="1" applyProtection="1">
      <alignment horizontal="right"/>
    </xf>
    <xf numFmtId="0" fontId="0" fillId="5" borderId="6" xfId="0" applyFill="1" applyBorder="1" applyAlignment="1" applyProtection="1">
      <alignment horizontal="right"/>
    </xf>
    <xf numFmtId="3" fontId="4" fillId="6" borderId="6" xfId="2" applyNumberFormat="1" applyFill="1" applyBorder="1" applyAlignment="1" applyProtection="1">
      <protection locked="0"/>
    </xf>
    <xf numFmtId="9" fontId="4" fillId="6" borderId="6" xfId="1" applyFont="1" applyFill="1" applyBorder="1" applyAlignment="1" applyProtection="1">
      <protection locked="0"/>
    </xf>
    <xf numFmtId="0" fontId="0" fillId="0" borderId="6" xfId="0" applyBorder="1" applyProtection="1"/>
    <xf numFmtId="3" fontId="0" fillId="0" borderId="6" xfId="0" applyNumberFormat="1" applyBorder="1" applyProtection="1"/>
    <xf numFmtId="1" fontId="5" fillId="3" borderId="6" xfId="1" applyNumberFormat="1" applyFont="1" applyFill="1" applyBorder="1" applyAlignment="1" applyProtection="1">
      <protection locked="0"/>
    </xf>
    <xf numFmtId="165" fontId="0" fillId="0" borderId="6" xfId="1" applyNumberFormat="1" applyFont="1" applyBorder="1" applyProtection="1"/>
    <xf numFmtId="2" fontId="0" fillId="0" borderId="6" xfId="1" applyNumberFormat="1" applyFont="1" applyBorder="1" applyProtection="1"/>
    <xf numFmtId="164" fontId="6" fillId="0" borderId="6" xfId="0" applyNumberFormat="1" applyFont="1" applyBorder="1" applyProtection="1"/>
    <xf numFmtId="10" fontId="0" fillId="0" borderId="6" xfId="1" applyNumberFormat="1" applyFont="1" applyBorder="1" applyProtection="1"/>
    <xf numFmtId="2" fontId="0" fillId="0" borderId="6" xfId="0" applyNumberFormat="1" applyFont="1" applyBorder="1" applyProtection="1"/>
    <xf numFmtId="2" fontId="8" fillId="4" borderId="7" xfId="0" applyNumberFormat="1" applyFont="1" applyFill="1" applyBorder="1" applyProtection="1"/>
    <xf numFmtId="2" fontId="0" fillId="0" borderId="0" xfId="0" applyNumberFormat="1" applyBorder="1" applyProtection="1"/>
    <xf numFmtId="2" fontId="0" fillId="0" borderId="6" xfId="0" applyNumberFormat="1" applyBorder="1" applyProtection="1"/>
    <xf numFmtId="0" fontId="0" fillId="0" borderId="0" xfId="0" applyBorder="1"/>
    <xf numFmtId="2" fontId="0" fillId="0" borderId="0" xfId="0" applyNumberFormat="1" applyBorder="1"/>
    <xf numFmtId="165" fontId="0" fillId="0" borderId="0" xfId="0" applyNumberFormat="1" applyProtection="1"/>
    <xf numFmtId="9" fontId="0" fillId="0" borderId="0" xfId="0" applyNumberFormat="1" applyProtection="1"/>
    <xf numFmtId="0" fontId="0" fillId="0" borderId="0" xfId="1" applyNumberFormat="1" applyFont="1" applyProtection="1"/>
    <xf numFmtId="0" fontId="0" fillId="3" borderId="0" xfId="0" applyFill="1" applyAlignment="1">
      <alignment horizontal="left"/>
    </xf>
    <xf numFmtId="0" fontId="0" fillId="3" borderId="0" xfId="0" applyFill="1"/>
    <xf numFmtId="0" fontId="5" fillId="3" borderId="1" xfId="0" applyFont="1" applyFill="1" applyBorder="1" applyAlignment="1">
      <alignment horizontal="left"/>
    </xf>
    <xf numFmtId="0" fontId="6" fillId="0" borderId="0" xfId="0" applyFont="1"/>
    <xf numFmtId="0" fontId="2" fillId="0" borderId="3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0" fillId="0" borderId="4" xfId="0" applyBorder="1"/>
    <xf numFmtId="0" fontId="0" fillId="5" borderId="0" xfId="0" applyFill="1"/>
    <xf numFmtId="0" fontId="0" fillId="5" borderId="3" xfId="0" applyFill="1" applyBorder="1" applyAlignment="1">
      <alignment horizontal="right"/>
    </xf>
    <xf numFmtId="0" fontId="0" fillId="5" borderId="4" xfId="0" applyFill="1" applyBorder="1" applyAlignment="1">
      <alignment horizontal="right"/>
    </xf>
    <xf numFmtId="0" fontId="0" fillId="5" borderId="4" xfId="0" applyFill="1" applyBorder="1"/>
    <xf numFmtId="0" fontId="3" fillId="0" borderId="0" xfId="0" applyFont="1"/>
    <xf numFmtId="166" fontId="4" fillId="6" borderId="3" xfId="2" applyNumberFormat="1" applyFill="1" applyBorder="1" applyAlignment="1" applyProtection="1">
      <protection locked="0"/>
    </xf>
    <xf numFmtId="166" fontId="4" fillId="6" borderId="4" xfId="2" applyNumberFormat="1" applyFill="1" applyBorder="1" applyAlignment="1" applyProtection="1">
      <protection locked="0"/>
    </xf>
    <xf numFmtId="166" fontId="4" fillId="7" borderId="3" xfId="2" applyNumberFormat="1" applyFill="1" applyBorder="1" applyAlignment="1" applyProtection="1">
      <protection locked="0"/>
    </xf>
    <xf numFmtId="166" fontId="4" fillId="7" borderId="4" xfId="2" applyNumberFormat="1" applyFill="1" applyBorder="1" applyAlignment="1" applyProtection="1">
      <protection locked="0"/>
    </xf>
    <xf numFmtId="3" fontId="4" fillId="7" borderId="4" xfId="2" applyNumberFormat="1" applyFill="1" applyBorder="1" applyAlignment="1" applyProtection="1">
      <protection locked="0"/>
    </xf>
    <xf numFmtId="0" fontId="0" fillId="0" borderId="0" xfId="0" applyAlignment="1">
      <alignment wrapText="1"/>
    </xf>
    <xf numFmtId="3" fontId="0" fillId="0" borderId="3" xfId="0" applyNumberFormat="1" applyBorder="1"/>
    <xf numFmtId="3" fontId="0" fillId="0" borderId="4" xfId="0" applyNumberFormat="1" applyBorder="1"/>
    <xf numFmtId="4" fontId="0" fillId="0" borderId="4" xfId="0" applyNumberFormat="1" applyBorder="1"/>
    <xf numFmtId="0" fontId="5" fillId="3" borderId="0" xfId="0" applyFont="1" applyFill="1"/>
    <xf numFmtId="0" fontId="5" fillId="3" borderId="4" xfId="0" applyFont="1" applyFill="1" applyBorder="1"/>
    <xf numFmtId="0" fontId="5" fillId="3" borderId="1" xfId="0" applyFont="1" applyFill="1" applyBorder="1"/>
    <xf numFmtId="164" fontId="6" fillId="0" borderId="3" xfId="0" applyNumberFormat="1" applyFont="1" applyBorder="1"/>
    <xf numFmtId="0" fontId="6" fillId="0" borderId="4" xfId="0" applyFont="1" applyBorder="1"/>
    <xf numFmtId="2" fontId="0" fillId="0" borderId="3" xfId="0" applyNumberFormat="1" applyBorder="1"/>
    <xf numFmtId="0" fontId="8" fillId="4" borderId="0" xfId="0" applyFont="1" applyFill="1"/>
    <xf numFmtId="2" fontId="8" fillId="4" borderId="3" xfId="0" applyNumberFormat="1" applyFont="1" applyFill="1" applyBorder="1"/>
    <xf numFmtId="167" fontId="0" fillId="0" borderId="3" xfId="0" applyNumberFormat="1" applyBorder="1"/>
    <xf numFmtId="4" fontId="4" fillId="7" borderId="3" xfId="2" applyNumberFormat="1" applyFill="1" applyBorder="1" applyAlignment="1" applyProtection="1">
      <protection locked="0"/>
    </xf>
    <xf numFmtId="3" fontId="4" fillId="7" borderId="3" xfId="2" applyNumberFormat="1" applyFill="1" applyBorder="1" applyAlignment="1" applyProtection="1">
      <protection locked="0"/>
    </xf>
    <xf numFmtId="4" fontId="4" fillId="7" borderId="3" xfId="2" applyNumberFormat="1" applyFill="1" applyBorder="1" applyAlignment="1" applyProtection="1">
      <alignment horizontal="left" indent="3"/>
      <protection locked="0"/>
    </xf>
  </cellXfs>
  <cellStyles count="3">
    <cellStyle name="Eingabe" xfId="2" builtinId="20"/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7"/>
  <sheetViews>
    <sheetView showGridLines="0" topLeftCell="A16" zoomScale="115" zoomScaleNormal="115" workbookViewId="0">
      <selection activeCell="C55" sqref="C55"/>
    </sheetView>
  </sheetViews>
  <sheetFormatPr baseColWidth="10" defaultColWidth="11.42578125" defaultRowHeight="12.75" x14ac:dyDescent="0.2"/>
  <cols>
    <col min="1" max="1" width="50" style="11" customWidth="1"/>
    <col min="2" max="2" width="4.42578125" style="11" customWidth="1"/>
    <col min="3" max="3" width="16" style="11" customWidth="1"/>
    <col min="4" max="4" width="3" style="11" customWidth="1"/>
    <col min="5" max="5" width="16" style="11" customWidth="1"/>
    <col min="6" max="6" width="3" style="11" customWidth="1"/>
    <col min="7" max="7" width="16" style="11" customWidth="1"/>
    <col min="8" max="8" width="3" style="11" customWidth="1"/>
    <col min="9" max="9" width="16" style="11" customWidth="1"/>
    <col min="10" max="10" width="3" style="11" customWidth="1"/>
    <col min="11" max="11" width="16" style="11" customWidth="1"/>
    <col min="12" max="12" width="3" style="23" customWidth="1"/>
    <col min="13" max="13" width="0.42578125" style="11" customWidth="1"/>
    <col min="14" max="14" width="15.28515625" style="11" customWidth="1"/>
    <col min="15" max="15" width="3" style="11" customWidth="1"/>
    <col min="16" max="16" width="15.5703125" customWidth="1"/>
    <col min="17" max="17" width="3.5703125" style="11" customWidth="1"/>
    <col min="18" max="18" width="15.5703125" style="11" customWidth="1"/>
    <col min="19" max="19" width="3.85546875" style="11" customWidth="1"/>
    <col min="20" max="20" width="15.7109375" style="11" customWidth="1"/>
    <col min="21" max="21" width="3.140625" style="11" customWidth="1"/>
    <col min="22" max="22" width="94.85546875" bestFit="1" customWidth="1"/>
    <col min="23" max="23" width="11.42578125" style="11"/>
    <col min="24" max="24" width="12.28515625" style="11" bestFit="1" customWidth="1"/>
    <col min="25" max="16384" width="11.42578125" style="11"/>
  </cols>
  <sheetData>
    <row r="1" spans="1:22" ht="18" x14ac:dyDescent="0.25">
      <c r="A1" s="10" t="s">
        <v>35</v>
      </c>
      <c r="B1" s="10"/>
    </row>
    <row r="2" spans="1:22" x14ac:dyDescent="0.2">
      <c r="A2" s="12" t="s">
        <v>48</v>
      </c>
      <c r="B2" s="48"/>
    </row>
    <row r="3" spans="1:22" ht="3" customHeight="1" x14ac:dyDescent="0.2"/>
    <row r="4" spans="1:22" x14ac:dyDescent="0.2">
      <c r="C4" s="13" t="s">
        <v>55</v>
      </c>
      <c r="D4" s="54">
        <v>1</v>
      </c>
      <c r="E4" s="13" t="s">
        <v>55</v>
      </c>
      <c r="F4" s="54">
        <v>2</v>
      </c>
      <c r="G4" s="13" t="s">
        <v>55</v>
      </c>
      <c r="H4" s="54">
        <v>3</v>
      </c>
      <c r="I4" s="13" t="s">
        <v>1</v>
      </c>
      <c r="J4" s="14">
        <v>1</v>
      </c>
      <c r="K4" s="13" t="s">
        <v>1</v>
      </c>
      <c r="L4" s="60">
        <v>2</v>
      </c>
      <c r="M4" s="60"/>
      <c r="N4" s="13" t="s">
        <v>1</v>
      </c>
      <c r="O4" s="60">
        <v>3</v>
      </c>
      <c r="P4" s="75" t="s">
        <v>1</v>
      </c>
      <c r="Q4" s="87">
        <v>4</v>
      </c>
      <c r="R4" s="60" t="s">
        <v>1</v>
      </c>
      <c r="S4" s="87">
        <v>5</v>
      </c>
      <c r="T4" s="60" t="s">
        <v>1</v>
      </c>
      <c r="U4" s="60">
        <v>6</v>
      </c>
    </row>
    <row r="5" spans="1:22" x14ac:dyDescent="0.2">
      <c r="A5" s="16" t="s">
        <v>46</v>
      </c>
      <c r="B5" s="17"/>
      <c r="C5" s="18"/>
      <c r="D5" s="20"/>
      <c r="E5" s="18"/>
      <c r="F5" s="20"/>
      <c r="G5" s="18"/>
      <c r="H5" s="20"/>
      <c r="I5" s="18"/>
      <c r="J5" s="19"/>
      <c r="K5" s="18"/>
      <c r="L5" s="61"/>
      <c r="M5" s="61"/>
      <c r="N5" s="18"/>
      <c r="O5" s="61"/>
      <c r="P5" s="76"/>
      <c r="Q5" s="88"/>
      <c r="R5" s="61"/>
      <c r="S5" s="88"/>
      <c r="T5" s="61"/>
      <c r="U5" s="61"/>
    </row>
    <row r="6" spans="1:22" x14ac:dyDescent="0.2">
      <c r="A6" s="21" t="s">
        <v>45</v>
      </c>
      <c r="B6" s="21" t="s">
        <v>49</v>
      </c>
      <c r="C6" s="4">
        <v>2080</v>
      </c>
      <c r="D6" s="5"/>
      <c r="E6" s="4">
        <v>1640</v>
      </c>
      <c r="F6" s="5"/>
      <c r="G6" s="4">
        <v>2080</v>
      </c>
      <c r="H6" s="5"/>
      <c r="I6" s="4">
        <v>1600</v>
      </c>
      <c r="J6" s="5"/>
      <c r="K6" s="4">
        <v>1600</v>
      </c>
      <c r="L6" s="62"/>
      <c r="M6" s="62"/>
      <c r="N6" s="4">
        <v>1600</v>
      </c>
      <c r="O6" s="62"/>
      <c r="P6" s="77">
        <v>1600</v>
      </c>
      <c r="Q6" s="89"/>
      <c r="R6" s="62">
        <v>1600</v>
      </c>
      <c r="S6" s="89"/>
      <c r="T6" s="62">
        <v>1600</v>
      </c>
      <c r="U6" s="62"/>
      <c r="V6" s="107"/>
    </row>
    <row r="7" spans="1:22" x14ac:dyDescent="0.2">
      <c r="A7" s="21" t="s">
        <v>13</v>
      </c>
      <c r="B7" s="21"/>
      <c r="C7" s="6">
        <v>0.8</v>
      </c>
      <c r="D7" s="7"/>
      <c r="E7" s="6">
        <v>0.6</v>
      </c>
      <c r="F7" s="7"/>
      <c r="G7" s="6">
        <v>0.8</v>
      </c>
      <c r="H7" s="7"/>
      <c r="I7" s="6">
        <v>0.6</v>
      </c>
      <c r="J7" s="7"/>
      <c r="K7" s="6">
        <v>0.6</v>
      </c>
      <c r="L7" s="63"/>
      <c r="M7" s="63"/>
      <c r="N7" s="6">
        <v>0.7</v>
      </c>
      <c r="O7" s="63"/>
      <c r="P7" s="78">
        <v>0.6</v>
      </c>
      <c r="Q7" s="90"/>
      <c r="R7" s="63">
        <v>0.5</v>
      </c>
      <c r="S7" s="90"/>
      <c r="T7" s="63">
        <v>0.5</v>
      </c>
      <c r="U7" s="63"/>
      <c r="V7" s="108"/>
    </row>
    <row r="8" spans="1:22" x14ac:dyDescent="0.2">
      <c r="A8" s="21" t="s">
        <v>30</v>
      </c>
      <c r="B8" s="21"/>
      <c r="C8" s="6">
        <v>0.8</v>
      </c>
      <c r="D8" s="7"/>
      <c r="E8" s="6">
        <v>0.5</v>
      </c>
      <c r="F8" s="7"/>
      <c r="G8" s="6">
        <v>0.8</v>
      </c>
      <c r="H8" s="7"/>
      <c r="I8" s="6">
        <v>0.6</v>
      </c>
      <c r="J8" s="7"/>
      <c r="K8" s="6">
        <v>0.6</v>
      </c>
      <c r="L8" s="63"/>
      <c r="M8" s="63"/>
      <c r="N8" s="6">
        <v>0.6</v>
      </c>
      <c r="O8" s="63"/>
      <c r="P8" s="78">
        <v>0.4</v>
      </c>
      <c r="Q8" s="90"/>
      <c r="R8" s="63">
        <v>0.4</v>
      </c>
      <c r="S8" s="90"/>
      <c r="T8" s="63">
        <v>0.5</v>
      </c>
      <c r="U8" s="63"/>
      <c r="V8" s="108"/>
    </row>
    <row r="9" spans="1:22" x14ac:dyDescent="0.2">
      <c r="A9" s="21" t="s">
        <v>8</v>
      </c>
      <c r="B9" s="21" t="s">
        <v>49</v>
      </c>
      <c r="C9" s="8">
        <v>50000</v>
      </c>
      <c r="D9" s="9"/>
      <c r="E9" s="8">
        <v>80000</v>
      </c>
      <c r="F9" s="9"/>
      <c r="G9" s="8">
        <v>126000</v>
      </c>
      <c r="H9" s="9"/>
      <c r="I9" s="4">
        <v>120000</v>
      </c>
      <c r="J9" s="5"/>
      <c r="K9" s="4">
        <v>125001</v>
      </c>
      <c r="L9" s="62"/>
      <c r="M9" s="62"/>
      <c r="N9" s="4">
        <v>48000</v>
      </c>
      <c r="O9" s="62"/>
      <c r="P9" s="77">
        <v>48000</v>
      </c>
      <c r="Q9" s="89"/>
      <c r="R9" s="62">
        <v>52000</v>
      </c>
      <c r="S9" s="89"/>
      <c r="T9" s="62">
        <v>40000</v>
      </c>
      <c r="U9" s="62"/>
    </row>
    <row r="10" spans="1:22" x14ac:dyDescent="0.2">
      <c r="A10" s="21" t="s">
        <v>51</v>
      </c>
      <c r="B10" s="21" t="s">
        <v>49</v>
      </c>
      <c r="C10" s="8">
        <v>0</v>
      </c>
      <c r="D10" s="9"/>
      <c r="E10" s="8">
        <v>0</v>
      </c>
      <c r="F10" s="9"/>
      <c r="G10" s="8">
        <v>0</v>
      </c>
      <c r="H10" s="9"/>
      <c r="I10" s="4">
        <v>0</v>
      </c>
      <c r="J10" s="5"/>
      <c r="K10" s="4">
        <v>0</v>
      </c>
      <c r="L10" s="62"/>
      <c r="M10" s="62"/>
      <c r="N10" s="4">
        <v>0</v>
      </c>
      <c r="O10" s="62"/>
      <c r="P10" s="77">
        <v>0</v>
      </c>
      <c r="Q10" s="89"/>
      <c r="R10" s="62">
        <v>10</v>
      </c>
      <c r="S10" s="89"/>
      <c r="T10" s="62">
        <v>0</v>
      </c>
      <c r="U10" s="62"/>
    </row>
    <row r="11" spans="1:22" x14ac:dyDescent="0.2">
      <c r="A11" s="21" t="s">
        <v>25</v>
      </c>
      <c r="B11" s="21"/>
      <c r="C11" s="4" t="b">
        <v>0</v>
      </c>
      <c r="D11" s="9"/>
      <c r="E11" s="4" t="b">
        <v>1</v>
      </c>
      <c r="F11" s="9"/>
      <c r="G11" s="4" t="b">
        <v>0</v>
      </c>
      <c r="H11" s="9"/>
      <c r="I11" s="4" t="b">
        <v>0</v>
      </c>
      <c r="J11" s="5"/>
      <c r="K11" s="4" t="b">
        <v>0</v>
      </c>
      <c r="L11" s="62"/>
      <c r="M11" s="62"/>
      <c r="N11" s="4" t="b">
        <v>0</v>
      </c>
      <c r="O11" s="62"/>
      <c r="P11" s="77" t="b">
        <v>1</v>
      </c>
      <c r="Q11" s="89"/>
      <c r="R11" s="62" t="b">
        <v>0</v>
      </c>
      <c r="S11" s="89"/>
      <c r="T11" s="62" t="b">
        <v>0</v>
      </c>
      <c r="U11" s="62"/>
    </row>
    <row r="12" spans="1:22" x14ac:dyDescent="0.2">
      <c r="A12" s="21" t="s">
        <v>26</v>
      </c>
      <c r="B12" s="21"/>
      <c r="C12" s="4" t="b">
        <v>0</v>
      </c>
      <c r="D12" s="9"/>
      <c r="E12" s="4" t="b">
        <v>0</v>
      </c>
      <c r="F12" s="9"/>
      <c r="G12" s="4" t="b">
        <v>0</v>
      </c>
      <c r="H12" s="9"/>
      <c r="I12" s="4" t="b">
        <v>0</v>
      </c>
      <c r="J12" s="5"/>
      <c r="K12" s="4" t="b">
        <v>0</v>
      </c>
      <c r="L12" s="62"/>
      <c r="M12" s="62"/>
      <c r="N12" s="4" t="b">
        <v>0</v>
      </c>
      <c r="O12" s="62"/>
      <c r="P12" s="77" t="b">
        <v>0</v>
      </c>
      <c r="Q12" s="89"/>
      <c r="R12" s="62" t="b">
        <v>0</v>
      </c>
      <c r="S12" s="89"/>
      <c r="T12" s="62" t="b">
        <v>0</v>
      </c>
      <c r="U12" s="62"/>
      <c r="V12" t="s">
        <v>38</v>
      </c>
    </row>
    <row r="13" spans="1:22" x14ac:dyDescent="0.2">
      <c r="A13" s="21" t="s">
        <v>27</v>
      </c>
      <c r="B13" s="21"/>
      <c r="C13" s="4" t="b">
        <v>0</v>
      </c>
      <c r="D13" s="9"/>
      <c r="E13" s="4" t="b">
        <v>0</v>
      </c>
      <c r="F13" s="9"/>
      <c r="G13" s="4" t="b">
        <v>0</v>
      </c>
      <c r="H13" s="9"/>
      <c r="I13" s="4" t="b">
        <v>0</v>
      </c>
      <c r="J13" s="5"/>
      <c r="K13" s="4" t="b">
        <v>0</v>
      </c>
      <c r="L13" s="62"/>
      <c r="M13" s="62"/>
      <c r="N13" s="4" t="b">
        <v>0</v>
      </c>
      <c r="O13" s="62"/>
      <c r="P13" s="77" t="b">
        <v>0</v>
      </c>
      <c r="Q13" s="89"/>
      <c r="R13" s="62" t="b">
        <v>0</v>
      </c>
      <c r="S13" s="89"/>
      <c r="T13" s="62" t="b">
        <v>0</v>
      </c>
      <c r="U13" s="62"/>
      <c r="V13" t="s">
        <v>39</v>
      </c>
    </row>
    <row r="14" spans="1:22" x14ac:dyDescent="0.2">
      <c r="C14" s="13"/>
      <c r="D14" s="15"/>
      <c r="E14" s="13"/>
      <c r="F14" s="15"/>
      <c r="G14" s="13"/>
      <c r="H14" s="15"/>
      <c r="I14" s="13"/>
      <c r="J14" s="14"/>
      <c r="K14" s="13"/>
      <c r="L14" s="60"/>
      <c r="M14" s="60"/>
      <c r="N14" s="13"/>
      <c r="O14" s="60"/>
      <c r="P14" s="75"/>
      <c r="Q14" s="87"/>
      <c r="R14" s="60"/>
      <c r="S14" s="87"/>
      <c r="T14" s="60"/>
      <c r="U14" s="60"/>
    </row>
    <row r="15" spans="1:22" x14ac:dyDescent="0.2">
      <c r="A15" s="16" t="s">
        <v>5</v>
      </c>
      <c r="B15" s="17"/>
      <c r="C15" s="18"/>
      <c r="D15" s="20"/>
      <c r="E15" s="18"/>
      <c r="F15" s="20"/>
      <c r="G15" s="18"/>
      <c r="H15" s="20"/>
      <c r="I15" s="18"/>
      <c r="J15" s="19"/>
      <c r="K15" s="18"/>
      <c r="L15" s="61"/>
      <c r="M15" s="61"/>
      <c r="N15" s="18"/>
      <c r="O15" s="61"/>
      <c r="P15" s="76"/>
      <c r="Q15" s="88"/>
      <c r="R15" s="61"/>
      <c r="S15" s="88"/>
      <c r="T15" s="61"/>
      <c r="U15" s="61"/>
    </row>
    <row r="16" spans="1:22" x14ac:dyDescent="0.2">
      <c r="A16" s="11" t="s">
        <v>0</v>
      </c>
      <c r="B16" s="21" t="s">
        <v>49</v>
      </c>
      <c r="C16" s="25">
        <v>15</v>
      </c>
      <c r="D16" s="15"/>
      <c r="E16" s="25">
        <v>15</v>
      </c>
      <c r="F16" s="15"/>
      <c r="G16" s="25">
        <v>15</v>
      </c>
      <c r="H16" s="15"/>
      <c r="I16" s="25">
        <v>15</v>
      </c>
      <c r="J16" s="15"/>
      <c r="K16" s="25">
        <v>15</v>
      </c>
      <c r="M16" s="23"/>
      <c r="N16" s="25">
        <v>15</v>
      </c>
      <c r="O16" s="23"/>
      <c r="P16" s="79">
        <v>15</v>
      </c>
      <c r="Q16" s="91"/>
      <c r="R16" s="23">
        <v>15</v>
      </c>
      <c r="S16" s="91"/>
      <c r="T16" s="23">
        <v>15</v>
      </c>
      <c r="U16" s="23"/>
    </row>
    <row r="17" spans="1:24" x14ac:dyDescent="0.2">
      <c r="A17" s="11" t="s">
        <v>3</v>
      </c>
      <c r="B17" s="21" t="s">
        <v>49</v>
      </c>
      <c r="C17" s="25">
        <v>160</v>
      </c>
      <c r="D17" s="15"/>
      <c r="E17" s="25">
        <v>160</v>
      </c>
      <c r="F17" s="15"/>
      <c r="G17" s="25">
        <v>160</v>
      </c>
      <c r="H17" s="15"/>
      <c r="I17" s="25">
        <v>130</v>
      </c>
      <c r="J17" s="15"/>
      <c r="K17" s="25">
        <v>130</v>
      </c>
      <c r="M17" s="23"/>
      <c r="N17" s="25">
        <v>130</v>
      </c>
      <c r="O17" s="23"/>
      <c r="P17" s="79">
        <v>130</v>
      </c>
      <c r="Q17" s="91"/>
      <c r="R17" s="23">
        <v>130</v>
      </c>
      <c r="S17" s="91"/>
      <c r="T17" s="23">
        <v>130</v>
      </c>
      <c r="U17" s="23"/>
    </row>
    <row r="18" spans="1:24" x14ac:dyDescent="0.2">
      <c r="A18" s="11" t="s">
        <v>15</v>
      </c>
      <c r="B18" s="21" t="s">
        <v>49</v>
      </c>
      <c r="C18" s="25">
        <v>32</v>
      </c>
      <c r="D18" s="15"/>
      <c r="E18" s="25">
        <v>32</v>
      </c>
      <c r="F18" s="15"/>
      <c r="G18" s="25">
        <v>32</v>
      </c>
      <c r="H18" s="15"/>
      <c r="I18" s="25">
        <v>32</v>
      </c>
      <c r="J18" s="15"/>
      <c r="K18" s="25">
        <v>32</v>
      </c>
      <c r="M18" s="23"/>
      <c r="N18" s="25">
        <v>32</v>
      </c>
      <c r="O18" s="23"/>
      <c r="P18" s="79">
        <v>32</v>
      </c>
      <c r="Q18" s="91"/>
      <c r="R18" s="23">
        <v>32</v>
      </c>
      <c r="S18" s="91"/>
      <c r="T18" s="23">
        <v>32</v>
      </c>
      <c r="U18" s="23"/>
    </row>
    <row r="19" spans="1:24" x14ac:dyDescent="0.2">
      <c r="C19" s="25"/>
      <c r="D19" s="15"/>
      <c r="E19" s="25"/>
      <c r="F19" s="15"/>
      <c r="G19" s="25"/>
      <c r="H19" s="15"/>
      <c r="I19" s="25"/>
      <c r="J19" s="15"/>
      <c r="K19" s="25"/>
      <c r="M19" s="23"/>
      <c r="N19" s="25"/>
      <c r="O19" s="23"/>
      <c r="P19" s="79"/>
      <c r="Q19" s="91"/>
      <c r="R19" s="23"/>
      <c r="S19" s="91"/>
      <c r="T19" s="23"/>
      <c r="U19" s="23"/>
    </row>
    <row r="20" spans="1:24" ht="12.75" customHeight="1" x14ac:dyDescent="0.2">
      <c r="A20" s="16" t="s">
        <v>4</v>
      </c>
      <c r="B20" s="17"/>
      <c r="C20" s="18"/>
      <c r="D20" s="20"/>
      <c r="E20" s="18"/>
      <c r="F20" s="20"/>
      <c r="G20" s="18"/>
      <c r="H20" s="20"/>
      <c r="I20" s="18"/>
      <c r="J20" s="19"/>
      <c r="K20" s="18"/>
      <c r="L20" s="61"/>
      <c r="M20" s="61"/>
      <c r="N20" s="18"/>
      <c r="O20" s="61"/>
      <c r="P20" s="76"/>
      <c r="Q20" s="88"/>
      <c r="R20" s="61"/>
      <c r="S20" s="88"/>
      <c r="T20" s="61"/>
      <c r="U20" s="61"/>
    </row>
    <row r="21" spans="1:24" x14ac:dyDescent="0.2">
      <c r="A21" s="26" t="s">
        <v>16</v>
      </c>
      <c r="B21" s="21" t="s">
        <v>49</v>
      </c>
      <c r="C21" s="27">
        <v>48000</v>
      </c>
      <c r="D21" s="29"/>
      <c r="E21" s="27">
        <v>48000</v>
      </c>
      <c r="F21" s="29"/>
      <c r="G21" s="27">
        <v>48000</v>
      </c>
      <c r="H21" s="29"/>
      <c r="I21" s="27">
        <v>48000</v>
      </c>
      <c r="J21" s="28"/>
      <c r="K21" s="27">
        <v>48000</v>
      </c>
      <c r="L21" s="64"/>
      <c r="M21" s="64"/>
      <c r="N21" s="27">
        <v>48000</v>
      </c>
      <c r="O21" s="64"/>
      <c r="P21" s="80">
        <v>48000</v>
      </c>
      <c r="Q21" s="92"/>
      <c r="R21" s="64">
        <v>48000</v>
      </c>
      <c r="S21" s="92"/>
      <c r="T21" s="64">
        <v>48000</v>
      </c>
      <c r="U21" s="64"/>
    </row>
    <row r="22" spans="1:24" x14ac:dyDescent="0.2">
      <c r="A22" s="11" t="s">
        <v>6</v>
      </c>
      <c r="B22" s="21" t="s">
        <v>49</v>
      </c>
      <c r="C22" s="27">
        <v>125000</v>
      </c>
      <c r="D22" s="29"/>
      <c r="E22" s="27">
        <v>125000</v>
      </c>
      <c r="F22" s="29"/>
      <c r="G22" s="27">
        <v>125000</v>
      </c>
      <c r="H22" s="29"/>
      <c r="I22" s="27">
        <v>125000</v>
      </c>
      <c r="J22" s="28"/>
      <c r="K22" s="27">
        <v>125000</v>
      </c>
      <c r="L22" s="64"/>
      <c r="M22" s="64"/>
      <c r="N22" s="27">
        <v>125000</v>
      </c>
      <c r="O22" s="64"/>
      <c r="P22" s="80">
        <v>125000</v>
      </c>
      <c r="Q22" s="92"/>
      <c r="R22" s="64">
        <v>125000</v>
      </c>
      <c r="S22" s="92"/>
      <c r="T22" s="64">
        <v>125000</v>
      </c>
      <c r="U22" s="64"/>
    </row>
    <row r="23" spans="1:24" x14ac:dyDescent="0.2">
      <c r="C23" s="25"/>
      <c r="D23" s="15"/>
      <c r="E23" s="25"/>
      <c r="F23" s="15"/>
      <c r="G23" s="25"/>
      <c r="H23" s="15"/>
      <c r="I23" s="25"/>
      <c r="J23" s="15"/>
      <c r="K23" s="25"/>
      <c r="M23" s="23"/>
      <c r="N23" s="25"/>
      <c r="O23" s="23"/>
      <c r="P23" s="79"/>
      <c r="Q23" s="91"/>
      <c r="R23" s="23"/>
      <c r="S23" s="91"/>
      <c r="T23" s="23"/>
      <c r="U23" s="23"/>
    </row>
    <row r="24" spans="1:24" x14ac:dyDescent="0.2">
      <c r="A24" s="16" t="s">
        <v>21</v>
      </c>
      <c r="B24" s="17"/>
      <c r="C24" s="18"/>
      <c r="D24" s="20"/>
      <c r="E24" s="18"/>
      <c r="F24" s="20"/>
      <c r="G24" s="18"/>
      <c r="H24" s="20"/>
      <c r="I24" s="18"/>
      <c r="J24" s="19"/>
      <c r="K24" s="18"/>
      <c r="L24" s="61"/>
      <c r="M24" s="61"/>
      <c r="N24" s="18"/>
      <c r="O24" s="61"/>
      <c r="P24" s="76"/>
      <c r="Q24" s="88"/>
      <c r="R24" s="61"/>
      <c r="S24" s="88"/>
      <c r="T24" s="61"/>
      <c r="U24" s="61"/>
    </row>
    <row r="25" spans="1:24" x14ac:dyDescent="0.2">
      <c r="A25" s="21" t="s">
        <v>57</v>
      </c>
      <c r="B25" s="21"/>
      <c r="C25" s="57">
        <f>IF(C8&lt;C7,C8/C7*C6,C6)</f>
        <v>2080</v>
      </c>
      <c r="D25" s="58"/>
      <c r="E25" s="57">
        <f>IF(E8&lt;E7,E8/E7*E6,E6)</f>
        <v>1366.6666666666667</v>
      </c>
      <c r="F25" s="58"/>
      <c r="G25" s="57">
        <f>IF(G8&lt;G7,G8/G7*G6,G6)</f>
        <v>2080</v>
      </c>
      <c r="H25" s="58"/>
      <c r="I25" s="57">
        <f>IF(I8&lt;I7,I8/I7*I6,I6)</f>
        <v>1600</v>
      </c>
      <c r="J25" s="58"/>
      <c r="K25" s="57">
        <f>IF(K8&lt;K7,K8/K7*K6,K6)</f>
        <v>1600</v>
      </c>
      <c r="L25" s="65"/>
      <c r="M25" s="65"/>
      <c r="N25" s="57">
        <f>IF(N8&lt;N7,N8/N7*N6,N6)</f>
        <v>1371.4285714285716</v>
      </c>
      <c r="O25" s="70"/>
      <c r="P25" s="81">
        <f>IF(P8&lt;P7,P8/P7*P6,P6)</f>
        <v>1066.6666666666667</v>
      </c>
      <c r="Q25" s="93"/>
      <c r="R25" s="70">
        <f>IF(R8&lt;R7,R8/R7*R6,R6)</f>
        <v>1280</v>
      </c>
      <c r="S25" s="93"/>
      <c r="T25" s="70">
        <f>IF(T8&lt;T7,T8/T7*T6,T6)</f>
        <v>1600</v>
      </c>
      <c r="U25" s="70"/>
    </row>
    <row r="26" spans="1:24" x14ac:dyDescent="0.2">
      <c r="A26" s="30" t="s">
        <v>7</v>
      </c>
      <c r="B26" s="30"/>
      <c r="C26" s="53">
        <f>IF(C9&lt;=125000,((C16/C17)+((C29*(C9-C21)))),101%)</f>
        <v>0.11728896103896104</v>
      </c>
      <c r="D26" s="32"/>
      <c r="E26" s="53">
        <f>IF(E9&lt;=125000,((E16/E17)+((E29*(E9-E21)))),101%)</f>
        <v>0.47037337662337664</v>
      </c>
      <c r="F26" s="32"/>
      <c r="G26" s="53">
        <f>IF(G9&lt;=125000,((G16/G17)+((G29*(G9-G21)))),101%)</f>
        <v>1.01</v>
      </c>
      <c r="H26" s="32"/>
      <c r="I26" s="53">
        <f>IF(((I16/I17)+((I29*(I9-I21))))&lt;=100%,((I16/I17)+((I29*(I9-I21)))),100%)</f>
        <v>0.94255744255744267</v>
      </c>
      <c r="J26" s="32"/>
      <c r="K26" s="53">
        <f>IF(((K16/K17)+((K29*(K9-K21))))&lt;=100%,((K16/K17)+((K29*(K9-K21)))),100%)</f>
        <v>1</v>
      </c>
      <c r="L26" s="66"/>
      <c r="M26" s="66"/>
      <c r="N26" s="53">
        <f>IF(((N16/N17)+((N29*(N9-N21))))&lt;=100%,((N16/N17)+((N29*(N9-N21)))),100%)</f>
        <v>0.11538461538461539</v>
      </c>
      <c r="O26" s="71"/>
      <c r="P26" s="82">
        <f>IF(((P16/P17)+((P29*(P9-P21))))&lt;=100%,((P16/P17)+((P29*(P9-P21)))),100%)</f>
        <v>0.11538461538461539</v>
      </c>
      <c r="Q26" s="94"/>
      <c r="R26" s="71">
        <f>IF(((R16/R17)+((R29*(R9-R21))))&lt;=100%,((R16/R17)+((R29*(R9-R21)))),100%)</f>
        <v>0.16133866133866134</v>
      </c>
      <c r="S26" s="94"/>
      <c r="T26" s="71">
        <f t="shared" ref="T26" si="0">IF(((T16/T17)+((T29*(T9-T21))))&lt;=100%,((T16/T17)+((T29*(T9-T21)))),100%)</f>
        <v>2.3476523476523486E-2</v>
      </c>
      <c r="U26" s="71"/>
      <c r="V26" s="109" t="s">
        <v>19</v>
      </c>
    </row>
    <row r="27" spans="1:24" x14ac:dyDescent="0.2">
      <c r="A27" s="34" t="s">
        <v>10</v>
      </c>
      <c r="B27" s="21" t="s">
        <v>49</v>
      </c>
      <c r="C27" s="35">
        <f>IF(C$9&lt;=125000,C$26*50%*C$17,0)</f>
        <v>9.3831168831168839</v>
      </c>
      <c r="D27" s="15"/>
      <c r="E27" s="35">
        <f>IF(E$9&lt;=125000,E$26*50%*E$17,0)</f>
        <v>37.629870129870127</v>
      </c>
      <c r="F27" s="15"/>
      <c r="G27" s="35">
        <f>IF(G$9&lt;=125000,G$26*50%*G$17,0)</f>
        <v>0</v>
      </c>
      <c r="H27" s="15"/>
      <c r="I27" s="35">
        <f>IF(I$9&lt;=125000,I$26*50%*I$17,0)</f>
        <v>61.266233766233775</v>
      </c>
      <c r="J27" s="15"/>
      <c r="K27" s="35">
        <f>IF(K$9&lt;=125000,K$26*50%*K$17,0)</f>
        <v>0</v>
      </c>
      <c r="M27" s="23"/>
      <c r="N27" s="35">
        <f>IF(N$9&lt;=125000,N$26*50%*N$17,0)</f>
        <v>7.5</v>
      </c>
      <c r="O27" s="72"/>
      <c r="P27" s="83">
        <f>IF(P$9&lt;=125000,P$26*50%*P$17,0)</f>
        <v>7.5</v>
      </c>
      <c r="Q27" s="95"/>
      <c r="R27" s="72">
        <f>IF(R$9&lt;=125000,R$26*50%*R$17,0)</f>
        <v>10.487012987012987</v>
      </c>
      <c r="S27" s="95"/>
      <c r="T27" s="72">
        <f t="shared" ref="T27" si="1">IF(T$9&lt;=125000,T$26*50%*T$17,0)</f>
        <v>1.5259740259740266</v>
      </c>
      <c r="U27" s="72"/>
      <c r="V27" s="108" t="s">
        <v>17</v>
      </c>
      <c r="X27" s="106"/>
    </row>
    <row r="28" spans="1:24" ht="12.75" customHeight="1" x14ac:dyDescent="0.2">
      <c r="A28" s="34" t="s">
        <v>11</v>
      </c>
      <c r="B28" s="21" t="s">
        <v>49</v>
      </c>
      <c r="C28" s="35">
        <f>IF(C$9&lt;=125000,C$26*70%*C$17,0)</f>
        <v>13.136363636363635</v>
      </c>
      <c r="D28" s="15"/>
      <c r="E28" s="35">
        <f>IF(E$9&lt;=125000,E$26*70%*E$17,0)</f>
        <v>52.681818181818173</v>
      </c>
      <c r="F28" s="15"/>
      <c r="G28" s="35">
        <f>IF(G$9&lt;=125000,G$26*70%*G$17,0)</f>
        <v>0</v>
      </c>
      <c r="H28" s="15"/>
      <c r="I28" s="35">
        <f>IF(I$9&lt;=125000,I$26*70%*I$17,0)</f>
        <v>85.77272727272728</v>
      </c>
      <c r="J28" s="15"/>
      <c r="K28" s="35">
        <f>IF(K$9&lt;=125000,K$26*70%*K$17,0)</f>
        <v>0</v>
      </c>
      <c r="M28" s="23"/>
      <c r="N28" s="35">
        <f>IF(N$9&lt;=125000,N$26*70%*N$17,0)</f>
        <v>10.5</v>
      </c>
      <c r="O28" s="72"/>
      <c r="P28" s="83">
        <f>IF(P$9&lt;=125000,P$26*70%*P$17,0)</f>
        <v>10.5</v>
      </c>
      <c r="Q28" s="95"/>
      <c r="R28" s="72">
        <f>IF(R$9&lt;=125000,R$26*70%*R$17,0)</f>
        <v>14.681818181818182</v>
      </c>
      <c r="S28" s="95"/>
      <c r="T28" s="72">
        <f t="shared" ref="T28" si="2">IF(T$9&lt;=125000,T$26*70%*T$17,0)</f>
        <v>2.1363636363636371</v>
      </c>
      <c r="U28" s="72"/>
      <c r="V28" s="108" t="s">
        <v>18</v>
      </c>
      <c r="X28" s="55"/>
    </row>
    <row r="29" spans="1:24" x14ac:dyDescent="0.2">
      <c r="A29" s="34" t="s">
        <v>9</v>
      </c>
      <c r="B29" s="34"/>
      <c r="C29" s="38">
        <f>((1-(C16/C17))/(C22-C21))</f>
        <v>1.1769480519480519E-5</v>
      </c>
      <c r="D29" s="15"/>
      <c r="E29" s="38">
        <f>((1-(E16/E17))/(E22-E21))</f>
        <v>1.1769480519480519E-5</v>
      </c>
      <c r="F29" s="15"/>
      <c r="G29" s="38">
        <f>((1-(G16/G17))/(G22-G21))</f>
        <v>1.1769480519480519E-5</v>
      </c>
      <c r="H29" s="15"/>
      <c r="I29" s="38">
        <f>((1-(I16/I17))/(I22-I21))</f>
        <v>1.1488511488511489E-5</v>
      </c>
      <c r="J29" s="39"/>
      <c r="K29" s="38">
        <f>((1-(K16/K17))/(K22-K21))</f>
        <v>1.1488511488511489E-5</v>
      </c>
      <c r="L29" s="67"/>
      <c r="M29" s="67"/>
      <c r="N29" s="38">
        <f>((1-(N16/N17))/(N22-N21))</f>
        <v>1.1488511488511489E-5</v>
      </c>
      <c r="O29" s="73"/>
      <c r="P29" s="84">
        <f>((1-(P16/P17))/(P22-P21))</f>
        <v>1.1488511488511489E-5</v>
      </c>
      <c r="Q29" s="96"/>
      <c r="R29" s="73">
        <f>((1-(R16/R17))/(R22-R21))</f>
        <v>1.1488511488511489E-5</v>
      </c>
      <c r="S29" s="96"/>
      <c r="T29" s="73">
        <f t="shared" ref="T29" si="3">((1-(T16/T17))/(T22-T21))</f>
        <v>1.1488511488511489E-5</v>
      </c>
      <c r="U29" s="73"/>
      <c r="V29" s="107" t="s">
        <v>20</v>
      </c>
    </row>
    <row r="30" spans="1:24" x14ac:dyDescent="0.2">
      <c r="A30" s="34" t="s">
        <v>53</v>
      </c>
      <c r="B30" s="34"/>
      <c r="C30" s="35">
        <v>12.6</v>
      </c>
      <c r="D30" s="15"/>
      <c r="E30" s="35">
        <v>12.6</v>
      </c>
      <c r="F30" s="15"/>
      <c r="G30" s="35">
        <v>12.6</v>
      </c>
      <c r="H30" s="15"/>
      <c r="I30" s="35">
        <v>10</v>
      </c>
      <c r="J30" s="39"/>
      <c r="K30" s="35">
        <v>10</v>
      </c>
      <c r="L30" s="67"/>
      <c r="M30" s="67"/>
      <c r="N30" s="35">
        <v>10</v>
      </c>
      <c r="O30" s="72"/>
      <c r="P30" s="35">
        <v>10</v>
      </c>
      <c r="Q30" s="95"/>
      <c r="R30" s="35">
        <v>10</v>
      </c>
      <c r="S30" s="95"/>
      <c r="T30" s="35">
        <v>10</v>
      </c>
      <c r="U30" s="72"/>
      <c r="V30" s="107"/>
    </row>
    <row r="31" spans="1:24" x14ac:dyDescent="0.2">
      <c r="A31" s="34" t="s">
        <v>31</v>
      </c>
      <c r="B31" s="34"/>
      <c r="C31" s="31">
        <f>MIN(C7:C8)</f>
        <v>0.8</v>
      </c>
      <c r="D31" s="15"/>
      <c r="E31" s="31">
        <f>MIN(E7:E8)</f>
        <v>0.5</v>
      </c>
      <c r="F31" s="15"/>
      <c r="G31" s="31">
        <f>MIN(G7:G8)</f>
        <v>0.8</v>
      </c>
      <c r="H31" s="15"/>
      <c r="I31" s="31">
        <f>MIN(I7:I8)</f>
        <v>0.6</v>
      </c>
      <c r="J31" s="39"/>
      <c r="K31" s="31">
        <f>MIN(K7:K8)</f>
        <v>0.6</v>
      </c>
      <c r="L31" s="67"/>
      <c r="M31" s="67"/>
      <c r="N31" s="31">
        <f>MIN(N7:N8)</f>
        <v>0.6</v>
      </c>
      <c r="O31" s="74"/>
      <c r="P31" s="85">
        <f>MIN(P7:P8)</f>
        <v>0.4</v>
      </c>
      <c r="Q31" s="97"/>
      <c r="R31" s="74">
        <f>MIN(R7:R8)</f>
        <v>0.4</v>
      </c>
      <c r="S31" s="97"/>
      <c r="T31" s="74">
        <f t="shared" ref="T31" si="4">MIN(T7:T8)</f>
        <v>0.5</v>
      </c>
      <c r="U31" s="74"/>
      <c r="V31" s="107"/>
      <c r="X31" s="104"/>
    </row>
    <row r="32" spans="1:24" x14ac:dyDescent="0.2">
      <c r="A32" s="34" t="s">
        <v>14</v>
      </c>
      <c r="B32" s="34"/>
      <c r="C32" s="25">
        <f>C31*5</f>
        <v>4</v>
      </c>
      <c r="D32" s="15"/>
      <c r="E32" s="25">
        <f>E31*5</f>
        <v>2.5</v>
      </c>
      <c r="F32" s="15"/>
      <c r="G32" s="25">
        <f>G31*5</f>
        <v>4</v>
      </c>
      <c r="H32" s="15"/>
      <c r="I32" s="25">
        <f>I31*5</f>
        <v>3</v>
      </c>
      <c r="J32" s="15"/>
      <c r="K32" s="25">
        <f>K31*5</f>
        <v>3</v>
      </c>
      <c r="M32" s="23"/>
      <c r="N32" s="25">
        <f>N31*5</f>
        <v>3</v>
      </c>
      <c r="O32" s="23"/>
      <c r="P32" s="79">
        <f t="shared" ref="P32" si="5">P31*5</f>
        <v>2</v>
      </c>
      <c r="Q32" s="91"/>
      <c r="R32" s="23">
        <f t="shared" ref="R32" si="6">R31*5</f>
        <v>2</v>
      </c>
      <c r="S32" s="91"/>
      <c r="T32" s="23">
        <f t="shared" ref="T32" si="7">T31*5</f>
        <v>2.5</v>
      </c>
      <c r="U32" s="23"/>
      <c r="V32" s="107"/>
      <c r="X32" s="105"/>
    </row>
    <row r="33" spans="1:24" x14ac:dyDescent="0.2">
      <c r="A33" s="11" t="s">
        <v>12</v>
      </c>
      <c r="C33" s="25">
        <v>4.0999999999999996</v>
      </c>
      <c r="D33" s="15"/>
      <c r="E33" s="25">
        <v>4.0999999999999996</v>
      </c>
      <c r="F33" s="15"/>
      <c r="G33" s="25">
        <v>4.0999999999999996</v>
      </c>
      <c r="H33" s="15"/>
      <c r="I33" s="25">
        <v>4.0999999999999996</v>
      </c>
      <c r="J33" s="15"/>
      <c r="K33" s="25">
        <v>4.0999999999999996</v>
      </c>
      <c r="M33" s="23"/>
      <c r="N33" s="25">
        <v>4.0999999999999996</v>
      </c>
      <c r="O33" s="23"/>
      <c r="P33" s="79">
        <v>4.0999999999999996</v>
      </c>
      <c r="Q33" s="91"/>
      <c r="R33" s="23">
        <v>4.0999999999999996</v>
      </c>
      <c r="S33" s="91"/>
      <c r="T33" s="23">
        <v>4.0999999999999996</v>
      </c>
      <c r="U33" s="23"/>
      <c r="V33" s="107"/>
      <c r="X33" s="55"/>
    </row>
    <row r="34" spans="1:24" x14ac:dyDescent="0.2">
      <c r="A34" s="11" t="s">
        <v>24</v>
      </c>
      <c r="C34" s="25">
        <f>C32*C33</f>
        <v>16.399999999999999</v>
      </c>
      <c r="D34" s="15"/>
      <c r="E34" s="25">
        <f>E32*E33</f>
        <v>10.25</v>
      </c>
      <c r="F34" s="15"/>
      <c r="G34" s="25">
        <f>G32*G33</f>
        <v>16.399999999999999</v>
      </c>
      <c r="H34" s="15"/>
      <c r="I34" s="25">
        <f>I32*I33</f>
        <v>12.299999999999999</v>
      </c>
      <c r="J34" s="15"/>
      <c r="K34" s="25">
        <f>K32*K33</f>
        <v>12.299999999999999</v>
      </c>
      <c r="M34" s="23"/>
      <c r="N34" s="25">
        <f>N32*N33</f>
        <v>12.299999999999999</v>
      </c>
      <c r="O34" s="23"/>
      <c r="P34" s="79">
        <f>P32*P33</f>
        <v>8.1999999999999993</v>
      </c>
      <c r="Q34" s="91"/>
      <c r="R34" s="23">
        <f>R32*R33</f>
        <v>8.1999999999999993</v>
      </c>
      <c r="S34" s="91"/>
      <c r="T34" s="23">
        <f t="shared" ref="T34" si="8">T32*T33</f>
        <v>10.25</v>
      </c>
      <c r="U34" s="23"/>
    </row>
    <row r="35" spans="1:24" x14ac:dyDescent="0.2">
      <c r="A35" s="34"/>
      <c r="B35" s="34"/>
      <c r="C35" s="38"/>
      <c r="D35" s="15"/>
      <c r="E35" s="38"/>
      <c r="F35" s="15"/>
      <c r="G35" s="38"/>
      <c r="H35" s="15"/>
      <c r="I35" s="38"/>
      <c r="J35" s="39"/>
      <c r="K35" s="38"/>
      <c r="L35" s="67"/>
      <c r="M35" s="67"/>
      <c r="N35" s="38"/>
      <c r="O35" s="73"/>
      <c r="P35" s="84"/>
      <c r="Q35" s="96"/>
      <c r="R35" s="73"/>
      <c r="S35" s="96"/>
      <c r="T35" s="73"/>
      <c r="U35" s="73"/>
      <c r="V35" s="107"/>
      <c r="X35" s="104"/>
    </row>
    <row r="36" spans="1:24" x14ac:dyDescent="0.2">
      <c r="A36" s="16" t="s">
        <v>47</v>
      </c>
      <c r="B36" s="17"/>
      <c r="C36" s="18"/>
      <c r="D36" s="20"/>
      <c r="E36" s="18"/>
      <c r="F36" s="20"/>
      <c r="G36" s="18"/>
      <c r="H36" s="20"/>
      <c r="I36" s="18"/>
      <c r="J36" s="19"/>
      <c r="K36" s="18"/>
      <c r="L36" s="61"/>
      <c r="M36" s="61"/>
      <c r="N36" s="18"/>
      <c r="O36" s="61"/>
      <c r="P36" s="76"/>
      <c r="Q36" s="88"/>
      <c r="R36" s="61"/>
      <c r="S36" s="88"/>
      <c r="T36" s="61"/>
      <c r="U36" s="61"/>
      <c r="X36" s="105"/>
    </row>
    <row r="37" spans="1:24" x14ac:dyDescent="0.2">
      <c r="A37" s="34" t="s">
        <v>23</v>
      </c>
      <c r="B37" s="21" t="s">
        <v>49</v>
      </c>
      <c r="C37" s="40">
        <v>141.233766233766</v>
      </c>
      <c r="D37" s="40"/>
      <c r="E37" s="40">
        <f t="shared" ref="E37:P37" si="9">MIN((IF((E17*(1-E26))&gt;E30,(E17*(1-E26)),IF(E26&lt;=100%,E30,IF(E26&gt;100%,0)))),E17-E16)</f>
        <v>84.740259740259745</v>
      </c>
      <c r="F37" s="40"/>
      <c r="G37" s="40">
        <f t="shared" si="9"/>
        <v>0</v>
      </c>
      <c r="H37" s="40"/>
      <c r="I37" s="40">
        <f t="shared" si="9"/>
        <v>10</v>
      </c>
      <c r="J37" s="40"/>
      <c r="K37" s="40">
        <f t="shared" si="9"/>
        <v>10</v>
      </c>
      <c r="L37" s="40"/>
      <c r="M37" s="40">
        <f t="shared" si="9"/>
        <v>0</v>
      </c>
      <c r="N37" s="40">
        <f t="shared" si="9"/>
        <v>115</v>
      </c>
      <c r="O37" s="40"/>
      <c r="P37" s="40">
        <f t="shared" si="9"/>
        <v>115</v>
      </c>
      <c r="Q37" s="40"/>
      <c r="R37" s="40">
        <f>MIN((IF((R17*(1-R26))&gt;R30,(R17*(1-R26)),IF(R26&lt;=100%,R30,IF(R26&gt;100%,0)))),R17-R16)</f>
        <v>109.02597402597402</v>
      </c>
      <c r="S37" s="98"/>
      <c r="T37" s="68">
        <f>MIN((IF((T17*(1-T26))&gt;T30,(T17*(1-T26)),IF(T26&lt;=100%,T30,IF(T26&gt;100%,0)))),T17-T16)</f>
        <v>115</v>
      </c>
      <c r="U37" s="68"/>
      <c r="V37" t="s">
        <v>62</v>
      </c>
    </row>
    <row r="38" spans="1:24" x14ac:dyDescent="0.2">
      <c r="A38" s="34" t="str">
        <f>A12</f>
        <v>Geschwisternbonus 2. Kind</v>
      </c>
      <c r="B38" s="21" t="s">
        <v>49</v>
      </c>
      <c r="C38" s="40">
        <f>IF(C12,C27,0)</f>
        <v>0</v>
      </c>
      <c r="D38" s="41"/>
      <c r="E38" s="40">
        <f>IF(E12,E27,0)</f>
        <v>0</v>
      </c>
      <c r="F38" s="41"/>
      <c r="G38" s="40">
        <f>IF(G12,G27,0)</f>
        <v>0</v>
      </c>
      <c r="H38" s="41"/>
      <c r="I38" s="40">
        <f>IF(I12,I27,0)</f>
        <v>0</v>
      </c>
      <c r="J38" s="41"/>
      <c r="K38" s="40">
        <f>IF(K12,K27,0)</f>
        <v>0</v>
      </c>
      <c r="L38" s="68"/>
      <c r="M38" s="68"/>
      <c r="N38" s="40">
        <f>IF(N12,N27,0)</f>
        <v>0</v>
      </c>
      <c r="O38" s="68"/>
      <c r="P38" s="86">
        <f>IF(P12,P27,0)</f>
        <v>0</v>
      </c>
      <c r="Q38" s="98"/>
      <c r="R38" s="68">
        <f>IF(R12,R27,0)</f>
        <v>0</v>
      </c>
      <c r="S38" s="98"/>
      <c r="T38" s="68">
        <f t="shared" ref="T38" si="10">IF(T12,T27,0)</f>
        <v>0</v>
      </c>
      <c r="U38" s="68"/>
    </row>
    <row r="39" spans="1:24" x14ac:dyDescent="0.2">
      <c r="A39" s="34" t="str">
        <f>A13</f>
        <v>Geschwisternbonus 3. Kind</v>
      </c>
      <c r="B39" s="21" t="s">
        <v>49</v>
      </c>
      <c r="C39" s="40">
        <f>IF(C13,C28,0)</f>
        <v>0</v>
      </c>
      <c r="D39" s="41"/>
      <c r="E39" s="40">
        <f>IF(E13,E28,0)</f>
        <v>0</v>
      </c>
      <c r="F39" s="41"/>
      <c r="G39" s="40">
        <f>IF(G13,G28,0)</f>
        <v>0</v>
      </c>
      <c r="H39" s="41"/>
      <c r="I39" s="40">
        <f>IF(I13,I28,0)</f>
        <v>0</v>
      </c>
      <c r="J39" s="41"/>
      <c r="K39" s="40">
        <f>IF(K13,K28,0)</f>
        <v>0</v>
      </c>
      <c r="L39" s="68"/>
      <c r="M39" s="68"/>
      <c r="N39" s="40">
        <f>IF(N13,N28,0)</f>
        <v>0</v>
      </c>
      <c r="O39" s="68"/>
      <c r="P39" s="86">
        <f>IF(P13,P28,0)</f>
        <v>0</v>
      </c>
      <c r="Q39" s="98"/>
      <c r="R39" s="68">
        <f>IF(R13,R28,0)</f>
        <v>0</v>
      </c>
      <c r="S39" s="98"/>
      <c r="T39" s="68">
        <f t="shared" ref="T39" si="11">IF(T13,T28,0)</f>
        <v>0</v>
      </c>
      <c r="U39" s="68"/>
      <c r="V39" s="107"/>
    </row>
    <row r="40" spans="1:24" x14ac:dyDescent="0.2">
      <c r="A40" s="43" t="s">
        <v>42</v>
      </c>
      <c r="B40" s="21" t="s">
        <v>49</v>
      </c>
      <c r="C40" s="40">
        <f>C39+C38+C37</f>
        <v>141.233766233766</v>
      </c>
      <c r="D40" s="41"/>
      <c r="E40" s="40">
        <f>E39+E38+E37</f>
        <v>84.740259740259745</v>
      </c>
      <c r="F40" s="41"/>
      <c r="G40" s="40">
        <f>G39+G38+G37</f>
        <v>0</v>
      </c>
      <c r="H40" s="41"/>
      <c r="I40" s="40">
        <f>I39+I38+I37</f>
        <v>10</v>
      </c>
      <c r="J40" s="41"/>
      <c r="K40" s="40">
        <f>K39+K38+K37</f>
        <v>10</v>
      </c>
      <c r="L40" s="68"/>
      <c r="M40" s="68"/>
      <c r="N40" s="40">
        <f>N39+N38+N37</f>
        <v>115</v>
      </c>
      <c r="O40" s="68"/>
      <c r="P40" s="86">
        <f>P39+P38+P37</f>
        <v>115</v>
      </c>
      <c r="Q40" s="98"/>
      <c r="R40" s="68">
        <f>R39+R38+R37</f>
        <v>109.02597402597402</v>
      </c>
      <c r="S40" s="98"/>
      <c r="T40" s="68">
        <f t="shared" ref="T40" si="12">T39+T38+T37</f>
        <v>115</v>
      </c>
      <c r="U40" s="68"/>
    </row>
    <row r="41" spans="1:24" x14ac:dyDescent="0.2">
      <c r="A41" s="44" t="s">
        <v>41</v>
      </c>
      <c r="B41" s="21" t="s">
        <v>49</v>
      </c>
      <c r="C41" s="40">
        <f>C40*C34</f>
        <v>2316.2337662337623</v>
      </c>
      <c r="D41" s="41"/>
      <c r="E41" s="40">
        <f>E40*E34</f>
        <v>868.58766233766244</v>
      </c>
      <c r="F41" s="41"/>
      <c r="G41" s="40">
        <f>G40*G34</f>
        <v>0</v>
      </c>
      <c r="H41" s="41"/>
      <c r="I41" s="40">
        <f>I40*I34</f>
        <v>122.99999999999999</v>
      </c>
      <c r="J41" s="41"/>
      <c r="K41" s="40">
        <f>K40*K34</f>
        <v>122.99999999999999</v>
      </c>
      <c r="L41" s="68"/>
      <c r="M41" s="68"/>
      <c r="N41" s="40">
        <f>N40*N34</f>
        <v>1414.4999999999998</v>
      </c>
      <c r="O41" s="68"/>
      <c r="P41" s="86">
        <f>P40*P34</f>
        <v>942.99999999999989</v>
      </c>
      <c r="Q41" s="98"/>
      <c r="R41" s="68">
        <f>R40*R34</f>
        <v>894.01298701298686</v>
      </c>
      <c r="S41" s="98"/>
      <c r="T41" s="68">
        <f t="shared" ref="T41" si="13">T40*T34</f>
        <v>1178.75</v>
      </c>
      <c r="U41" s="68"/>
      <c r="X41" s="37"/>
    </row>
    <row r="42" spans="1:24" x14ac:dyDescent="0.2">
      <c r="A42" s="34" t="s">
        <v>33</v>
      </c>
      <c r="B42" s="21" t="s">
        <v>49</v>
      </c>
      <c r="C42" s="40">
        <f>C25-C41</f>
        <v>-236.23376623376225</v>
      </c>
      <c r="D42" s="41"/>
      <c r="E42" s="40">
        <f>E25-E41</f>
        <v>498.07900432900431</v>
      </c>
      <c r="F42" s="41"/>
      <c r="G42" s="40">
        <f>G25-G41</f>
        <v>2080</v>
      </c>
      <c r="H42" s="41"/>
      <c r="I42" s="40">
        <f>I25-I41</f>
        <v>1477</v>
      </c>
      <c r="J42" s="41"/>
      <c r="K42" s="40">
        <f>K25-K41</f>
        <v>1477</v>
      </c>
      <c r="L42" s="68"/>
      <c r="M42" s="68"/>
      <c r="N42" s="40">
        <f>N25-N41</f>
        <v>-43.071428571428214</v>
      </c>
      <c r="O42" s="68"/>
      <c r="P42" s="86">
        <f>P25-P41</f>
        <v>123.66666666666686</v>
      </c>
      <c r="Q42" s="98"/>
      <c r="R42" s="68">
        <f>R25-R41</f>
        <v>385.98701298701314</v>
      </c>
      <c r="S42" s="98"/>
      <c r="T42" s="68">
        <f t="shared" ref="T42" si="14">T25-T41</f>
        <v>421.25</v>
      </c>
      <c r="U42" s="68"/>
    </row>
    <row r="43" spans="1:24" x14ac:dyDescent="0.2">
      <c r="A43" s="34" t="s">
        <v>36</v>
      </c>
      <c r="B43" s="21" t="s">
        <v>49</v>
      </c>
      <c r="C43" s="40">
        <f>C16*C34</f>
        <v>245.99999999999997</v>
      </c>
      <c r="D43" s="41"/>
      <c r="E43" s="40">
        <f>E16*E34</f>
        <v>153.75</v>
      </c>
      <c r="F43" s="41"/>
      <c r="G43" s="40">
        <f>G16*G34</f>
        <v>245.99999999999997</v>
      </c>
      <c r="H43" s="41"/>
      <c r="I43" s="40">
        <f>I16*I34</f>
        <v>184.49999999999997</v>
      </c>
      <c r="J43" s="41"/>
      <c r="K43" s="40">
        <f>K16*K34</f>
        <v>184.49999999999997</v>
      </c>
      <c r="L43" s="68"/>
      <c r="M43" s="68"/>
      <c r="N43" s="40">
        <f>N16*N34</f>
        <v>184.49999999999997</v>
      </c>
      <c r="O43" s="68"/>
      <c r="P43" s="86">
        <f>P16*P34</f>
        <v>122.99999999999999</v>
      </c>
      <c r="Q43" s="98"/>
      <c r="R43" s="68">
        <f>R16*R34</f>
        <v>122.99999999999999</v>
      </c>
      <c r="S43" s="98"/>
      <c r="T43" s="68">
        <f>T16*T34</f>
        <v>153.75</v>
      </c>
      <c r="U43" s="68"/>
    </row>
    <row r="44" spans="1:24" x14ac:dyDescent="0.2">
      <c r="A44" s="34" t="s">
        <v>40</v>
      </c>
      <c r="B44" s="21" t="s">
        <v>49</v>
      </c>
      <c r="C44" s="40">
        <f>IF((C43-C42)&gt;=0,(C43-C42),0)</f>
        <v>482.23376623376225</v>
      </c>
      <c r="D44" s="41"/>
      <c r="E44" s="40">
        <f>IF((E43-E42)&gt;=0,(E43-E42),0)</f>
        <v>0</v>
      </c>
      <c r="F44" s="41"/>
      <c r="G44" s="40">
        <f>IF((G43-G42)&gt;=0,(G43-G42),0)</f>
        <v>0</v>
      </c>
      <c r="H44" s="41"/>
      <c r="I44" s="40">
        <f>IF((I43-I42)&gt;=0,(I43-I42),0)</f>
        <v>0</v>
      </c>
      <c r="J44" s="41"/>
      <c r="K44" s="40">
        <f>IF((K43-K42)&gt;=0,(K43-K42),0)</f>
        <v>0</v>
      </c>
      <c r="L44" s="68"/>
      <c r="M44" s="68"/>
      <c r="N44" s="40">
        <f>IF((N43-N42)&gt;=0,(N43-N42),0)</f>
        <v>227.57142857142819</v>
      </c>
      <c r="O44" s="68"/>
      <c r="P44" s="86">
        <f>IF((P43-P42)&gt;=0,(P43-P42),0)</f>
        <v>0</v>
      </c>
      <c r="Q44" s="98"/>
      <c r="R44" s="68">
        <f>IF((R43-R42)&gt;=0,(R43-R42),0)</f>
        <v>0</v>
      </c>
      <c r="S44" s="98"/>
      <c r="T44" s="68">
        <f t="shared" ref="T44" si="15">IF((T43-T42)&gt;=0,(T43-T42),0)</f>
        <v>0</v>
      </c>
      <c r="U44" s="68"/>
      <c r="V44" s="110" t="s">
        <v>34</v>
      </c>
    </row>
    <row r="45" spans="1:24" x14ac:dyDescent="0.2">
      <c r="A45" s="44" t="s">
        <v>43</v>
      </c>
      <c r="B45" s="21" t="s">
        <v>49</v>
      </c>
      <c r="C45" s="40">
        <f>C41-C44</f>
        <v>1834</v>
      </c>
      <c r="D45" s="41"/>
      <c r="E45" s="40">
        <f>E41-E44</f>
        <v>868.58766233766244</v>
      </c>
      <c r="F45" s="41"/>
      <c r="G45" s="40">
        <f>G41-G44</f>
        <v>0</v>
      </c>
      <c r="H45" s="41"/>
      <c r="I45" s="40">
        <f>I41-I44</f>
        <v>122.99999999999999</v>
      </c>
      <c r="J45" s="41"/>
      <c r="K45" s="40">
        <f>K41-K44</f>
        <v>122.99999999999999</v>
      </c>
      <c r="L45" s="68"/>
      <c r="M45" s="68"/>
      <c r="N45" s="40">
        <f>N41-N44</f>
        <v>1186.9285714285716</v>
      </c>
      <c r="O45" s="68"/>
      <c r="P45" s="86">
        <f>P41-P44</f>
        <v>942.99999999999989</v>
      </c>
      <c r="Q45" s="98"/>
      <c r="R45" s="68">
        <f>R41-R44</f>
        <v>894.01298701298686</v>
      </c>
      <c r="S45" s="98"/>
      <c r="T45" s="68">
        <f t="shared" ref="T45" si="16">T41-T44</f>
        <v>1178.75</v>
      </c>
      <c r="U45" s="68"/>
    </row>
    <row r="46" spans="1:24" x14ac:dyDescent="0.2">
      <c r="A46" s="34" t="s">
        <v>28</v>
      </c>
      <c r="B46" s="21" t="s">
        <v>49</v>
      </c>
      <c r="C46" s="40">
        <f>C10</f>
        <v>0</v>
      </c>
      <c r="D46" s="41"/>
      <c r="E46" s="40">
        <f>E10</f>
        <v>0</v>
      </c>
      <c r="F46" s="41"/>
      <c r="G46" s="40">
        <f>G10</f>
        <v>0</v>
      </c>
      <c r="H46" s="41"/>
      <c r="I46" s="40">
        <f>I10</f>
        <v>0</v>
      </c>
      <c r="J46" s="41"/>
      <c r="K46" s="40">
        <f>K10</f>
        <v>0</v>
      </c>
      <c r="L46" s="68"/>
      <c r="M46" s="68"/>
      <c r="N46" s="40">
        <f>N10</f>
        <v>0</v>
      </c>
      <c r="O46" s="68"/>
      <c r="P46" s="86">
        <f>P10</f>
        <v>0</v>
      </c>
      <c r="Q46" s="98"/>
      <c r="R46" s="68">
        <f>R10</f>
        <v>10</v>
      </c>
      <c r="S46" s="98"/>
      <c r="T46" s="68">
        <f t="shared" ref="T46" si="17">T10</f>
        <v>0</v>
      </c>
      <c r="U46" s="68"/>
    </row>
    <row r="47" spans="1:24" x14ac:dyDescent="0.2">
      <c r="A47" s="21" t="s">
        <v>29</v>
      </c>
      <c r="B47" s="21" t="s">
        <v>49</v>
      </c>
      <c r="C47" s="40">
        <f>IF(C11,C18,0)</f>
        <v>0</v>
      </c>
      <c r="D47" s="41"/>
      <c r="E47" s="40">
        <f>IF(E11,E18,0)</f>
        <v>32</v>
      </c>
      <c r="F47" s="41"/>
      <c r="G47" s="40">
        <f>IF(G11,G18,0)</f>
        <v>0</v>
      </c>
      <c r="H47" s="41"/>
      <c r="I47" s="40">
        <f>IF(I11,I18,0)</f>
        <v>0</v>
      </c>
      <c r="J47" s="41"/>
      <c r="K47" s="40">
        <f>IF(K11,K18,0)</f>
        <v>0</v>
      </c>
      <c r="L47" s="68"/>
      <c r="M47" s="68"/>
      <c r="N47" s="40">
        <f>IF(N11,N18,0)</f>
        <v>0</v>
      </c>
      <c r="O47" s="68"/>
      <c r="P47" s="86">
        <f>IF(P11,P18,0)</f>
        <v>32</v>
      </c>
      <c r="Q47" s="98"/>
      <c r="R47" s="68">
        <f>IF(R11,R18,0)</f>
        <v>0</v>
      </c>
      <c r="S47" s="98"/>
      <c r="T47" s="68">
        <f t="shared" ref="T47" si="18">IF(T11,T18,0)</f>
        <v>0</v>
      </c>
      <c r="U47" s="68"/>
    </row>
    <row r="48" spans="1:24" x14ac:dyDescent="0.2">
      <c r="A48" s="34" t="s">
        <v>37</v>
      </c>
      <c r="B48" s="21" t="s">
        <v>49</v>
      </c>
      <c r="C48" s="40">
        <f>(C46+C47)*C34</f>
        <v>0</v>
      </c>
      <c r="D48" s="41"/>
      <c r="E48" s="40">
        <f>(E46+E47)*E34</f>
        <v>328</v>
      </c>
      <c r="F48" s="41"/>
      <c r="G48" s="40">
        <f>(G46+G47)*G34</f>
        <v>0</v>
      </c>
      <c r="H48" s="41"/>
      <c r="I48" s="40">
        <f>(I46+I47)*I34</f>
        <v>0</v>
      </c>
      <c r="J48" s="41"/>
      <c r="K48" s="40">
        <f>(K46+K47)*K34</f>
        <v>0</v>
      </c>
      <c r="L48" s="68"/>
      <c r="M48" s="68"/>
      <c r="N48" s="40">
        <f>(N46+N47)*N34</f>
        <v>0</v>
      </c>
      <c r="O48" s="68"/>
      <c r="P48" s="86">
        <f>(P46+P47)*P34</f>
        <v>262.39999999999998</v>
      </c>
      <c r="Q48" s="98"/>
      <c r="R48" s="68">
        <f>(R46+R47)*R34</f>
        <v>82</v>
      </c>
      <c r="S48" s="98"/>
      <c r="T48" s="68">
        <f t="shared" ref="T48" si="19">(T46+T47)*T34</f>
        <v>0</v>
      </c>
      <c r="U48" s="68"/>
    </row>
    <row r="49" spans="1:22" x14ac:dyDescent="0.2">
      <c r="A49" s="45" t="s">
        <v>44</v>
      </c>
      <c r="B49" s="45" t="s">
        <v>49</v>
      </c>
      <c r="C49" s="46">
        <f>C45+C48</f>
        <v>1834</v>
      </c>
      <c r="D49" s="47"/>
      <c r="E49" s="46">
        <f>E45+E48</f>
        <v>1196.5876623376626</v>
      </c>
      <c r="F49" s="47"/>
      <c r="G49" s="46">
        <f>G45+G48</f>
        <v>0</v>
      </c>
      <c r="H49" s="47"/>
      <c r="I49" s="46">
        <f>I45+I48</f>
        <v>122.99999999999999</v>
      </c>
      <c r="J49" s="47"/>
      <c r="K49" s="46">
        <f>K45+K48</f>
        <v>122.99999999999999</v>
      </c>
      <c r="L49" s="69"/>
      <c r="M49" s="69"/>
      <c r="N49" s="46">
        <f>N45+N48</f>
        <v>1186.9285714285716</v>
      </c>
      <c r="O49" s="46"/>
      <c r="P49" s="46">
        <f>P45+P48</f>
        <v>1205.3999999999999</v>
      </c>
      <c r="Q49" s="99"/>
      <c r="R49" s="69">
        <f>R45+R48</f>
        <v>976.01298701298686</v>
      </c>
      <c r="S49" s="99"/>
      <c r="T49" s="69">
        <f t="shared" ref="T49" si="20">T45+T48</f>
        <v>1178.75</v>
      </c>
      <c r="U49" s="46"/>
    </row>
    <row r="50" spans="1:22" x14ac:dyDescent="0.2">
      <c r="A50" s="11" t="s">
        <v>56</v>
      </c>
      <c r="C50" s="55">
        <f>IF((C34*(C38+C39))&lt;C49,(C34*(C38+C39)),(C49-(C37*C34)))</f>
        <v>0</v>
      </c>
      <c r="E50" s="55">
        <f>IF((E34*(E38+E39))&lt;E49,(E34*(E38+E39)),(E49-(E37*E34)))</f>
        <v>0</v>
      </c>
      <c r="G50" s="55">
        <f>IF((G34*(G38+G39))&lt;G49,(G34*(G38+G39)),(G49-(G37*G34)))</f>
        <v>0</v>
      </c>
      <c r="I50" s="55">
        <f>IF((I34*(I38+I39))&lt;I49,(I34*(I38+I39)),(I49-(I37*I34)))</f>
        <v>0</v>
      </c>
      <c r="K50" s="55">
        <f>IF((K34*(K38+K39))&lt;K49,(K34*(K38+K39)),(K49-(K37*K34)))</f>
        <v>0</v>
      </c>
      <c r="N50" s="55">
        <f>IF((N34*(N38+N39))&lt;N49,(N34*(N38+N39)),(N49-(N37*N34)))</f>
        <v>0</v>
      </c>
      <c r="O50" s="55"/>
      <c r="P50" s="100">
        <f>IF((P34*(P38+P39))&lt;P49,(P34*(P38+P39)),(P49-(P37*P34)))</f>
        <v>0</v>
      </c>
      <c r="Q50" s="101"/>
      <c r="R50" s="55">
        <f>IF((R34*(R38+R39))&lt;R49,(R34*(R38+R39)),(R49-(R37*R34)))</f>
        <v>0</v>
      </c>
      <c r="S50" s="101"/>
      <c r="T50" s="55">
        <f t="shared" ref="T50" si="21">IF((T34*(T38+T39))&lt;T49,(T34*(T38+T39)),(T49-(T37*T34)))</f>
        <v>0</v>
      </c>
      <c r="U50" s="55"/>
    </row>
    <row r="51" spans="1:22" x14ac:dyDescent="0.2">
      <c r="P51" s="102"/>
      <c r="Q51" s="91"/>
      <c r="R51"/>
      <c r="S51" s="91"/>
      <c r="T51"/>
    </row>
    <row r="52" spans="1:22" x14ac:dyDescent="0.2">
      <c r="C52" s="56"/>
      <c r="P52" s="102"/>
      <c r="Q52" s="91"/>
      <c r="R52"/>
      <c r="S52" s="91"/>
      <c r="T52"/>
    </row>
    <row r="53" spans="1:22" x14ac:dyDescent="0.2">
      <c r="A53" t="s">
        <v>60</v>
      </c>
      <c r="B53"/>
      <c r="C53" s="59">
        <f>SUM(C48,C41)</f>
        <v>2316.2337662337623</v>
      </c>
      <c r="D53" s="59"/>
      <c r="E53" s="59">
        <f t="shared" ref="E53:K53" si="22">SUM(E48,E41)</f>
        <v>1196.5876623376626</v>
      </c>
      <c r="F53" s="59"/>
      <c r="G53" s="59">
        <f t="shared" ref="G53" si="23">SUM(G48,G41)</f>
        <v>0</v>
      </c>
      <c r="H53" s="59"/>
      <c r="I53" s="59">
        <f t="shared" si="22"/>
        <v>122.99999999999999</v>
      </c>
      <c r="J53" s="59"/>
      <c r="K53" s="59">
        <f t="shared" si="22"/>
        <v>122.99999999999999</v>
      </c>
      <c r="N53" s="59">
        <f t="shared" ref="N53" si="24">SUM(N48,N41)</f>
        <v>1414.4999999999998</v>
      </c>
      <c r="O53" s="59"/>
      <c r="P53" s="103">
        <f>SUM(P48,P41)</f>
        <v>1205.3999999999999</v>
      </c>
      <c r="Q53" s="91"/>
      <c r="R53" s="59">
        <f>SUM(R48,R41)</f>
        <v>976.01298701298686</v>
      </c>
      <c r="S53" s="91"/>
      <c r="T53" s="59">
        <f t="shared" ref="T53" si="25">SUM(T48,T41)</f>
        <v>1178.75</v>
      </c>
    </row>
    <row r="54" spans="1:22" x14ac:dyDescent="0.2">
      <c r="A54" t="s">
        <v>61</v>
      </c>
      <c r="B54"/>
      <c r="C54" s="59">
        <f>IF(C42&lt;0,C41+C42,C41)+C48</f>
        <v>2080</v>
      </c>
      <c r="D54" s="59"/>
      <c r="E54" s="59">
        <f t="shared" ref="E54:K54" si="26">IF(E42&lt;0,E41+E42,E41)+E48</f>
        <v>1196.5876623376626</v>
      </c>
      <c r="F54" s="59"/>
      <c r="G54" s="59">
        <f t="shared" ref="G54" si="27">IF(G42&lt;0,G41+G42,G41)+G48</f>
        <v>0</v>
      </c>
      <c r="H54" s="59"/>
      <c r="I54" s="59">
        <f t="shared" si="26"/>
        <v>122.99999999999999</v>
      </c>
      <c r="J54" s="59"/>
      <c r="K54" s="59">
        <f t="shared" si="26"/>
        <v>122.99999999999999</v>
      </c>
      <c r="N54" s="59">
        <f t="shared" ref="N54" si="28">IF(N42&lt;0,N41+N42,N41)+N48</f>
        <v>1371.4285714285716</v>
      </c>
      <c r="O54" s="59"/>
      <c r="P54" s="103">
        <f>IF(P42&lt;0,P41+P42,P41)+P48</f>
        <v>1205.3999999999999</v>
      </c>
      <c r="Q54" s="91"/>
      <c r="R54" s="59">
        <f>IF(R42&lt;0,R41+R42,R41)+R48</f>
        <v>976.01298701298686</v>
      </c>
      <c r="S54" s="91"/>
      <c r="T54" s="59">
        <f t="shared" ref="T54" si="29">IF(T42&lt;0,T41+T42,T41)+T48</f>
        <v>1178.75</v>
      </c>
    </row>
    <row r="55" spans="1:22" x14ac:dyDescent="0.2">
      <c r="A55" t="s">
        <v>58</v>
      </c>
      <c r="B55"/>
      <c r="C55" s="59">
        <f>IF(C43&gt;C44,C44,C43)</f>
        <v>245.99999999999997</v>
      </c>
      <c r="D55" s="59"/>
      <c r="E55" s="59">
        <f t="shared" ref="E55:K55" si="30">IF(E43&gt;E44,E44,E43)</f>
        <v>0</v>
      </c>
      <c r="F55" s="59"/>
      <c r="G55" s="59">
        <f t="shared" ref="G55" si="31">IF(G43&gt;G44,G44,G43)</f>
        <v>0</v>
      </c>
      <c r="H55" s="59"/>
      <c r="I55" s="59">
        <f t="shared" si="30"/>
        <v>0</v>
      </c>
      <c r="J55" s="59"/>
      <c r="K55" s="59">
        <f t="shared" si="30"/>
        <v>0</v>
      </c>
      <c r="N55" s="59">
        <f t="shared" ref="N55" si="32">IF(N43&gt;N44,N44,N43)</f>
        <v>184.49999999999997</v>
      </c>
      <c r="O55" s="59"/>
      <c r="P55" s="103">
        <f>IF(P43&gt;P44,P44,P43)</f>
        <v>0</v>
      </c>
      <c r="Q55" s="91"/>
      <c r="R55" s="59">
        <f>IF(R43&gt;R44,R44,R43)</f>
        <v>0</v>
      </c>
      <c r="S55" s="91"/>
      <c r="T55" s="59">
        <f t="shared" ref="T55" si="33">IF(T43&gt;T44,T44,T43)</f>
        <v>0</v>
      </c>
    </row>
    <row r="56" spans="1:22" x14ac:dyDescent="0.2">
      <c r="A56" t="s">
        <v>59</v>
      </c>
      <c r="B56"/>
      <c r="C56" s="59">
        <f>C54-C55</f>
        <v>1834</v>
      </c>
      <c r="D56" s="59"/>
      <c r="E56" s="59">
        <f t="shared" ref="E56:K56" si="34">E54-E55</f>
        <v>1196.5876623376626</v>
      </c>
      <c r="F56" s="59"/>
      <c r="G56" s="59">
        <f t="shared" ref="G56" si="35">G54-G55</f>
        <v>0</v>
      </c>
      <c r="H56" s="59"/>
      <c r="I56" s="59">
        <f t="shared" si="34"/>
        <v>122.99999999999999</v>
      </c>
      <c r="J56" s="59"/>
      <c r="K56" s="59">
        <f t="shared" si="34"/>
        <v>122.99999999999999</v>
      </c>
      <c r="N56" s="59">
        <f t="shared" ref="N56" si="36">N54-N55</f>
        <v>1186.9285714285716</v>
      </c>
      <c r="O56" s="59"/>
      <c r="P56" s="103">
        <f t="shared" ref="P56" si="37">P54-P55</f>
        <v>1205.3999999999999</v>
      </c>
      <c r="Q56" s="91"/>
      <c r="R56" s="59">
        <f t="shared" ref="R56" si="38">R54-R55</f>
        <v>976.01298701298686</v>
      </c>
      <c r="S56" s="91"/>
      <c r="T56" s="59">
        <f t="shared" ref="T56" si="39">T54-T55</f>
        <v>1178.75</v>
      </c>
    </row>
    <row r="57" spans="1:22" x14ac:dyDescent="0.2">
      <c r="V57" s="108"/>
    </row>
  </sheetData>
  <sheetProtection selectLockedCells="1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6"/>
  <sheetViews>
    <sheetView showGridLines="0" zoomScale="85" zoomScaleNormal="85" workbookViewId="0">
      <selection activeCell="C25" sqref="C25"/>
    </sheetView>
  </sheetViews>
  <sheetFormatPr baseColWidth="10" defaultRowHeight="12.75" x14ac:dyDescent="0.2"/>
  <cols>
    <col min="1" max="1" width="52.28515625" bestFit="1" customWidth="1"/>
    <col min="2" max="2" width="3.42578125" customWidth="1"/>
    <col min="3" max="3" width="15.140625" bestFit="1" customWidth="1"/>
    <col min="4" max="4" width="1.5703125" customWidth="1"/>
    <col min="5" max="5" width="15.140625" bestFit="1" customWidth="1"/>
    <col min="6" max="6" width="1.5703125" customWidth="1"/>
    <col min="7" max="7" width="3.42578125" customWidth="1"/>
    <col min="8" max="8" width="103.28515625" bestFit="1" customWidth="1"/>
    <col min="9" max="9" width="4.42578125" bestFit="1" customWidth="1"/>
    <col min="10" max="10" width="15.140625" bestFit="1" customWidth="1"/>
    <col min="12" max="12" width="15.140625" bestFit="1" customWidth="1"/>
    <col min="14" max="14" width="3.28515625" customWidth="1"/>
    <col min="15" max="15" width="47" customWidth="1"/>
  </cols>
  <sheetData>
    <row r="1" spans="1:8" ht="18" x14ac:dyDescent="0.25">
      <c r="A1" s="3" t="s">
        <v>50</v>
      </c>
    </row>
    <row r="2" spans="1:8" x14ac:dyDescent="0.2">
      <c r="A2" s="12" t="s">
        <v>48</v>
      </c>
    </row>
    <row r="3" spans="1:8" ht="12" customHeight="1" x14ac:dyDescent="0.25">
      <c r="A3" s="3"/>
    </row>
    <row r="4" spans="1:8" x14ac:dyDescent="0.2">
      <c r="A4" s="11"/>
      <c r="B4" s="11"/>
      <c r="C4" s="13" t="s">
        <v>1</v>
      </c>
      <c r="D4" s="14"/>
      <c r="E4" s="13" t="s">
        <v>2</v>
      </c>
      <c r="F4" s="15"/>
      <c r="G4" s="11"/>
      <c r="H4" s="11"/>
    </row>
    <row r="5" spans="1:8" x14ac:dyDescent="0.2">
      <c r="A5" s="16" t="s">
        <v>46</v>
      </c>
      <c r="B5" s="17"/>
      <c r="C5" s="18"/>
      <c r="D5" s="19"/>
      <c r="E5" s="18"/>
      <c r="F5" s="20"/>
      <c r="G5" s="11"/>
      <c r="H5" s="11"/>
    </row>
    <row r="6" spans="1:8" x14ac:dyDescent="0.2">
      <c r="A6" s="21" t="s">
        <v>45</v>
      </c>
      <c r="B6" s="21" t="s">
        <v>49</v>
      </c>
      <c r="C6" s="4">
        <v>1600</v>
      </c>
      <c r="D6" s="5"/>
      <c r="E6" s="4">
        <v>2200</v>
      </c>
      <c r="F6" s="5"/>
      <c r="G6" s="11"/>
      <c r="H6" s="22"/>
    </row>
    <row r="7" spans="1:8" x14ac:dyDescent="0.2">
      <c r="A7" s="21" t="s">
        <v>13</v>
      </c>
      <c r="B7" s="21"/>
      <c r="C7" s="6">
        <v>0.6</v>
      </c>
      <c r="D7" s="7"/>
      <c r="E7" s="6">
        <v>0.6</v>
      </c>
      <c r="F7" s="7"/>
      <c r="G7" s="23"/>
      <c r="H7" s="24"/>
    </row>
    <row r="8" spans="1:8" x14ac:dyDescent="0.2">
      <c r="A8" s="21" t="s">
        <v>30</v>
      </c>
      <c r="B8" s="21"/>
      <c r="C8" s="6">
        <v>0.6</v>
      </c>
      <c r="D8" s="7"/>
      <c r="E8" s="6">
        <v>0.6</v>
      </c>
      <c r="F8" s="7"/>
      <c r="G8" s="23"/>
      <c r="H8" s="24"/>
    </row>
    <row r="9" spans="1:8" x14ac:dyDescent="0.2">
      <c r="A9" s="21" t="s">
        <v>8</v>
      </c>
      <c r="B9" s="21" t="s">
        <v>49</v>
      </c>
      <c r="C9" s="4">
        <v>125001</v>
      </c>
      <c r="D9" s="5"/>
      <c r="E9" s="8">
        <v>48000</v>
      </c>
      <c r="F9" s="9"/>
      <c r="G9" s="11"/>
      <c r="H9" s="11"/>
    </row>
    <row r="10" spans="1:8" ht="12.75" customHeight="1" x14ac:dyDescent="0.2">
      <c r="A10" s="21" t="s">
        <v>22</v>
      </c>
      <c r="B10" s="21" t="s">
        <v>49</v>
      </c>
      <c r="C10" s="4">
        <v>1</v>
      </c>
      <c r="D10" s="5"/>
      <c r="E10" s="8">
        <v>0</v>
      </c>
      <c r="F10" s="9"/>
      <c r="G10" s="11"/>
      <c r="H10" s="11"/>
    </row>
    <row r="11" spans="1:8" x14ac:dyDescent="0.2">
      <c r="A11" s="21" t="s">
        <v>26</v>
      </c>
      <c r="B11" s="21"/>
      <c r="C11" s="4" t="b">
        <v>1</v>
      </c>
      <c r="D11" s="5"/>
      <c r="E11" s="4" t="b">
        <v>1</v>
      </c>
      <c r="F11" s="9"/>
      <c r="G11" s="11"/>
      <c r="H11" s="11" t="s">
        <v>38</v>
      </c>
    </row>
    <row r="12" spans="1:8" x14ac:dyDescent="0.2">
      <c r="A12" s="21" t="s">
        <v>27</v>
      </c>
      <c r="B12" s="21"/>
      <c r="C12" s="4" t="b">
        <v>0</v>
      </c>
      <c r="D12" s="5"/>
      <c r="E12" s="4" t="b">
        <v>0</v>
      </c>
      <c r="F12" s="9"/>
      <c r="G12" s="11"/>
      <c r="H12" s="11" t="s">
        <v>39</v>
      </c>
    </row>
    <row r="13" spans="1:8" x14ac:dyDescent="0.2">
      <c r="A13" s="11"/>
      <c r="B13" s="11"/>
      <c r="C13" s="13"/>
      <c r="D13" s="14"/>
      <c r="E13" s="13"/>
      <c r="F13" s="15"/>
      <c r="G13" s="11"/>
      <c r="H13" s="11"/>
    </row>
    <row r="14" spans="1:8" x14ac:dyDescent="0.2">
      <c r="A14" s="16" t="s">
        <v>5</v>
      </c>
      <c r="B14" s="17"/>
      <c r="C14" s="18"/>
      <c r="D14" s="19"/>
      <c r="E14" s="18"/>
      <c r="F14" s="20"/>
      <c r="G14" s="11"/>
      <c r="H14" s="11"/>
    </row>
    <row r="15" spans="1:8" x14ac:dyDescent="0.2">
      <c r="A15" s="11" t="s">
        <v>0</v>
      </c>
      <c r="B15" s="21" t="s">
        <v>49</v>
      </c>
      <c r="C15" s="2">
        <v>0.7</v>
      </c>
      <c r="D15" s="15"/>
      <c r="E15" s="2">
        <v>0.7</v>
      </c>
      <c r="F15" s="15"/>
      <c r="G15" s="11"/>
      <c r="H15" s="11"/>
    </row>
    <row r="16" spans="1:8" ht="12.75" customHeight="1" x14ac:dyDescent="0.2">
      <c r="A16" s="11" t="s">
        <v>3</v>
      </c>
      <c r="B16" s="21" t="s">
        <v>49</v>
      </c>
      <c r="C16" s="2">
        <v>12.4</v>
      </c>
      <c r="D16" s="15"/>
      <c r="E16" s="2">
        <v>16.3</v>
      </c>
      <c r="F16" s="15"/>
      <c r="G16" s="11"/>
      <c r="H16" s="11"/>
    </row>
    <row r="17" spans="1:8" x14ac:dyDescent="0.2">
      <c r="A17" s="37" t="s">
        <v>15</v>
      </c>
      <c r="B17" s="49" t="s">
        <v>49</v>
      </c>
      <c r="C17" s="50" t="s">
        <v>54</v>
      </c>
      <c r="D17" s="51"/>
      <c r="E17" s="50" t="s">
        <v>54</v>
      </c>
      <c r="F17" s="51"/>
      <c r="G17" s="11"/>
    </row>
    <row r="18" spans="1:8" x14ac:dyDescent="0.2">
      <c r="A18" s="11"/>
      <c r="B18" s="11"/>
      <c r="C18" s="25"/>
      <c r="D18" s="15"/>
      <c r="E18" s="25"/>
      <c r="F18" s="15"/>
      <c r="G18" s="11"/>
      <c r="H18" s="11"/>
    </row>
    <row r="19" spans="1:8" x14ac:dyDescent="0.2">
      <c r="A19" s="16" t="s">
        <v>4</v>
      </c>
      <c r="B19" s="17"/>
      <c r="C19" s="18"/>
      <c r="D19" s="19"/>
      <c r="E19" s="18"/>
      <c r="F19" s="20"/>
      <c r="G19" s="11"/>
      <c r="H19" s="11"/>
    </row>
    <row r="20" spans="1:8" x14ac:dyDescent="0.2">
      <c r="A20" s="26" t="s">
        <v>16</v>
      </c>
      <c r="B20" s="21" t="s">
        <v>49</v>
      </c>
      <c r="C20" s="27">
        <v>48000</v>
      </c>
      <c r="D20" s="28"/>
      <c r="E20" s="27">
        <v>48000</v>
      </c>
      <c r="F20" s="29"/>
      <c r="G20" s="11"/>
      <c r="H20" s="11"/>
    </row>
    <row r="21" spans="1:8" x14ac:dyDescent="0.2">
      <c r="A21" s="11" t="s">
        <v>6</v>
      </c>
      <c r="B21" s="21" t="s">
        <v>49</v>
      </c>
      <c r="C21" s="27">
        <v>125000</v>
      </c>
      <c r="D21" s="28"/>
      <c r="E21" s="27">
        <v>125000</v>
      </c>
      <c r="F21" s="29"/>
      <c r="G21" s="11"/>
      <c r="H21" s="11"/>
    </row>
    <row r="22" spans="1:8" x14ac:dyDescent="0.2">
      <c r="A22" s="11"/>
      <c r="B22" s="11"/>
      <c r="C22" s="25"/>
      <c r="D22" s="15"/>
      <c r="E22" s="25"/>
      <c r="F22" s="15"/>
      <c r="G22" s="11"/>
      <c r="H22" s="11"/>
    </row>
    <row r="23" spans="1:8" x14ac:dyDescent="0.2">
      <c r="A23" s="16" t="s">
        <v>21</v>
      </c>
      <c r="B23" s="17"/>
      <c r="C23" s="18"/>
      <c r="D23" s="19"/>
      <c r="E23" s="18"/>
      <c r="F23" s="20"/>
      <c r="G23" s="11"/>
      <c r="H23" s="11"/>
    </row>
    <row r="24" spans="1:8" x14ac:dyDescent="0.2">
      <c r="A24" s="30" t="s">
        <v>7</v>
      </c>
      <c r="B24" s="30"/>
      <c r="C24" s="31">
        <f>IF(((C15/C16)+((C27*(C9-C20))))&lt;=100%,((C15/C16)+((C27*(C9-C20)))),100%)</f>
        <v>1</v>
      </c>
      <c r="D24" s="32"/>
      <c r="E24" s="31">
        <f>IF(((E15/E16)+((E27*(E9-E20))))&lt;=100%,((E15/E16)+((E27*(E9-E20)))),100%)</f>
        <v>4.2944785276073615E-2</v>
      </c>
      <c r="F24" s="32"/>
      <c r="G24" s="30"/>
      <c r="H24" s="33" t="s">
        <v>19</v>
      </c>
    </row>
    <row r="25" spans="1:8" x14ac:dyDescent="0.2">
      <c r="A25" s="34" t="s">
        <v>10</v>
      </c>
      <c r="B25" s="21" t="s">
        <v>49</v>
      </c>
      <c r="C25" s="35">
        <f>IF(C$9&lt;=125000,C$24*50%*C$16,0)</f>
        <v>0</v>
      </c>
      <c r="D25" s="15"/>
      <c r="E25" s="35">
        <f>IF(E$9&lt;=125000,E$24*50%*E$16,0)</f>
        <v>0.35</v>
      </c>
      <c r="F25" s="15"/>
      <c r="G25" s="11"/>
      <c r="H25" s="36" t="s">
        <v>17</v>
      </c>
    </row>
    <row r="26" spans="1:8" x14ac:dyDescent="0.2">
      <c r="A26" s="34" t="s">
        <v>11</v>
      </c>
      <c r="B26" s="21" t="s">
        <v>49</v>
      </c>
      <c r="C26" s="35">
        <f>IF(C$9&lt;=125000,C$24*70%*C$16,0)</f>
        <v>0</v>
      </c>
      <c r="D26" s="15"/>
      <c r="E26" s="35">
        <f>IF(E$9&lt;=125000,E$24*70%*E$16,0)</f>
        <v>0.48999999999999988</v>
      </c>
      <c r="F26" s="15"/>
      <c r="G26" s="11"/>
      <c r="H26" s="36" t="s">
        <v>18</v>
      </c>
    </row>
    <row r="27" spans="1:8" x14ac:dyDescent="0.2">
      <c r="A27" s="34" t="s">
        <v>9</v>
      </c>
      <c r="B27" s="34"/>
      <c r="C27" s="38">
        <f>((1-(C15/C16))/(C21-C20))</f>
        <v>1.2253875157100964E-5</v>
      </c>
      <c r="D27" s="39"/>
      <c r="E27" s="38">
        <f>((1-(E15/E16))/(E21-E20))</f>
        <v>1.2429288502908135E-5</v>
      </c>
      <c r="F27" s="15"/>
      <c r="G27" s="11"/>
      <c r="H27" s="22" t="s">
        <v>20</v>
      </c>
    </row>
    <row r="28" spans="1:8" x14ac:dyDescent="0.2">
      <c r="A28" s="34" t="s">
        <v>52</v>
      </c>
      <c r="B28" s="34"/>
      <c r="C28" s="35">
        <v>1</v>
      </c>
      <c r="D28" s="39"/>
      <c r="E28" s="35">
        <v>1.3</v>
      </c>
      <c r="F28" s="15"/>
      <c r="G28" s="11"/>
      <c r="H28" s="22"/>
    </row>
    <row r="29" spans="1:8" x14ac:dyDescent="0.2">
      <c r="A29" s="34" t="s">
        <v>31</v>
      </c>
      <c r="B29" s="34"/>
      <c r="C29" s="31">
        <f>MIN(C7:C8)</f>
        <v>0.6</v>
      </c>
      <c r="D29" s="39"/>
      <c r="E29" s="31">
        <f>MIN(E7:E8)</f>
        <v>0.6</v>
      </c>
      <c r="F29" s="15"/>
      <c r="G29" s="11"/>
      <c r="H29" s="22"/>
    </row>
    <row r="30" spans="1:8" x14ac:dyDescent="0.2">
      <c r="A30" s="34" t="s">
        <v>14</v>
      </c>
      <c r="B30" s="34"/>
      <c r="C30" s="25">
        <f>C29*5</f>
        <v>3</v>
      </c>
      <c r="D30" s="15"/>
      <c r="E30" s="25">
        <f>E29*5</f>
        <v>3</v>
      </c>
      <c r="F30" s="15"/>
      <c r="G30" s="11"/>
      <c r="H30" s="22"/>
    </row>
    <row r="31" spans="1:8" x14ac:dyDescent="0.2">
      <c r="A31" s="11" t="s">
        <v>12</v>
      </c>
      <c r="B31" s="11"/>
      <c r="C31" s="25">
        <v>4.0999999999999996</v>
      </c>
      <c r="D31" s="15"/>
      <c r="E31" s="25">
        <v>4.0999999999999996</v>
      </c>
      <c r="F31" s="15"/>
      <c r="G31" s="11"/>
      <c r="H31" s="22"/>
    </row>
    <row r="32" spans="1:8" x14ac:dyDescent="0.2">
      <c r="A32" s="11" t="s">
        <v>32</v>
      </c>
      <c r="B32" s="11"/>
      <c r="C32" s="25">
        <f>C30*C31*11</f>
        <v>135.29999999999998</v>
      </c>
      <c r="D32" s="15"/>
      <c r="E32" s="25">
        <f>E30*E31*11</f>
        <v>135.29999999999998</v>
      </c>
      <c r="F32" s="15"/>
      <c r="G32" s="11"/>
      <c r="H32" s="22"/>
    </row>
    <row r="33" spans="1:8" x14ac:dyDescent="0.2">
      <c r="A33" s="34"/>
      <c r="B33" s="34"/>
      <c r="C33" s="38"/>
      <c r="D33" s="39"/>
      <c r="E33" s="38"/>
      <c r="F33" s="15"/>
      <c r="G33" s="11"/>
      <c r="H33" s="22"/>
    </row>
    <row r="34" spans="1:8" x14ac:dyDescent="0.2">
      <c r="A34" s="16" t="s">
        <v>47</v>
      </c>
      <c r="B34" s="17"/>
      <c r="C34" s="18"/>
      <c r="D34" s="19"/>
      <c r="E34" s="18"/>
      <c r="F34" s="20"/>
      <c r="G34" s="11"/>
    </row>
    <row r="35" spans="1:8" x14ac:dyDescent="0.2">
      <c r="A35" s="34" t="s">
        <v>23</v>
      </c>
      <c r="B35" s="21" t="s">
        <v>49</v>
      </c>
      <c r="C35" s="40">
        <f>IF((C16*(1-C24))&gt;C28,(C16*(1-C24)),IF(C9&lt;=125000,C28,0))</f>
        <v>0</v>
      </c>
      <c r="D35" s="41"/>
      <c r="E35" s="40">
        <f>IF((E16*(1-E24))&gt;E28,(E16*(1-E24)),IF(E9&lt;=125000,E28,0))</f>
        <v>15.600000000000001</v>
      </c>
      <c r="F35" s="41"/>
      <c r="G35" s="42"/>
    </row>
    <row r="36" spans="1:8" s="1" customFormat="1" x14ac:dyDescent="0.2">
      <c r="A36" s="34" t="str">
        <f>A11</f>
        <v>Geschwisternbonus 2. Kind</v>
      </c>
      <c r="B36" s="21" t="s">
        <v>49</v>
      </c>
      <c r="C36" s="40">
        <f>IF(C11,C25,0)</f>
        <v>0</v>
      </c>
      <c r="D36" s="41"/>
      <c r="E36" s="40">
        <f>IF(E11,E25,0)</f>
        <v>0.35</v>
      </c>
      <c r="F36" s="41"/>
      <c r="G36" s="42"/>
      <c r="H36" s="11"/>
    </row>
    <row r="37" spans="1:8" x14ac:dyDescent="0.2">
      <c r="A37" s="34" t="str">
        <f>A12</f>
        <v>Geschwisternbonus 3. Kind</v>
      </c>
      <c r="B37" s="21" t="s">
        <v>49</v>
      </c>
      <c r="C37" s="40">
        <f>IF(C12,C26,0)</f>
        <v>0</v>
      </c>
      <c r="D37" s="41"/>
      <c r="E37" s="40">
        <f>IF(E12,E26,0)</f>
        <v>0</v>
      </c>
      <c r="F37" s="41"/>
      <c r="G37" s="42"/>
      <c r="H37" s="11"/>
    </row>
    <row r="38" spans="1:8" x14ac:dyDescent="0.2">
      <c r="A38" s="43" t="s">
        <v>42</v>
      </c>
      <c r="B38" s="21" t="s">
        <v>49</v>
      </c>
      <c r="C38" s="40">
        <f>C37+C36+C35</f>
        <v>0</v>
      </c>
      <c r="D38" s="41"/>
      <c r="E38" s="40">
        <f>E37+E36+E35</f>
        <v>15.950000000000001</v>
      </c>
      <c r="F38" s="41"/>
      <c r="G38" s="42"/>
      <c r="H38" s="11"/>
    </row>
    <row r="39" spans="1:8" x14ac:dyDescent="0.2">
      <c r="A39" s="44" t="s">
        <v>41</v>
      </c>
      <c r="B39" s="21" t="s">
        <v>49</v>
      </c>
      <c r="C39" s="40">
        <f>C38*C32</f>
        <v>0</v>
      </c>
      <c r="D39" s="41"/>
      <c r="E39" s="40">
        <f>E38*E32</f>
        <v>2158.0349999999999</v>
      </c>
      <c r="F39" s="41"/>
      <c r="G39" s="42"/>
      <c r="H39" s="11"/>
    </row>
    <row r="40" spans="1:8" x14ac:dyDescent="0.2">
      <c r="A40" s="34" t="s">
        <v>33</v>
      </c>
      <c r="B40" s="21" t="s">
        <v>49</v>
      </c>
      <c r="C40" s="40">
        <f>C6-C39</f>
        <v>1600</v>
      </c>
      <c r="D40" s="41"/>
      <c r="E40" s="40">
        <f>E6-E39</f>
        <v>41.965000000000146</v>
      </c>
      <c r="F40" s="41"/>
      <c r="G40" s="42"/>
      <c r="H40" s="11"/>
    </row>
    <row r="41" spans="1:8" x14ac:dyDescent="0.2">
      <c r="A41" s="34" t="s">
        <v>36</v>
      </c>
      <c r="B41" s="21" t="s">
        <v>49</v>
      </c>
      <c r="C41" s="40">
        <f>C15*C32</f>
        <v>94.70999999999998</v>
      </c>
      <c r="D41" s="41"/>
      <c r="E41" s="40">
        <f>E15*E32</f>
        <v>94.70999999999998</v>
      </c>
      <c r="F41" s="41"/>
      <c r="G41" s="42"/>
      <c r="H41" s="52" t="s">
        <v>34</v>
      </c>
    </row>
    <row r="42" spans="1:8" x14ac:dyDescent="0.2">
      <c r="A42" s="34" t="s">
        <v>40</v>
      </c>
      <c r="B42" s="21" t="s">
        <v>49</v>
      </c>
      <c r="C42" s="40">
        <f>IF((C41-C40)&gt;=0,(C41-C40),0)</f>
        <v>0</v>
      </c>
      <c r="D42" s="41"/>
      <c r="E42" s="40">
        <f>IF((E41-E40)&gt;=0,(E41-E40),0)</f>
        <v>52.744999999999834</v>
      </c>
      <c r="F42" s="41"/>
      <c r="G42" s="42"/>
      <c r="H42" s="11"/>
    </row>
    <row r="43" spans="1:8" x14ac:dyDescent="0.2">
      <c r="A43" s="44" t="s">
        <v>43</v>
      </c>
      <c r="B43" s="21" t="s">
        <v>49</v>
      </c>
      <c r="C43" s="40">
        <f>C39-C42</f>
        <v>0</v>
      </c>
      <c r="D43" s="41"/>
      <c r="E43" s="40">
        <f>E39-E42</f>
        <v>2105.29</v>
      </c>
      <c r="F43" s="41"/>
      <c r="G43" s="42"/>
      <c r="H43" s="11"/>
    </row>
    <row r="44" spans="1:8" x14ac:dyDescent="0.2">
      <c r="A44" s="34" t="s">
        <v>28</v>
      </c>
      <c r="B44" s="21" t="s">
        <v>49</v>
      </c>
      <c r="C44" s="40">
        <f>C10</f>
        <v>1</v>
      </c>
      <c r="D44" s="41"/>
      <c r="E44" s="40">
        <f>E10</f>
        <v>0</v>
      </c>
      <c r="F44" s="41"/>
      <c r="G44" s="42"/>
      <c r="H44" s="11"/>
    </row>
    <row r="45" spans="1:8" x14ac:dyDescent="0.2">
      <c r="A45" s="34" t="s">
        <v>37</v>
      </c>
      <c r="B45" s="21" t="s">
        <v>49</v>
      </c>
      <c r="C45" s="40">
        <f>C44*C32</f>
        <v>135.29999999999998</v>
      </c>
      <c r="D45" s="41"/>
      <c r="E45" s="40">
        <f>E44*E32</f>
        <v>0</v>
      </c>
      <c r="F45" s="41"/>
      <c r="G45" s="11"/>
      <c r="H45" s="11"/>
    </row>
    <row r="46" spans="1:8" x14ac:dyDescent="0.2">
      <c r="A46" s="45" t="s">
        <v>44</v>
      </c>
      <c r="B46" s="45" t="s">
        <v>49</v>
      </c>
      <c r="C46" s="46">
        <f>C43+C45</f>
        <v>135.29999999999998</v>
      </c>
      <c r="D46" s="47"/>
      <c r="E46" s="46">
        <f>E43+E45</f>
        <v>2105.29</v>
      </c>
      <c r="F46" s="47"/>
      <c r="G46" s="11"/>
      <c r="H46" s="11"/>
    </row>
  </sheetData>
  <sheetProtection selectLockedCells="1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D1BC8-8811-476C-8145-4E858DCA8165}">
  <dimension ref="A1:K50"/>
  <sheetViews>
    <sheetView tabSelected="1" topLeftCell="A25" zoomScale="115" zoomScaleNormal="115" workbookViewId="0">
      <selection activeCell="C48" sqref="C48"/>
    </sheetView>
  </sheetViews>
  <sheetFormatPr baseColWidth="10" defaultColWidth="11.42578125" defaultRowHeight="12.75" x14ac:dyDescent="0.2"/>
  <cols>
    <col min="1" max="1" width="52.28515625" bestFit="1" customWidth="1"/>
    <col min="2" max="2" width="4.85546875" customWidth="1"/>
    <col min="3" max="3" width="15.5703125" bestFit="1" customWidth="1"/>
    <col min="4" max="4" width="1.5703125" customWidth="1"/>
    <col min="5" max="5" width="15.140625" bestFit="1" customWidth="1"/>
    <col min="6" max="6" width="1.5703125" customWidth="1"/>
    <col min="7" max="7" width="15.5703125" customWidth="1"/>
    <col min="8" max="8" width="2.28515625" customWidth="1"/>
    <col min="9" max="9" width="15.28515625" customWidth="1"/>
    <col min="10" max="10" width="15" customWidth="1"/>
  </cols>
  <sheetData>
    <row r="1" spans="1:11" ht="18" x14ac:dyDescent="0.25">
      <c r="A1" s="3" t="s">
        <v>50</v>
      </c>
    </row>
    <row r="2" spans="1:11" x14ac:dyDescent="0.2">
      <c r="A2" s="12" t="s">
        <v>48</v>
      </c>
      <c r="C2" t="s">
        <v>63</v>
      </c>
      <c r="E2">
        <v>246</v>
      </c>
    </row>
    <row r="3" spans="1:11" ht="18" x14ac:dyDescent="0.25">
      <c r="A3" s="3"/>
      <c r="C3" t="s">
        <v>64</v>
      </c>
      <c r="E3">
        <v>11</v>
      </c>
    </row>
    <row r="4" spans="1:11" x14ac:dyDescent="0.2">
      <c r="C4" s="111" t="s">
        <v>77</v>
      </c>
      <c r="D4" s="112"/>
      <c r="E4" s="111" t="s">
        <v>78</v>
      </c>
      <c r="F4" s="113"/>
      <c r="G4" s="111" t="s">
        <v>79</v>
      </c>
      <c r="H4" s="112"/>
      <c r="I4" s="111" t="s">
        <v>80</v>
      </c>
      <c r="J4" s="111" t="s">
        <v>81</v>
      </c>
    </row>
    <row r="5" spans="1:11" x14ac:dyDescent="0.2">
      <c r="A5" s="114" t="s">
        <v>46</v>
      </c>
      <c r="B5" s="114"/>
      <c r="C5" s="115"/>
      <c r="D5" s="116"/>
      <c r="E5" s="115"/>
      <c r="F5" s="117"/>
      <c r="G5" s="115"/>
      <c r="H5" s="116"/>
      <c r="I5" s="115"/>
      <c r="J5" s="115"/>
    </row>
    <row r="6" spans="1:11" x14ac:dyDescent="0.2">
      <c r="A6" s="118" t="s">
        <v>65</v>
      </c>
      <c r="B6" s="118" t="s">
        <v>49</v>
      </c>
      <c r="C6" s="119">
        <v>10</v>
      </c>
      <c r="D6" s="120"/>
      <c r="E6" s="119">
        <v>16.3</v>
      </c>
      <c r="F6" s="5"/>
      <c r="G6" s="119">
        <v>10</v>
      </c>
      <c r="H6" s="120"/>
      <c r="I6" s="119">
        <v>16.3</v>
      </c>
      <c r="J6" s="119">
        <v>10</v>
      </c>
    </row>
    <row r="7" spans="1:11" x14ac:dyDescent="0.2">
      <c r="A7" s="118" t="s">
        <v>66</v>
      </c>
      <c r="B7" s="118" t="s">
        <v>67</v>
      </c>
      <c r="C7" s="121">
        <v>50</v>
      </c>
      <c r="D7" s="122"/>
      <c r="E7" s="139">
        <v>30.75</v>
      </c>
      <c r="F7" s="123"/>
      <c r="G7" s="121">
        <v>150</v>
      </c>
      <c r="H7" s="122"/>
      <c r="I7" s="138">
        <v>63</v>
      </c>
      <c r="J7" s="121">
        <v>0</v>
      </c>
    </row>
    <row r="8" spans="1:11" x14ac:dyDescent="0.2">
      <c r="A8" s="118" t="s">
        <v>68</v>
      </c>
      <c r="B8" s="118" t="s">
        <v>67</v>
      </c>
      <c r="C8" s="121">
        <v>45.1</v>
      </c>
      <c r="D8" s="122"/>
      <c r="E8" s="137">
        <v>67.650000000000006</v>
      </c>
      <c r="F8" s="123"/>
      <c r="G8" s="137">
        <v>180.4</v>
      </c>
      <c r="H8" s="122"/>
      <c r="I8" s="137">
        <v>112.75</v>
      </c>
      <c r="J8" s="137">
        <v>90.2</v>
      </c>
    </row>
    <row r="9" spans="1:11" x14ac:dyDescent="0.2">
      <c r="A9" s="118" t="s">
        <v>8</v>
      </c>
      <c r="B9" s="118" t="s">
        <v>49</v>
      </c>
      <c r="C9" s="4">
        <v>10000</v>
      </c>
      <c r="D9" s="5"/>
      <c r="E9" s="8">
        <v>80000</v>
      </c>
      <c r="F9" s="9"/>
      <c r="G9" s="4">
        <v>125001</v>
      </c>
      <c r="H9" s="5"/>
      <c r="I9" s="4">
        <v>48000</v>
      </c>
      <c r="J9" s="4">
        <v>75000</v>
      </c>
    </row>
    <row r="10" spans="1:11" ht="12.75" customHeight="1" x14ac:dyDescent="0.2">
      <c r="A10" s="118" t="s">
        <v>69</v>
      </c>
      <c r="B10" s="118" t="s">
        <v>49</v>
      </c>
      <c r="C10" s="4">
        <v>0</v>
      </c>
      <c r="D10" s="5"/>
      <c r="E10" s="8">
        <v>0</v>
      </c>
      <c r="F10" s="9"/>
      <c r="G10" s="4">
        <v>0</v>
      </c>
      <c r="H10" s="5"/>
      <c r="I10" s="4">
        <v>0</v>
      </c>
      <c r="J10" s="4">
        <v>2</v>
      </c>
    </row>
    <row r="11" spans="1:11" x14ac:dyDescent="0.2">
      <c r="A11" s="118" t="s">
        <v>26</v>
      </c>
      <c r="B11" s="118"/>
      <c r="C11" s="4" t="b">
        <v>0</v>
      </c>
      <c r="D11" s="5"/>
      <c r="E11" s="4" t="b">
        <v>0</v>
      </c>
      <c r="F11" s="9"/>
      <c r="G11" s="4" t="b">
        <v>0</v>
      </c>
      <c r="H11" s="5"/>
      <c r="I11" s="4" t="b">
        <v>0</v>
      </c>
      <c r="J11" s="4" t="b">
        <v>0</v>
      </c>
      <c r="K11" t="s">
        <v>38</v>
      </c>
    </row>
    <row r="12" spans="1:11" x14ac:dyDescent="0.2">
      <c r="A12" s="118" t="s">
        <v>27</v>
      </c>
      <c r="B12" s="118"/>
      <c r="C12" s="4" t="b">
        <v>0</v>
      </c>
      <c r="D12" s="5"/>
      <c r="E12" s="4" t="b">
        <v>0</v>
      </c>
      <c r="F12" s="9"/>
      <c r="G12" s="4" t="b">
        <v>0</v>
      </c>
      <c r="H12" s="5"/>
      <c r="I12" s="4" t="b">
        <v>0</v>
      </c>
      <c r="J12" s="4" t="b">
        <v>0</v>
      </c>
      <c r="K12" t="s">
        <v>39</v>
      </c>
    </row>
    <row r="13" spans="1:11" x14ac:dyDescent="0.2">
      <c r="C13" s="111"/>
      <c r="D13" s="112"/>
      <c r="E13" s="111"/>
      <c r="F13" s="113"/>
      <c r="G13" s="111"/>
      <c r="H13" s="112"/>
      <c r="I13" s="111"/>
      <c r="J13" s="111"/>
    </row>
    <row r="14" spans="1:11" x14ac:dyDescent="0.2">
      <c r="A14" s="118" t="s">
        <v>70</v>
      </c>
      <c r="C14" s="136">
        <f>(100/(($E$2/12)*$E$3))*C7</f>
        <v>22.172949002217297</v>
      </c>
      <c r="D14" s="112"/>
      <c r="E14" s="2">
        <f>(100/(($E$2/12)*$E$3))*E7</f>
        <v>13.636363636363637</v>
      </c>
      <c r="F14" s="113"/>
      <c r="G14" s="136">
        <f>(100/(($E$2/12)*$E$3))*G7</f>
        <v>66.518847006651882</v>
      </c>
      <c r="H14" s="112"/>
      <c r="I14" s="136">
        <f>(100/(($E$2/12)*$E$3))*I7</f>
        <v>27.937915742793791</v>
      </c>
      <c r="J14" s="136">
        <f t="shared" ref="J14" si="0">(100/(($E$2/12)*$E$3))*J7</f>
        <v>0</v>
      </c>
      <c r="K14" t="s">
        <v>71</v>
      </c>
    </row>
    <row r="15" spans="1:11" x14ac:dyDescent="0.2">
      <c r="A15" s="118" t="s">
        <v>72</v>
      </c>
      <c r="C15" s="2">
        <f>(100/(($E$2/12)*$E$3))*C8</f>
        <v>20</v>
      </c>
      <c r="D15" s="112"/>
      <c r="E15" s="2">
        <f>(100/(($E$2/12)*$E$3))*E8</f>
        <v>30.000000000000004</v>
      </c>
      <c r="F15" s="113"/>
      <c r="G15" s="2">
        <f>(100/(($E$2/12)*$E$3))*G8</f>
        <v>80</v>
      </c>
      <c r="H15" s="112"/>
      <c r="I15" s="2">
        <f>(100/(($E$2/12)*$E$3))*I8</f>
        <v>50</v>
      </c>
      <c r="J15" s="2">
        <f t="shared" ref="J15" si="1">(100/(($E$2/12)*$E$3))*J8</f>
        <v>40</v>
      </c>
    </row>
    <row r="16" spans="1:11" x14ac:dyDescent="0.2">
      <c r="A16" s="114" t="s">
        <v>5</v>
      </c>
      <c r="B16" s="114"/>
      <c r="C16" s="115"/>
      <c r="D16" s="116"/>
      <c r="E16" s="115"/>
      <c r="F16" s="117"/>
      <c r="G16" s="115"/>
      <c r="H16" s="116"/>
      <c r="I16" s="115"/>
      <c r="J16" s="115"/>
    </row>
    <row r="17" spans="1:11" x14ac:dyDescent="0.2">
      <c r="A17" t="s">
        <v>0</v>
      </c>
      <c r="B17" s="118" t="s">
        <v>49</v>
      </c>
      <c r="C17" s="2">
        <v>0.7</v>
      </c>
      <c r="D17" s="113"/>
      <c r="E17" s="2">
        <v>0.7</v>
      </c>
      <c r="F17" s="113"/>
      <c r="G17" s="2">
        <v>0.7</v>
      </c>
      <c r="H17" s="113"/>
      <c r="I17" s="2">
        <v>0.7</v>
      </c>
      <c r="J17" s="2">
        <v>0.7</v>
      </c>
    </row>
    <row r="18" spans="1:11" ht="12.75" customHeight="1" x14ac:dyDescent="0.2">
      <c r="A18" t="s">
        <v>3</v>
      </c>
      <c r="B18" s="118" t="s">
        <v>49</v>
      </c>
      <c r="C18" s="2">
        <v>12.4</v>
      </c>
      <c r="D18" s="113"/>
      <c r="E18" s="2">
        <v>16.3</v>
      </c>
      <c r="F18" s="113"/>
      <c r="G18" s="2">
        <v>12.4</v>
      </c>
      <c r="H18" s="113"/>
      <c r="I18" s="2">
        <v>16.3</v>
      </c>
      <c r="J18" s="2">
        <v>12.4</v>
      </c>
    </row>
    <row r="19" spans="1:11" x14ac:dyDescent="0.2">
      <c r="A19" t="s">
        <v>15</v>
      </c>
      <c r="B19" s="118" t="s">
        <v>49</v>
      </c>
      <c r="C19" s="2" t="s">
        <v>54</v>
      </c>
      <c r="D19" s="113"/>
      <c r="E19" s="2" t="s">
        <v>54</v>
      </c>
      <c r="F19" s="113"/>
      <c r="G19" s="2" t="s">
        <v>54</v>
      </c>
      <c r="H19" s="113"/>
      <c r="I19" s="2" t="s">
        <v>54</v>
      </c>
      <c r="J19" s="2" t="s">
        <v>54</v>
      </c>
    </row>
    <row r="20" spans="1:11" x14ac:dyDescent="0.2">
      <c r="C20" s="2"/>
      <c r="D20" s="113"/>
      <c r="E20" s="2"/>
      <c r="F20" s="113"/>
      <c r="G20" s="2"/>
      <c r="H20" s="113"/>
      <c r="I20" s="2"/>
      <c r="J20" s="2"/>
    </row>
    <row r="21" spans="1:11" x14ac:dyDescent="0.2">
      <c r="A21" s="114" t="s">
        <v>4</v>
      </c>
      <c r="B21" s="114"/>
      <c r="C21" s="115"/>
      <c r="D21" s="116"/>
      <c r="E21" s="115"/>
      <c r="F21" s="117"/>
      <c r="G21" s="115"/>
      <c r="H21" s="116"/>
      <c r="I21" s="115"/>
      <c r="J21" s="115"/>
    </row>
    <row r="22" spans="1:11" x14ac:dyDescent="0.2">
      <c r="A22" s="124" t="s">
        <v>16</v>
      </c>
      <c r="B22" s="118" t="s">
        <v>49</v>
      </c>
      <c r="C22" s="125">
        <v>48000</v>
      </c>
      <c r="D22" s="126"/>
      <c r="E22" s="125">
        <v>48000</v>
      </c>
      <c r="F22" s="127"/>
      <c r="G22" s="125">
        <v>48000</v>
      </c>
      <c r="H22" s="126"/>
      <c r="I22" s="125">
        <v>48000</v>
      </c>
      <c r="J22" s="125">
        <v>48000</v>
      </c>
    </row>
    <row r="23" spans="1:11" x14ac:dyDescent="0.2">
      <c r="A23" t="s">
        <v>6</v>
      </c>
      <c r="B23" s="118" t="s">
        <v>49</v>
      </c>
      <c r="C23" s="125">
        <v>125000</v>
      </c>
      <c r="D23" s="126"/>
      <c r="E23" s="125">
        <v>125000</v>
      </c>
      <c r="F23" s="127"/>
      <c r="G23" s="125">
        <v>125000</v>
      </c>
      <c r="H23" s="126"/>
      <c r="I23" s="125">
        <v>125000</v>
      </c>
      <c r="J23" s="125">
        <v>125000</v>
      </c>
    </row>
    <row r="24" spans="1:11" x14ac:dyDescent="0.2">
      <c r="C24" s="2"/>
      <c r="D24" s="113"/>
      <c r="E24" s="2"/>
      <c r="F24" s="113"/>
      <c r="G24" s="2"/>
      <c r="H24" s="113"/>
      <c r="I24" s="2"/>
      <c r="J24" s="2"/>
    </row>
    <row r="25" spans="1:11" x14ac:dyDescent="0.2">
      <c r="A25" s="114" t="s">
        <v>21</v>
      </c>
      <c r="B25" s="114"/>
      <c r="C25" s="115"/>
      <c r="D25" s="116"/>
      <c r="E25" s="115"/>
      <c r="F25" s="117"/>
      <c r="G25" s="115"/>
      <c r="H25" s="116"/>
      <c r="I25" s="115"/>
      <c r="J25" s="115"/>
    </row>
    <row r="26" spans="1:11" x14ac:dyDescent="0.2">
      <c r="A26" s="128" t="s">
        <v>7</v>
      </c>
      <c r="B26" s="128"/>
      <c r="C26" s="31">
        <f>IF(((C17/C18)+((C29*(C9-C22))))&lt;=100%,((C17/C18)+((C29*(C9-C22)))),100%)</f>
        <v>-0.40919564306661083</v>
      </c>
      <c r="D26" s="31"/>
      <c r="E26" s="31">
        <f t="shared" ref="E26" si="2">IF(((E17/E18)+((E29*(E9-E22))))&lt;=100%,((E17/E18)+((E29*(E9-E22)))),100%)</f>
        <v>0.44068201736913393</v>
      </c>
      <c r="F26" s="129"/>
      <c r="G26" s="31">
        <f>IF(((G17/G18)+((G29*(G9-G22))))&lt;=100%,((G17/G18)+((G29*(G9-G22)))),100%)</f>
        <v>1</v>
      </c>
      <c r="H26" s="31"/>
      <c r="I26" s="31">
        <f>IF(((I17/I18)+((I29*(I9-I22))))&lt;=100%,((I17/I18)+((I29*(I9-I22)))),100%)</f>
        <v>4.2944785276073615E-2</v>
      </c>
      <c r="J26" s="31">
        <f t="shared" ref="J26" si="3">IF(((J17/J18)+((J29*(J9-J22))))&lt;=100%,((J17/J18)+((J29*(J9-J22)))),100%)</f>
        <v>0.38730624214495185</v>
      </c>
      <c r="K26" s="130" t="s">
        <v>19</v>
      </c>
    </row>
    <row r="27" spans="1:11" x14ac:dyDescent="0.2">
      <c r="A27" t="s">
        <v>10</v>
      </c>
      <c r="B27" s="118" t="s">
        <v>49</v>
      </c>
      <c r="C27" s="35">
        <f>IF(C$9&lt;=125000,C$26*50%*C$18,0)</f>
        <v>-2.5370129870129872</v>
      </c>
      <c r="D27" s="113"/>
      <c r="E27" s="35">
        <f>IF(E$9&lt;=125000,E$26*50%*E$18,0)</f>
        <v>3.5915584415584418</v>
      </c>
      <c r="F27" s="113"/>
      <c r="G27" s="35">
        <f>IF(G$9&lt;=125000,G$26*50%*G$18,0)</f>
        <v>0</v>
      </c>
      <c r="H27" s="113"/>
      <c r="I27" s="35">
        <f>IF(I$9&lt;=125000,I$26*50%*I$18,0)</f>
        <v>0.35</v>
      </c>
      <c r="J27" s="35">
        <f t="shared" ref="J27" si="4">IF(J$9&lt;=125000,J$26*50%*J$18,0)</f>
        <v>2.4012987012987015</v>
      </c>
      <c r="K27" s="108" t="s">
        <v>17</v>
      </c>
    </row>
    <row r="28" spans="1:11" x14ac:dyDescent="0.2">
      <c r="A28" t="s">
        <v>11</v>
      </c>
      <c r="B28" s="118" t="s">
        <v>49</v>
      </c>
      <c r="C28" s="35">
        <f>IF(C$9&lt;=125000,C$26*70%*C$18,0)</f>
        <v>-3.5518181818181818</v>
      </c>
      <c r="D28" s="113"/>
      <c r="E28" s="35">
        <f>IF(E$9&lt;=125000,E$26*70%*E$18,0)</f>
        <v>5.0281818181818183</v>
      </c>
      <c r="F28" s="113"/>
      <c r="G28" s="35">
        <f>IF(G$9&lt;=125000,G$26*70%*G$18,0)</f>
        <v>0</v>
      </c>
      <c r="H28" s="113"/>
      <c r="I28" s="35">
        <f>IF(I$9&lt;=125000,I$26*70%*I$18,0)</f>
        <v>0.48999999999999988</v>
      </c>
      <c r="J28" s="35">
        <f t="shared" ref="J28" si="5">IF(J$9&lt;=125000,J$26*70%*J$18,0)</f>
        <v>3.3618181818181818</v>
      </c>
      <c r="K28" s="108" t="s">
        <v>18</v>
      </c>
    </row>
    <row r="29" spans="1:11" x14ac:dyDescent="0.2">
      <c r="A29" t="s">
        <v>9</v>
      </c>
      <c r="C29" s="131">
        <f>((1-(C17/C18))/(C23-C22))</f>
        <v>1.2253875157100964E-5</v>
      </c>
      <c r="D29" s="132"/>
      <c r="E29" s="131">
        <f>((1-(E17/E18))/(E23-E22))</f>
        <v>1.2429288502908135E-5</v>
      </c>
      <c r="F29" s="113"/>
      <c r="G29" s="131">
        <f>((1-(G17/G18))/(G23-G22))</f>
        <v>1.2253875157100964E-5</v>
      </c>
      <c r="H29" s="132"/>
      <c r="I29" s="131">
        <f>((1-(I17/I18))/(I23-I22))</f>
        <v>1.2429288502908135E-5</v>
      </c>
      <c r="J29" s="131">
        <f t="shared" ref="J29" si="6">((1-(J17/J18))/(J23-J22))</f>
        <v>1.2253875157100964E-5</v>
      </c>
      <c r="K29" s="107" t="s">
        <v>20</v>
      </c>
    </row>
    <row r="30" spans="1:11" x14ac:dyDescent="0.2">
      <c r="A30" t="s">
        <v>52</v>
      </c>
      <c r="C30" s="35">
        <v>1</v>
      </c>
      <c r="D30" s="132"/>
      <c r="E30" s="35">
        <v>1.3</v>
      </c>
      <c r="F30" s="113"/>
      <c r="G30" s="35">
        <v>1</v>
      </c>
      <c r="H30" s="132"/>
      <c r="I30" s="35">
        <v>1.3</v>
      </c>
      <c r="J30" s="35">
        <v>1</v>
      </c>
      <c r="K30" s="107"/>
    </row>
    <row r="31" spans="1:11" x14ac:dyDescent="0.2">
      <c r="C31" s="35"/>
      <c r="D31" s="132"/>
      <c r="E31" s="35"/>
      <c r="F31" s="113"/>
      <c r="G31" s="35"/>
      <c r="H31" s="132"/>
      <c r="I31" s="35"/>
      <c r="J31" s="35"/>
      <c r="K31" s="107"/>
    </row>
    <row r="32" spans="1:11" x14ac:dyDescent="0.2">
      <c r="C32" s="131"/>
      <c r="D32" s="132"/>
      <c r="E32" s="131"/>
      <c r="F32" s="113"/>
      <c r="G32" s="131"/>
      <c r="H32" s="132"/>
      <c r="I32" s="131"/>
      <c r="J32" s="131"/>
      <c r="K32" s="107"/>
    </row>
    <row r="33" spans="1:11" x14ac:dyDescent="0.2">
      <c r="A33" s="114" t="s">
        <v>47</v>
      </c>
      <c r="B33" s="114"/>
      <c r="C33" s="115"/>
      <c r="D33" s="116"/>
      <c r="E33" s="115"/>
      <c r="F33" s="117"/>
      <c r="G33" s="115"/>
      <c r="H33" s="116"/>
      <c r="I33" s="115"/>
      <c r="J33" s="115"/>
    </row>
    <row r="34" spans="1:11" x14ac:dyDescent="0.2">
      <c r="A34" t="s">
        <v>73</v>
      </c>
      <c r="B34" s="118" t="s">
        <v>49</v>
      </c>
      <c r="C34" s="133">
        <f>MIN((IF((C18*(1-C26))&gt;C30,(C18*(1-C26)),IF(C9&lt;=125000,C30,0))),C18-C17)</f>
        <v>11.700000000000001</v>
      </c>
      <c r="D34" s="133"/>
      <c r="E34" s="133">
        <f t="shared" ref="D34:J34" si="7">MIN((IF((E18*(1-E26))&gt;E30,(E18*(1-E26)),IF(E9&lt;=125000,E30,0))),E18-E17)</f>
        <v>9.1168831168831179</v>
      </c>
      <c r="F34" s="133"/>
      <c r="G34" s="133">
        <f t="shared" si="7"/>
        <v>0</v>
      </c>
      <c r="H34" s="133"/>
      <c r="I34" s="133">
        <f t="shared" si="7"/>
        <v>15.600000000000001</v>
      </c>
      <c r="J34" s="133">
        <f t="shared" si="7"/>
        <v>7.5974025974025983</v>
      </c>
      <c r="K34" t="s">
        <v>62</v>
      </c>
    </row>
    <row r="35" spans="1:11" s="1" customFormat="1" x14ac:dyDescent="0.2">
      <c r="A35" t="str">
        <f>A11</f>
        <v>Geschwisternbonus 2. Kind</v>
      </c>
      <c r="B35" s="118" t="s">
        <v>49</v>
      </c>
      <c r="C35" s="133">
        <f>IF(C11,C27,0)</f>
        <v>0</v>
      </c>
      <c r="D35" s="133"/>
      <c r="E35" s="133">
        <f t="shared" ref="D35:J35" si="8">IF(E11,E27,0)</f>
        <v>0</v>
      </c>
      <c r="F35" s="133"/>
      <c r="G35" s="133">
        <f t="shared" si="8"/>
        <v>0</v>
      </c>
      <c r="H35" s="133"/>
      <c r="I35" s="133">
        <f t="shared" si="8"/>
        <v>0</v>
      </c>
      <c r="J35" s="133">
        <f t="shared" si="8"/>
        <v>0</v>
      </c>
      <c r="K35"/>
    </row>
    <row r="36" spans="1:11" x14ac:dyDescent="0.2">
      <c r="A36" t="str">
        <f>A12</f>
        <v>Geschwisternbonus 3. Kind</v>
      </c>
      <c r="B36" s="118" t="s">
        <v>49</v>
      </c>
      <c r="C36" s="133">
        <f>IF(C12,C28,0)</f>
        <v>0</v>
      </c>
      <c r="D36" s="133"/>
      <c r="E36" s="133">
        <f t="shared" ref="D36:J36" si="9">IF(E12,E28,0)</f>
        <v>0</v>
      </c>
      <c r="F36" s="133"/>
      <c r="G36" s="133">
        <f t="shared" si="9"/>
        <v>0</v>
      </c>
      <c r="H36" s="133"/>
      <c r="I36" s="133">
        <f t="shared" si="9"/>
        <v>0</v>
      </c>
      <c r="J36" s="133">
        <f t="shared" si="9"/>
        <v>0</v>
      </c>
    </row>
    <row r="37" spans="1:11" x14ac:dyDescent="0.2">
      <c r="A37" s="124" t="s">
        <v>74</v>
      </c>
      <c r="B37" s="118" t="s">
        <v>49</v>
      </c>
      <c r="C37" s="133">
        <f>C36+C35+C34</f>
        <v>11.700000000000001</v>
      </c>
      <c r="D37" s="133"/>
      <c r="E37" s="133">
        <f t="shared" ref="D37:J37" si="10">E36+E35+E34</f>
        <v>9.1168831168831179</v>
      </c>
      <c r="F37" s="133"/>
      <c r="G37" s="133">
        <f t="shared" si="10"/>
        <v>0</v>
      </c>
      <c r="H37" s="133"/>
      <c r="I37" s="133">
        <f t="shared" si="10"/>
        <v>15.600000000000001</v>
      </c>
      <c r="J37" s="133">
        <f t="shared" si="10"/>
        <v>7.5974025974025983</v>
      </c>
    </row>
    <row r="38" spans="1:11" x14ac:dyDescent="0.2">
      <c r="A38" s="124" t="s">
        <v>83</v>
      </c>
      <c r="B38" s="118"/>
      <c r="C38" s="133">
        <f>C6-C34</f>
        <v>-1.7000000000000011</v>
      </c>
      <c r="D38" s="133"/>
      <c r="E38" s="133">
        <f t="shared" ref="D38:J38" si="11">E6-E34</f>
        <v>7.1831168831168828</v>
      </c>
      <c r="F38" s="133"/>
      <c r="G38" s="133">
        <f t="shared" si="11"/>
        <v>10</v>
      </c>
      <c r="H38" s="133"/>
      <c r="I38" s="133">
        <f t="shared" si="11"/>
        <v>0.69999999999999929</v>
      </c>
      <c r="J38" s="133">
        <f t="shared" si="11"/>
        <v>2.4025974025974017</v>
      </c>
    </row>
    <row r="39" spans="1:11" x14ac:dyDescent="0.2">
      <c r="A39" s="124" t="s">
        <v>84</v>
      </c>
      <c r="B39" s="118"/>
      <c r="C39" s="133">
        <v>0.7</v>
      </c>
      <c r="D39" s="133"/>
      <c r="E39" s="133">
        <v>0.7</v>
      </c>
      <c r="F39" s="133"/>
      <c r="G39" s="133">
        <v>0.7</v>
      </c>
      <c r="H39" s="133"/>
      <c r="I39" s="133">
        <v>0.7</v>
      </c>
      <c r="J39" s="133">
        <v>0.7</v>
      </c>
    </row>
    <row r="40" spans="1:11" x14ac:dyDescent="0.2">
      <c r="A40" s="124" t="s">
        <v>82</v>
      </c>
      <c r="B40" s="118"/>
      <c r="C40" s="133">
        <f>IF((C39-C38)&gt;=0,(C39-C38),0)</f>
        <v>2.4000000000000012</v>
      </c>
      <c r="D40" s="133"/>
      <c r="E40" s="133">
        <f t="shared" ref="D40:J40" si="12">IF((E39-E38)&gt;=0,(E39-E38),0)</f>
        <v>0</v>
      </c>
      <c r="F40" s="133"/>
      <c r="G40" s="133">
        <f t="shared" si="12"/>
        <v>0</v>
      </c>
      <c r="H40" s="133"/>
      <c r="I40" s="133">
        <f t="shared" si="12"/>
        <v>6.6613381477509392E-16</v>
      </c>
      <c r="J40" s="133">
        <f t="shared" si="12"/>
        <v>0</v>
      </c>
      <c r="K40" s="110"/>
    </row>
    <row r="41" spans="1:11" x14ac:dyDescent="0.2">
      <c r="A41" s="1" t="s">
        <v>85</v>
      </c>
      <c r="B41" s="118"/>
      <c r="C41" s="133">
        <f>C34-C40</f>
        <v>9.3000000000000007</v>
      </c>
      <c r="D41" s="133"/>
      <c r="E41" s="133">
        <f>E34-E40</f>
        <v>9.1168831168831179</v>
      </c>
      <c r="F41" s="133"/>
      <c r="G41" s="133">
        <f t="shared" ref="D41:J41" si="13">G34-G40</f>
        <v>0</v>
      </c>
      <c r="H41" s="133"/>
      <c r="I41" s="133">
        <f t="shared" si="13"/>
        <v>15.600000000000001</v>
      </c>
      <c r="J41" s="133">
        <f t="shared" si="13"/>
        <v>7.5974025974025983</v>
      </c>
    </row>
    <row r="42" spans="1:11" x14ac:dyDescent="0.2">
      <c r="A42" t="s">
        <v>86</v>
      </c>
      <c r="B42" s="118" t="s">
        <v>49</v>
      </c>
      <c r="C42" s="133">
        <f>C10</f>
        <v>0</v>
      </c>
      <c r="D42" s="133"/>
      <c r="E42" s="133">
        <f t="shared" ref="D42:J42" si="14">E10</f>
        <v>0</v>
      </c>
      <c r="F42" s="133"/>
      <c r="G42" s="133">
        <f t="shared" si="14"/>
        <v>0</v>
      </c>
      <c r="H42" s="133"/>
      <c r="I42" s="133">
        <f t="shared" si="14"/>
        <v>0</v>
      </c>
      <c r="J42" s="133">
        <f t="shared" si="14"/>
        <v>2</v>
      </c>
    </row>
    <row r="43" spans="1:11" x14ac:dyDescent="0.2">
      <c r="A43" s="134" t="s">
        <v>75</v>
      </c>
      <c r="B43" s="134" t="s">
        <v>49</v>
      </c>
      <c r="C43" s="135">
        <f>C41+C42</f>
        <v>9.3000000000000007</v>
      </c>
      <c r="D43" s="135"/>
      <c r="E43" s="135">
        <f>E41+E42</f>
        <v>9.1168831168831179</v>
      </c>
      <c r="F43" s="135"/>
      <c r="G43" s="135">
        <f t="shared" ref="D43:J43" si="15">G41+G42</f>
        <v>0</v>
      </c>
      <c r="H43" s="135"/>
      <c r="I43" s="135">
        <f t="shared" si="15"/>
        <v>15.600000000000001</v>
      </c>
      <c r="J43" s="135">
        <f t="shared" si="15"/>
        <v>9.5974025974025992</v>
      </c>
    </row>
    <row r="44" spans="1:11" x14ac:dyDescent="0.2">
      <c r="A44" s="134" t="s">
        <v>44</v>
      </c>
      <c r="B44" s="134" t="s">
        <v>49</v>
      </c>
      <c r="C44" s="135">
        <f>C43*MIN(C7:C8)</f>
        <v>419.43000000000006</v>
      </c>
      <c r="D44" s="135"/>
      <c r="E44" s="135">
        <f>E43*MIN(E7:E8)</f>
        <v>280.34415584415586</v>
      </c>
      <c r="F44" s="135"/>
      <c r="G44" s="135">
        <f t="shared" ref="D44:J44" si="16">G43*MIN(G7:G8)</f>
        <v>0</v>
      </c>
      <c r="H44" s="135"/>
      <c r="I44" s="135">
        <f t="shared" si="16"/>
        <v>982.80000000000007</v>
      </c>
      <c r="J44" s="135">
        <f t="shared" si="16"/>
        <v>0</v>
      </c>
    </row>
    <row r="46" spans="1:11" x14ac:dyDescent="0.2">
      <c r="A46" t="s">
        <v>76</v>
      </c>
      <c r="C46">
        <f>C6*(MIN(C7:C8))</f>
        <v>451</v>
      </c>
      <c r="E46">
        <f t="shared" ref="D46:J46" si="17">E6*(MIN(E7:E8))</f>
        <v>501.22500000000002</v>
      </c>
      <c r="G46">
        <f t="shared" si="17"/>
        <v>1500</v>
      </c>
      <c r="I46">
        <f t="shared" si="17"/>
        <v>1026.9000000000001</v>
      </c>
      <c r="J46">
        <f t="shared" si="17"/>
        <v>0</v>
      </c>
    </row>
    <row r="47" spans="1:11" x14ac:dyDescent="0.2">
      <c r="A47" t="s">
        <v>60</v>
      </c>
      <c r="C47" s="59">
        <f>SUM(C42,C37)</f>
        <v>11.700000000000001</v>
      </c>
      <c r="D47" s="59"/>
      <c r="E47" s="59">
        <f t="shared" ref="D47:J47" si="18">SUM(E42,E37)</f>
        <v>9.1168831168831179</v>
      </c>
      <c r="F47" s="59"/>
      <c r="G47" s="59">
        <f t="shared" si="18"/>
        <v>0</v>
      </c>
      <c r="H47" s="59"/>
      <c r="I47" s="59">
        <f t="shared" si="18"/>
        <v>15.600000000000001</v>
      </c>
      <c r="J47" s="59">
        <f t="shared" si="18"/>
        <v>9.5974025974025992</v>
      </c>
    </row>
    <row r="48" spans="1:11" x14ac:dyDescent="0.2">
      <c r="A48" t="s">
        <v>61</v>
      </c>
      <c r="C48" s="59">
        <f>IF(C38&lt;0,C37+C38,C37)</f>
        <v>10</v>
      </c>
      <c r="D48" s="59">
        <f t="shared" ref="D48:J48" si="19">IF(D38&lt;0,D37+D38,D37)</f>
        <v>0</v>
      </c>
      <c r="E48" s="59">
        <f t="shared" si="19"/>
        <v>9.1168831168831179</v>
      </c>
      <c r="F48" s="59">
        <f t="shared" si="19"/>
        <v>0</v>
      </c>
      <c r="G48" s="59">
        <f t="shared" si="19"/>
        <v>0</v>
      </c>
      <c r="H48" s="59"/>
      <c r="I48" s="59">
        <f t="shared" si="19"/>
        <v>15.600000000000001</v>
      </c>
      <c r="J48" s="59">
        <f t="shared" si="19"/>
        <v>7.5974025974025983</v>
      </c>
    </row>
    <row r="49" spans="1:10" x14ac:dyDescent="0.2">
      <c r="A49" t="s">
        <v>58</v>
      </c>
      <c r="C49" s="59">
        <f>C40</f>
        <v>2.4000000000000012</v>
      </c>
      <c r="D49" s="59"/>
      <c r="E49" s="59">
        <f t="shared" ref="D49:J49" si="20">E40</f>
        <v>0</v>
      </c>
      <c r="F49" s="59"/>
      <c r="G49" s="59">
        <f t="shared" si="20"/>
        <v>0</v>
      </c>
      <c r="H49" s="59"/>
      <c r="I49" s="59">
        <f t="shared" si="20"/>
        <v>6.6613381477509392E-16</v>
      </c>
      <c r="J49" s="59">
        <f t="shared" si="20"/>
        <v>0</v>
      </c>
    </row>
    <row r="50" spans="1:10" x14ac:dyDescent="0.2">
      <c r="A50" t="s">
        <v>59</v>
      </c>
      <c r="C50" s="59">
        <f>C44</f>
        <v>419.43000000000006</v>
      </c>
      <c r="D50" s="59"/>
      <c r="E50" s="59">
        <f t="shared" ref="D50:J50" si="21">E44</f>
        <v>280.34415584415586</v>
      </c>
      <c r="F50" s="59"/>
      <c r="G50" s="59">
        <f t="shared" si="21"/>
        <v>0</v>
      </c>
      <c r="H50" s="59"/>
      <c r="I50" s="59">
        <f t="shared" si="21"/>
        <v>982.80000000000007</v>
      </c>
      <c r="J50" s="59">
        <f t="shared" si="21"/>
        <v>0</v>
      </c>
    </row>
  </sheetData>
  <phoneticPr fontId="9" type="noConversion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11209C60F5007419C092DB1F82A4795" ma:contentTypeVersion="9" ma:contentTypeDescription="Ein neues Dokument erstellen." ma:contentTypeScope="" ma:versionID="ddb10cc1903f988a2bdc77454b9dc4c6">
  <xsd:schema xmlns:xsd="http://www.w3.org/2001/XMLSchema" xmlns:xs="http://www.w3.org/2001/XMLSchema" xmlns:p="http://schemas.microsoft.com/office/2006/metadata/properties" xmlns:ns2="d53bc33c-7e51-42d1-8a72-72bcbf7ea968" xmlns:ns3="55df0d9a-b115-40a4-96c1-9261dc1f94e8" targetNamespace="http://schemas.microsoft.com/office/2006/metadata/properties" ma:root="true" ma:fieldsID="0c657c3bfd70ec264372646d204a4f2b" ns2:_="" ns3:_="">
    <xsd:import namespace="d53bc33c-7e51-42d1-8a72-72bcbf7ea968"/>
    <xsd:import namespace="55df0d9a-b115-40a4-96c1-9261dc1f94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3bc33c-7e51-42d1-8a72-72bcbf7ea9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df0d9a-b115-40a4-96c1-9261dc1f94e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99B0FC-FBA5-42DC-96EF-7247A4C81FE5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8448fcba-475c-43e1-bfe9-4de923c8670f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b68b2fa5-00b5-41db-b63c-d111d361e6d8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FE55A1D-8721-46A7-91A3-75A6809429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3bc33c-7e51-42d1-8a72-72bcbf7ea968"/>
    <ds:schemaRef ds:uri="55df0d9a-b115-40a4-96c1-9261dc1f94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864838B-8D57-4066-96FF-6A6B07F7272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Kita</vt:lpstr>
      <vt:lpstr>Tagesfamilien</vt:lpstr>
      <vt:lpstr>Tagesfamilien Neu</vt:lpstr>
    </vt:vector>
  </TitlesOfParts>
  <Company>Stadt Luzern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Eggerschwiler Simone</dc:creator>
  <cp:lastModifiedBy>Brunner Anita</cp:lastModifiedBy>
  <cp:lastPrinted>2019-02-07T07:08:32Z</cp:lastPrinted>
  <dcterms:created xsi:type="dcterms:W3CDTF">2017-04-25T13:52:15Z</dcterms:created>
  <dcterms:modified xsi:type="dcterms:W3CDTF">2022-06-03T07:58:44Z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  <property fmtid="{D5CDD505-2E9C-101B-9397-08002B2CF9AE}" pid="3" name="ContentTypeId">
    <vt:lpwstr>0x010100711209C60F5007419C092DB1F82A4795</vt:lpwstr>
  </property>
</Properties>
</file>