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A2E8317B-B590-45F5-A3CA-826EAB62D5F1}" xr6:coauthVersionLast="45" xr6:coauthVersionMax="45" xr10:uidLastSave="{00000000-0000-0000-0000-000000000000}"/>
  <bookViews>
    <workbookView xWindow="-1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Data!$A$8:$L$16</definedName>
    <definedName name="angemeldet1">Data!$N$11</definedName>
    <definedName name="angemeldet10">Data!$W$11</definedName>
    <definedName name="angemeldet100">Data!$DQ$11</definedName>
    <definedName name="angemeldet11">Data!$X$11</definedName>
    <definedName name="angemeldet12">Data!$Y$11</definedName>
    <definedName name="angemeldet13">Data!$Z$11</definedName>
    <definedName name="angemeldet14">Data!$AA$11</definedName>
    <definedName name="angemeldet15">Data!$AB$11</definedName>
    <definedName name="angemeldet16">Data!$AC$11</definedName>
    <definedName name="angemeldet17">Data!$AD$11</definedName>
    <definedName name="angemeldet18">Data!$AE$11</definedName>
    <definedName name="angemeldet19">Data!$AF$11</definedName>
    <definedName name="angemeldet2">Data!$O$11</definedName>
    <definedName name="angemeldet20">Data!$AG$11</definedName>
    <definedName name="angemeldet21">Data!$AJ$11</definedName>
    <definedName name="angemeldet22">Data!$AK$11</definedName>
    <definedName name="angemeldet23">Data!$AL$11</definedName>
    <definedName name="angemeldet24">Data!$AM$11</definedName>
    <definedName name="angemeldet25">Data!$AN$11</definedName>
    <definedName name="angemeldet26">Data!$AO$11</definedName>
    <definedName name="angemeldet27">Data!$AP$11</definedName>
    <definedName name="angemeldet28">Data!$AQ$11</definedName>
    <definedName name="angemeldet29">Data!$AR$11</definedName>
    <definedName name="angemeldet3">Data!$P$11</definedName>
    <definedName name="angemeldet30">Data!$AS$11</definedName>
    <definedName name="angemeldet31">Data!$AT$11</definedName>
    <definedName name="angemeldet32">Data!$AU$11</definedName>
    <definedName name="angemeldet33">Data!$AV$11</definedName>
    <definedName name="angemeldet34">Data!$AW$11</definedName>
    <definedName name="angemeldet35">Data!$AX$11</definedName>
    <definedName name="angemeldet36">Data!$AY$11</definedName>
    <definedName name="angemeldet37">Data!$AZ$11</definedName>
    <definedName name="angemeldet38">Data!$BA$11</definedName>
    <definedName name="angemeldet39">Data!$BB$11</definedName>
    <definedName name="angemeldet4">Data!$Q$11</definedName>
    <definedName name="angemeldet40">Data!$BC$11</definedName>
    <definedName name="angemeldet41">Data!$BF$11</definedName>
    <definedName name="angemeldet42">Data!$BG$11</definedName>
    <definedName name="angemeldet43">Data!$BH$11</definedName>
    <definedName name="angemeldet44">Data!$BI$11</definedName>
    <definedName name="angemeldet45">Data!$BJ$11</definedName>
    <definedName name="angemeldet46">Data!$BK$11</definedName>
    <definedName name="angemeldet47">Data!$BL$11</definedName>
    <definedName name="angemeldet48">Data!$BM$11</definedName>
    <definedName name="angemeldet49">Data!$BN$11</definedName>
    <definedName name="angemeldet5">Data!$R$11</definedName>
    <definedName name="angemeldet50">Data!$BO$11</definedName>
    <definedName name="angemeldet51">Data!$BP$11</definedName>
    <definedName name="angemeldet52">Data!$BQ$11</definedName>
    <definedName name="angemeldet53">Data!$BR$11</definedName>
    <definedName name="angemeldet54">Data!$BS$11</definedName>
    <definedName name="angemeldet55">Data!$BT$11</definedName>
    <definedName name="angemeldet56">Data!$BU$11</definedName>
    <definedName name="angemeldet57">Data!$BV$11</definedName>
    <definedName name="angemeldet58">Data!$BW$11</definedName>
    <definedName name="angemeldet59">Data!$BX$11</definedName>
    <definedName name="angemeldet6">Data!$S$11</definedName>
    <definedName name="angemeldet60">Data!$BY$11</definedName>
    <definedName name="angemeldet61">Data!$CB$11</definedName>
    <definedName name="angemeldet62">Data!$CC$11</definedName>
    <definedName name="angemeldet63">Data!$CD$11</definedName>
    <definedName name="angemeldet64">Data!$CE$11</definedName>
    <definedName name="angemeldet65">Data!$CF$11</definedName>
    <definedName name="angemeldet66">Data!$CG$11</definedName>
    <definedName name="angemeldet67">Data!$CH$11</definedName>
    <definedName name="angemeldet68">Data!$CI$11</definedName>
    <definedName name="angemeldet69">Data!$CJ$11</definedName>
    <definedName name="angemeldet7">Data!$T$11</definedName>
    <definedName name="angemeldet70">Data!$CK$11</definedName>
    <definedName name="angemeldet71">Data!$CL$11</definedName>
    <definedName name="angemeldet72">Data!$CM$11</definedName>
    <definedName name="angemeldet73">Data!$CN$11</definedName>
    <definedName name="angemeldet74">Data!$CO$11</definedName>
    <definedName name="angemeldet75">Data!$CP$11</definedName>
    <definedName name="angemeldet76">Data!$CQ$11</definedName>
    <definedName name="angemeldet77">Data!$CR$11</definedName>
    <definedName name="angemeldet78">Data!$CS$11</definedName>
    <definedName name="angemeldet79">Data!$CT$11</definedName>
    <definedName name="angemeldet8">Data!$U$11</definedName>
    <definedName name="angemeldet80">Data!$CU$11</definedName>
    <definedName name="angemeldet81">Data!$CX$11</definedName>
    <definedName name="angemeldet82">Data!$CY$11</definedName>
    <definedName name="angemeldet83">Data!$CZ$11</definedName>
    <definedName name="angemeldet84">Data!$DA$11</definedName>
    <definedName name="angemeldet85">Data!$DB$11</definedName>
    <definedName name="angemeldet86">Data!$DC$11</definedName>
    <definedName name="angemeldet87">Data!$DD$11</definedName>
    <definedName name="angemeldet88">Data!$DE$11</definedName>
    <definedName name="angemeldet89">Data!$DF$11</definedName>
    <definedName name="angemeldet9">Data!$V$11</definedName>
    <definedName name="angemeldet90">Data!$DG$11</definedName>
    <definedName name="angemeldet91">Data!$DH$11</definedName>
    <definedName name="angemeldet92">Data!$DI$11</definedName>
    <definedName name="angemeldet93">Data!$DJ$11</definedName>
    <definedName name="angemeldet94">Data!$DK$11</definedName>
    <definedName name="angemeldet95">Data!$DL$11</definedName>
    <definedName name="angemeldet96">Data!$DM$11</definedName>
    <definedName name="angemeldet97">Data!$DN$11</definedName>
    <definedName name="angemeldet98">Data!$DO$11</definedName>
    <definedName name="angemeldet99">Data!$DP$11</definedName>
    <definedName name="freigegebenKategorie">Data!$M$15</definedName>
    <definedName name="nichtFreigegeben1">Data!$N$15</definedName>
    <definedName name="nichtFreigegeben10">Data!$W$15</definedName>
    <definedName name="nichtFreigegeben100">Data!$DQ$15</definedName>
    <definedName name="nichtFreigegeben11">Data!$X$15</definedName>
    <definedName name="nichtFreigegeben12">Data!$Y$15</definedName>
    <definedName name="nichtFreigegeben13">Data!$Z$15</definedName>
    <definedName name="nichtFreigegeben14">Data!$AA$15</definedName>
    <definedName name="nichtFreigegeben15">Data!$AB$15</definedName>
    <definedName name="nichtFreigegeben16">Data!$AC$15</definedName>
    <definedName name="nichtFreigegeben17">Data!$AD$15</definedName>
    <definedName name="nichtFreigegeben18">Data!$AE$15</definedName>
    <definedName name="nichtFreigegeben19">Data!$AF$15</definedName>
    <definedName name="nichtFreigegeben2">Data!$O$15</definedName>
    <definedName name="nichtFreigegeben20">Data!$AG$15</definedName>
    <definedName name="nichtFreigegeben21">Data!$AJ$15</definedName>
    <definedName name="nichtFreigegeben22">Data!$AK$15</definedName>
    <definedName name="nichtFreigegeben23">Data!$AL$15</definedName>
    <definedName name="nichtFreigegeben24">Data!$AM$15</definedName>
    <definedName name="nichtFreigegeben25">Data!$AN$15</definedName>
    <definedName name="nichtFreigegeben26">Data!$AO$15</definedName>
    <definedName name="nichtFreigegeben27">Data!$AP$15</definedName>
    <definedName name="nichtFreigegeben28">Data!$AQ$15</definedName>
    <definedName name="nichtFreigegeben29">Data!$AR$15</definedName>
    <definedName name="nichtFreigegeben3">Data!$P$15</definedName>
    <definedName name="nichtFreigegeben30">Data!$AS$15</definedName>
    <definedName name="nichtFreigegeben31">Data!$AT$15</definedName>
    <definedName name="nichtFreigegeben32">Data!$AU$15</definedName>
    <definedName name="nichtFreigegeben33">Data!$AV$15</definedName>
    <definedName name="nichtFreigegeben34">Data!$AW$15</definedName>
    <definedName name="nichtFreigegeben35">Data!$AX$15</definedName>
    <definedName name="nichtFreigegeben36">Data!$AY$15</definedName>
    <definedName name="nichtFreigegeben37">Data!$AZ$15</definedName>
    <definedName name="nichtFreigegeben38">Data!$BA$15</definedName>
    <definedName name="nichtFreigegeben39">Data!$BB$15</definedName>
    <definedName name="nichtFreigegeben4">Data!$Q$15</definedName>
    <definedName name="nichtFreigegeben40">Data!$BC$15</definedName>
    <definedName name="nichtFreigegeben41">Data!$BF$15</definedName>
    <definedName name="nichtFreigegeben42">Data!$BG$15</definedName>
    <definedName name="nichtFreigegeben43">Data!$BH$15</definedName>
    <definedName name="nichtFreigegeben44">Data!$BI$15</definedName>
    <definedName name="nichtFreigegeben45">Data!$BJ$15</definedName>
    <definedName name="nichtFreigegeben46">Data!$BK$15</definedName>
    <definedName name="nichtFreigegeben47">Data!$BL$15</definedName>
    <definedName name="nichtFreigegeben48">Data!$BM$15</definedName>
    <definedName name="nichtFreigegeben49">Data!$BN$15</definedName>
    <definedName name="nichtFreigegeben5">Data!$R$15</definedName>
    <definedName name="nichtFreigegeben50">Data!$BO$15</definedName>
    <definedName name="nichtFreigegeben51">Data!$BP$15</definedName>
    <definedName name="nichtFreigegeben52">Data!$BQ$15</definedName>
    <definedName name="nichtFreigegeben53">Data!$BR$15</definedName>
    <definedName name="nichtFreigegeben54">Data!$BS$15</definedName>
    <definedName name="nichtFreigegeben55">Data!$BT$15</definedName>
    <definedName name="nichtFreigegeben56">Data!$BU$15</definedName>
    <definedName name="nichtFreigegeben57">Data!$BV$15</definedName>
    <definedName name="nichtFreigegeben58">Data!$BW$15</definedName>
    <definedName name="nichtFreigegeben59">Data!$BX$15</definedName>
    <definedName name="nichtFreigegeben6">Data!$S$15</definedName>
    <definedName name="nichtFreigegeben60">Data!$BY$15</definedName>
    <definedName name="nichtFreigegeben61">Data!$CB$15</definedName>
    <definedName name="nichtFreigegeben62">Data!$CC$15</definedName>
    <definedName name="nichtFreigegeben63">Data!$CD$15</definedName>
    <definedName name="nichtFreigegeben64">Data!$CE$15</definedName>
    <definedName name="nichtFreigegeben65">Data!$CF$15</definedName>
    <definedName name="nichtFreigegeben66">Data!$CG$15</definedName>
    <definedName name="nichtFreigegeben67">Data!$CH$15</definedName>
    <definedName name="nichtFreigegeben68">Data!$CI$15</definedName>
    <definedName name="nichtFreigegeben69">Data!$CJ$15</definedName>
    <definedName name="nichtFreigegeben7">Data!$T$15</definedName>
    <definedName name="nichtFreigegeben70">Data!$CK$15</definedName>
    <definedName name="nichtFreigegeben71">Data!$CL$15</definedName>
    <definedName name="nichtFreigegeben72">Data!$CM$15</definedName>
    <definedName name="nichtFreigegeben73">Data!$CN$15</definedName>
    <definedName name="nichtFreigegeben74">Data!$CO$15</definedName>
    <definedName name="nichtFreigegeben75">Data!$CP$15</definedName>
    <definedName name="nichtFreigegeben76">Data!$CQ$15</definedName>
    <definedName name="nichtFreigegeben77">Data!$CR$15</definedName>
    <definedName name="nichtFreigegeben78">Data!$CS$15</definedName>
    <definedName name="nichtFreigegeben79">Data!$CT$15</definedName>
    <definedName name="nichtFreigegeben8">Data!$U$15</definedName>
    <definedName name="nichtFreigegeben80">Data!$CU$15</definedName>
    <definedName name="nichtFreigegeben81">Data!$CX$15</definedName>
    <definedName name="nichtFreigegeben82">Data!$CY$15</definedName>
    <definedName name="nichtFreigegeben83">Data!$CZ$15</definedName>
    <definedName name="nichtFreigegeben84">Data!$DA$15</definedName>
    <definedName name="nichtFreigegeben85">Data!$DB$15</definedName>
    <definedName name="nichtFreigegeben86">Data!$DC$15</definedName>
    <definedName name="nichtFreigegeben87">Data!$DD$15</definedName>
    <definedName name="nichtFreigegeben88">Data!$DE$15</definedName>
    <definedName name="nichtFreigegeben89">Data!$DF$15</definedName>
    <definedName name="nichtFreigegeben9">Data!$V$15</definedName>
    <definedName name="nichtFreigegeben90">Data!$DG$15</definedName>
    <definedName name="nichtFreigegeben91">Data!$DH$15</definedName>
    <definedName name="nichtFreigegeben92">Data!$DI$15</definedName>
    <definedName name="nichtFreigegeben93">Data!$DJ$15</definedName>
    <definedName name="nichtFreigegeben94">Data!$DK$15</definedName>
    <definedName name="nichtFreigegeben95">Data!$DL$15</definedName>
    <definedName name="nichtFreigegeben96">Data!$DM$15</definedName>
    <definedName name="nichtFreigegeben97">Data!$DN$15</definedName>
    <definedName name="nichtFreigegeben98">Data!$DO$15</definedName>
    <definedName name="nichtFreigegeben99">Data!$DP$15</definedName>
    <definedName name="statusKategorie">Data!$M$11</definedName>
    <definedName name="summeStundenDi">Data!$BD$11</definedName>
    <definedName name="summeStundenDo">Data!$CV$11</definedName>
    <definedName name="summeStundenFr">Data!$DR$11</definedName>
    <definedName name="summeStundenMi">Data!$BZ$11</definedName>
    <definedName name="summeStundenMo">Data!$AH$11</definedName>
    <definedName name="summeStundenWoche">Data!$DT$11</definedName>
    <definedName name="summeVerpflegungDi">Data!$BE$11</definedName>
    <definedName name="summeVerpflegungDo">Data!$CW$11</definedName>
    <definedName name="summeVerpflegungFr">Data!$DS$11</definedName>
    <definedName name="summeVerpflegungMi">Data!$CA$11</definedName>
    <definedName name="summeVerpflegungMo">Data!$AI$11</definedName>
    <definedName name="summeVerpflegungNF1">Data!$AI$15</definedName>
    <definedName name="summeVerpflegungNF2">Data!$BE$15</definedName>
    <definedName name="summeVerpflegungNF3">Data!$CA$15</definedName>
    <definedName name="summeVerpflegungNF4">Data!$CW$15</definedName>
    <definedName name="summeVerpflegungNF5">Data!$DS$15</definedName>
    <definedName name="summeVerpflegungWoche">Data!$DU$11</definedName>
    <definedName name="summStundenNF1">Data!$AH$15</definedName>
    <definedName name="summStundenNF2">Data!$BD$15</definedName>
    <definedName name="summStundenNF3">Data!$BZ$15</definedName>
    <definedName name="summStundenNF4">Data!$CV$15</definedName>
    <definedName name="summStundenNF5">Data!$DR$15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6" i="6" l="1"/>
  <c r="AH11" i="6" l="1"/>
  <c r="AG12" i="6" l="1"/>
  <c r="DQ16" i="6" l="1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DS11" i="6" l="1"/>
  <c r="DR11" i="6"/>
  <c r="CW11" i="6"/>
  <c r="CV11" i="6"/>
  <c r="CA11" i="6"/>
  <c r="BZ11" i="6"/>
  <c r="BE11" i="6"/>
  <c r="BD11" i="6"/>
  <c r="AI11" i="6"/>
  <c r="DT11" i="6" l="1"/>
  <c r="DU11" i="6"/>
  <c r="M15" i="6"/>
  <c r="L16" i="6" s="1"/>
  <c r="M11" i="6" l="1"/>
  <c r="AH14" i="6" s="1"/>
  <c r="L14" i="6" l="1"/>
  <c r="DU14" i="6"/>
  <c r="DU13" i="6"/>
  <c r="DU12" i="6"/>
  <c r="DT12" i="6"/>
  <c r="DT13" i="6"/>
  <c r="DT14" i="6"/>
  <c r="DS14" i="6"/>
  <c r="CW12" i="6"/>
  <c r="BZ13" i="6"/>
  <c r="AI14" i="6"/>
  <c r="CV13" i="6"/>
  <c r="AI12" i="6"/>
  <c r="BE13" i="6"/>
  <c r="CA14" i="6"/>
  <c r="CA13" i="6"/>
  <c r="BD12" i="6"/>
  <c r="DS13" i="6"/>
  <c r="CV14" i="6"/>
  <c r="BZ12" i="6"/>
  <c r="AI13" i="6"/>
  <c r="BE14" i="6"/>
  <c r="CV12" i="6"/>
  <c r="DR12" i="6"/>
  <c r="BD14" i="6"/>
  <c r="BZ14" i="6"/>
  <c r="DS12" i="6"/>
  <c r="DR14" i="6"/>
  <c r="AH13" i="6"/>
  <c r="AH12" i="6"/>
  <c r="DR13" i="6"/>
  <c r="BE12" i="6"/>
  <c r="CW13" i="6"/>
  <c r="CW14" i="6"/>
  <c r="CA12" i="6"/>
  <c r="BD13" i="6"/>
  <c r="L12" i="6"/>
  <c r="B29" i="6" l="1"/>
  <c r="B28" i="6"/>
  <c r="B27" i="6"/>
  <c r="B26" i="6"/>
  <c r="B25" i="6"/>
  <c r="B24" i="6"/>
  <c r="B23" i="6"/>
  <c r="B22" i="6"/>
  <c r="B21" i="6"/>
  <c r="B20" i="6"/>
  <c r="B19" i="6"/>
  <c r="L13" i="6" l="1"/>
</calcChain>
</file>

<file path=xl/sharedStrings.xml><?xml version="1.0" encoding="utf-8"?>
<sst xmlns="http://schemas.openxmlformats.org/spreadsheetml/2006/main" count="682" uniqueCount="75">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</sst>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5" fontId="0" fillId="2" borderId="2" xfId="0" applyNumberFormat="1" applyFont="1" applyFill="1" applyBorder="1" applyAlignment="1">
      <alignment vertical="top"/>
    </xf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0" fontId="0" fillId="0" borderId="6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2" borderId="7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Border="1" applyAlignment="1">
      <alignment horizontal="left"/>
    </xf>
    <xf numFmtId="0" fontId="0" fillId="3" borderId="1" xfId="0" applyFill="1" applyBorder="1" applyAlignment="1"/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V39"/>
  <sheetViews>
    <sheetView tabSelected="1" zoomScaleNormal="100" workbookViewId="0"/>
  </sheetViews>
  <sheetFormatPr baseColWidth="10" defaultColWidth="9.140625" defaultRowHeight="15" x14ac:dyDescent="0.25"/>
  <cols>
    <col min="1" max="2" width="20.7109375"/>
    <col min="3" max="9" width="17.5703125" style="1" customWidth="1"/>
    <col min="10" max="11" width="17"/>
    <col min="12" max="12" width="33.140625" customWidth="1"/>
    <col min="13" max="13" width="33.140625" hidden="1" customWidth="1"/>
    <col min="14" max="18" width="13.28515625" customWidth="1"/>
    <col min="19" max="19" width="13.5703125" customWidth="1"/>
    <col min="20" max="33" width="10.5703125"/>
    <col min="36" max="55" width="10.5703125"/>
    <col min="58" max="77" width="10.5703125"/>
    <col min="80" max="99" width="10.5703125"/>
    <col min="102" max="120" width="10.5703125"/>
    <col min="121" max="121" width="8.85546875" customWidth="1"/>
    <col min="124" max="982" width="10.5703125"/>
  </cols>
  <sheetData>
    <row r="1" spans="1:126" ht="21" x14ac:dyDescent="0.35">
      <c r="A1" s="2" t="s">
        <v>47</v>
      </c>
      <c r="B1" s="2"/>
      <c r="C1" s="3"/>
      <c r="D1" s="3"/>
      <c r="E1" s="3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</row>
    <row r="2" spans="1:126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</row>
    <row r="3" spans="1:126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</row>
    <row r="4" spans="1:126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  <c r="O4" s="2"/>
      <c r="P4" s="2"/>
      <c r="Q4" s="2"/>
      <c r="R4" s="2"/>
    </row>
    <row r="5" spans="1:126" ht="17.25" customHeight="1" x14ac:dyDescent="0.35">
      <c r="A5" s="21" t="s">
        <v>51</v>
      </c>
      <c r="B5" s="22" t="s">
        <v>52</v>
      </c>
      <c r="C5" s="3"/>
      <c r="D5" s="3"/>
      <c r="E5" s="3"/>
      <c r="F5" s="3"/>
      <c r="G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6" ht="15" customHeight="1" x14ac:dyDescent="0.25">
      <c r="C6"/>
      <c r="D6"/>
      <c r="E6"/>
      <c r="F6"/>
      <c r="G6"/>
      <c r="H6"/>
      <c r="I6"/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J6" t="s">
        <v>13</v>
      </c>
      <c r="AK6" t="s">
        <v>13</v>
      </c>
      <c r="AL6" t="s">
        <v>13</v>
      </c>
      <c r="AM6" t="s">
        <v>13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F6" t="s">
        <v>14</v>
      </c>
      <c r="BG6" t="s">
        <v>14</v>
      </c>
      <c r="BH6" t="s">
        <v>14</v>
      </c>
      <c r="BI6" t="s">
        <v>14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CB6" t="s">
        <v>15</v>
      </c>
      <c r="CC6" t="s">
        <v>15</v>
      </c>
      <c r="CD6" t="s">
        <v>15</v>
      </c>
      <c r="CE6" t="s">
        <v>15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X6" t="s">
        <v>16</v>
      </c>
      <c r="CY6" t="s">
        <v>16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T6" s="13"/>
    </row>
    <row r="7" spans="1:126" s="5" customFormat="1" ht="15" customHeight="1" x14ac:dyDescent="0.25">
      <c r="A7" s="60" t="s">
        <v>65</v>
      </c>
      <c r="B7" s="61"/>
      <c r="C7" s="62"/>
      <c r="D7" s="60" t="s">
        <v>66</v>
      </c>
      <c r="E7" s="61"/>
      <c r="F7" s="62"/>
      <c r="G7" s="60" t="s">
        <v>74</v>
      </c>
      <c r="H7" s="61"/>
      <c r="I7" s="62"/>
      <c r="J7" s="42" t="s">
        <v>7</v>
      </c>
      <c r="K7" s="42" t="s">
        <v>61</v>
      </c>
      <c r="L7" s="42" t="s">
        <v>0</v>
      </c>
      <c r="M7" s="16"/>
      <c r="N7" s="52" t="s">
        <v>40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4"/>
      <c r="AJ7" s="52" t="s">
        <v>39</v>
      </c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4"/>
      <c r="BF7" s="52" t="s">
        <v>41</v>
      </c>
      <c r="BG7" s="53"/>
      <c r="BH7" s="53"/>
      <c r="BI7" s="53"/>
      <c r="BJ7" s="53"/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4"/>
      <c r="CB7" s="52" t="s">
        <v>42</v>
      </c>
      <c r="CC7" s="53"/>
      <c r="CD7" s="53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4"/>
      <c r="CX7" s="52" t="s">
        <v>43</v>
      </c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4"/>
      <c r="DT7" s="45" t="s">
        <v>54</v>
      </c>
      <c r="DU7" s="45"/>
      <c r="DV7" s="11"/>
    </row>
    <row r="8" spans="1:126" s="5" customFormat="1" ht="15" customHeight="1" x14ac:dyDescent="0.25">
      <c r="A8" s="63"/>
      <c r="B8" s="64"/>
      <c r="C8" s="65"/>
      <c r="D8" s="63"/>
      <c r="E8" s="64"/>
      <c r="F8" s="65"/>
      <c r="G8" s="63"/>
      <c r="H8" s="64"/>
      <c r="I8" s="65"/>
      <c r="J8" s="43"/>
      <c r="K8" s="43"/>
      <c r="L8" s="43"/>
      <c r="M8" s="17"/>
      <c r="N8" s="4" t="s">
        <v>6</v>
      </c>
      <c r="O8" s="4" t="s">
        <v>6</v>
      </c>
      <c r="P8" s="4" t="s">
        <v>6</v>
      </c>
      <c r="Q8" s="4" t="s">
        <v>6</v>
      </c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9" t="s">
        <v>48</v>
      </c>
      <c r="AI8" s="49" t="s">
        <v>49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9" t="s">
        <v>48</v>
      </c>
      <c r="BE8" s="49" t="s">
        <v>49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9" t="s">
        <v>48</v>
      </c>
      <c r="CA8" s="49" t="s">
        <v>49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9" t="s">
        <v>48</v>
      </c>
      <c r="CW8" s="49" t="s">
        <v>49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10" t="s">
        <v>6</v>
      </c>
      <c r="DR8" s="49" t="s">
        <v>48</v>
      </c>
      <c r="DS8" s="49" t="s">
        <v>49</v>
      </c>
      <c r="DT8" s="46" t="s">
        <v>55</v>
      </c>
      <c r="DU8" s="46" t="s">
        <v>56</v>
      </c>
      <c r="DV8" s="11"/>
    </row>
    <row r="9" spans="1:126" s="5" customFormat="1" ht="15" customHeight="1" x14ac:dyDescent="0.25">
      <c r="A9" s="42" t="s">
        <v>63</v>
      </c>
      <c r="B9" s="42" t="s">
        <v>64</v>
      </c>
      <c r="C9" s="42" t="s">
        <v>10</v>
      </c>
      <c r="D9" s="42" t="s">
        <v>63</v>
      </c>
      <c r="E9" s="42" t="s">
        <v>64</v>
      </c>
      <c r="F9" s="42" t="s">
        <v>67</v>
      </c>
      <c r="G9" s="42" t="s">
        <v>63</v>
      </c>
      <c r="H9" s="42" t="s">
        <v>64</v>
      </c>
      <c r="I9" s="42" t="s">
        <v>67</v>
      </c>
      <c r="J9" s="43"/>
      <c r="K9" s="43"/>
      <c r="L9" s="43"/>
      <c r="M9" s="17"/>
      <c r="N9" s="19" t="s">
        <v>50</v>
      </c>
      <c r="O9" s="19" t="s">
        <v>50</v>
      </c>
      <c r="P9" s="19" t="s">
        <v>50</v>
      </c>
      <c r="Q9" s="19" t="s">
        <v>50</v>
      </c>
      <c r="R9" s="19" t="s">
        <v>50</v>
      </c>
      <c r="S9" s="19" t="s">
        <v>50</v>
      </c>
      <c r="T9" s="19" t="s">
        <v>50</v>
      </c>
      <c r="U9" s="19" t="s">
        <v>50</v>
      </c>
      <c r="V9" s="19" t="s">
        <v>50</v>
      </c>
      <c r="W9" s="19" t="s">
        <v>50</v>
      </c>
      <c r="X9" s="19" t="s">
        <v>50</v>
      </c>
      <c r="Y9" s="19" t="s">
        <v>50</v>
      </c>
      <c r="Z9" s="19" t="s">
        <v>50</v>
      </c>
      <c r="AA9" s="19" t="s">
        <v>50</v>
      </c>
      <c r="AB9" s="19" t="s">
        <v>50</v>
      </c>
      <c r="AC9" s="19" t="s">
        <v>50</v>
      </c>
      <c r="AD9" s="19" t="s">
        <v>50</v>
      </c>
      <c r="AE9" s="19" t="s">
        <v>50</v>
      </c>
      <c r="AF9" s="19" t="s">
        <v>50</v>
      </c>
      <c r="AG9" s="19" t="s">
        <v>50</v>
      </c>
      <c r="AH9" s="50"/>
      <c r="AI9" s="50"/>
      <c r="AJ9" s="19" t="s">
        <v>50</v>
      </c>
      <c r="AK9" s="19" t="s">
        <v>50</v>
      </c>
      <c r="AL9" s="19" t="s">
        <v>50</v>
      </c>
      <c r="AM9" s="19" t="s">
        <v>50</v>
      </c>
      <c r="AN9" s="19" t="s">
        <v>50</v>
      </c>
      <c r="AO9" s="19" t="s">
        <v>50</v>
      </c>
      <c r="AP9" s="19" t="s">
        <v>50</v>
      </c>
      <c r="AQ9" s="19" t="s">
        <v>50</v>
      </c>
      <c r="AR9" s="19" t="s">
        <v>50</v>
      </c>
      <c r="AS9" s="19" t="s">
        <v>50</v>
      </c>
      <c r="AT9" s="19" t="s">
        <v>50</v>
      </c>
      <c r="AU9" s="19" t="s">
        <v>50</v>
      </c>
      <c r="AV9" s="19" t="s">
        <v>50</v>
      </c>
      <c r="AW9" s="19" t="s">
        <v>50</v>
      </c>
      <c r="AX9" s="19" t="s">
        <v>50</v>
      </c>
      <c r="AY9" s="19" t="s">
        <v>50</v>
      </c>
      <c r="AZ9" s="19" t="s">
        <v>50</v>
      </c>
      <c r="BA9" s="19" t="s">
        <v>50</v>
      </c>
      <c r="BB9" s="19" t="s">
        <v>50</v>
      </c>
      <c r="BC9" s="19" t="s">
        <v>50</v>
      </c>
      <c r="BD9" s="50"/>
      <c r="BE9" s="50"/>
      <c r="BF9" s="19" t="s">
        <v>50</v>
      </c>
      <c r="BG9" s="19" t="s">
        <v>50</v>
      </c>
      <c r="BH9" s="19" t="s">
        <v>50</v>
      </c>
      <c r="BI9" s="19" t="s">
        <v>50</v>
      </c>
      <c r="BJ9" s="19" t="s">
        <v>50</v>
      </c>
      <c r="BK9" s="19" t="s">
        <v>50</v>
      </c>
      <c r="BL9" s="19" t="s">
        <v>50</v>
      </c>
      <c r="BM9" s="19" t="s">
        <v>50</v>
      </c>
      <c r="BN9" s="19" t="s">
        <v>50</v>
      </c>
      <c r="BO9" s="19" t="s">
        <v>50</v>
      </c>
      <c r="BP9" s="19" t="s">
        <v>50</v>
      </c>
      <c r="BQ9" s="19" t="s">
        <v>50</v>
      </c>
      <c r="BR9" s="19" t="s">
        <v>50</v>
      </c>
      <c r="BS9" s="19" t="s">
        <v>50</v>
      </c>
      <c r="BT9" s="19" t="s">
        <v>50</v>
      </c>
      <c r="BU9" s="19" t="s">
        <v>50</v>
      </c>
      <c r="BV9" s="19" t="s">
        <v>50</v>
      </c>
      <c r="BW9" s="19" t="s">
        <v>50</v>
      </c>
      <c r="BX9" s="19" t="s">
        <v>50</v>
      </c>
      <c r="BY9" s="19" t="s">
        <v>50</v>
      </c>
      <c r="BZ9" s="50"/>
      <c r="CA9" s="50"/>
      <c r="CB9" s="19" t="s">
        <v>50</v>
      </c>
      <c r="CC9" s="19" t="s">
        <v>50</v>
      </c>
      <c r="CD9" s="19" t="s">
        <v>50</v>
      </c>
      <c r="CE9" s="19" t="s">
        <v>50</v>
      </c>
      <c r="CF9" s="19" t="s">
        <v>50</v>
      </c>
      <c r="CG9" s="19" t="s">
        <v>50</v>
      </c>
      <c r="CH9" s="19" t="s">
        <v>50</v>
      </c>
      <c r="CI9" s="19" t="s">
        <v>50</v>
      </c>
      <c r="CJ9" s="19" t="s">
        <v>50</v>
      </c>
      <c r="CK9" s="19" t="s">
        <v>50</v>
      </c>
      <c r="CL9" s="19" t="s">
        <v>50</v>
      </c>
      <c r="CM9" s="19" t="s">
        <v>50</v>
      </c>
      <c r="CN9" s="19" t="s">
        <v>50</v>
      </c>
      <c r="CO9" s="19" t="s">
        <v>50</v>
      </c>
      <c r="CP9" s="19" t="s">
        <v>50</v>
      </c>
      <c r="CQ9" s="19" t="s">
        <v>50</v>
      </c>
      <c r="CR9" s="19" t="s">
        <v>50</v>
      </c>
      <c r="CS9" s="19" t="s">
        <v>50</v>
      </c>
      <c r="CT9" s="19" t="s">
        <v>50</v>
      </c>
      <c r="CU9" s="19" t="s">
        <v>50</v>
      </c>
      <c r="CV9" s="50"/>
      <c r="CW9" s="50"/>
      <c r="CX9" s="19" t="s">
        <v>50</v>
      </c>
      <c r="CY9" s="19" t="s">
        <v>50</v>
      </c>
      <c r="CZ9" s="19" t="s">
        <v>50</v>
      </c>
      <c r="DA9" s="19" t="s">
        <v>50</v>
      </c>
      <c r="DB9" s="19" t="s">
        <v>50</v>
      </c>
      <c r="DC9" s="19" t="s">
        <v>50</v>
      </c>
      <c r="DD9" s="19" t="s">
        <v>50</v>
      </c>
      <c r="DE9" s="19" t="s">
        <v>50</v>
      </c>
      <c r="DF9" s="19" t="s">
        <v>50</v>
      </c>
      <c r="DG9" s="19" t="s">
        <v>50</v>
      </c>
      <c r="DH9" s="19" t="s">
        <v>50</v>
      </c>
      <c r="DI9" s="19" t="s">
        <v>50</v>
      </c>
      <c r="DJ9" s="19" t="s">
        <v>50</v>
      </c>
      <c r="DK9" s="19" t="s">
        <v>50</v>
      </c>
      <c r="DL9" s="19" t="s">
        <v>50</v>
      </c>
      <c r="DM9" s="19" t="s">
        <v>50</v>
      </c>
      <c r="DN9" s="19" t="s">
        <v>50</v>
      </c>
      <c r="DO9" s="19" t="s">
        <v>50</v>
      </c>
      <c r="DP9" s="19" t="s">
        <v>50</v>
      </c>
      <c r="DQ9" s="19" t="s">
        <v>50</v>
      </c>
      <c r="DR9" s="50"/>
      <c r="DS9" s="50"/>
      <c r="DT9" s="47"/>
      <c r="DU9" s="47"/>
      <c r="DV9" s="11"/>
    </row>
    <row r="10" spans="1:126" s="5" customFormat="1" ht="15" customHeight="1" x14ac:dyDescent="0.2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17"/>
      <c r="N10" s="20" t="s">
        <v>53</v>
      </c>
      <c r="O10" s="20" t="s">
        <v>53</v>
      </c>
      <c r="P10" s="20" t="s">
        <v>53</v>
      </c>
      <c r="Q10" s="20" t="s">
        <v>53</v>
      </c>
      <c r="R10" s="20" t="s">
        <v>53</v>
      </c>
      <c r="S10" s="20" t="s">
        <v>53</v>
      </c>
      <c r="T10" s="20" t="s">
        <v>53</v>
      </c>
      <c r="U10" s="20" t="s">
        <v>53</v>
      </c>
      <c r="V10" s="20" t="s">
        <v>53</v>
      </c>
      <c r="W10" s="20" t="s">
        <v>53</v>
      </c>
      <c r="X10" s="20" t="s">
        <v>53</v>
      </c>
      <c r="Y10" s="20" t="s">
        <v>53</v>
      </c>
      <c r="Z10" s="20" t="s">
        <v>53</v>
      </c>
      <c r="AA10" s="20" t="s">
        <v>53</v>
      </c>
      <c r="AB10" s="20" t="s">
        <v>53</v>
      </c>
      <c r="AC10" s="20" t="s">
        <v>53</v>
      </c>
      <c r="AD10" s="20" t="s">
        <v>53</v>
      </c>
      <c r="AE10" s="20" t="s">
        <v>53</v>
      </c>
      <c r="AF10" s="20" t="s">
        <v>53</v>
      </c>
      <c r="AG10" s="20" t="s">
        <v>53</v>
      </c>
      <c r="AH10" s="51"/>
      <c r="AI10" s="51"/>
      <c r="AJ10" s="20" t="s">
        <v>53</v>
      </c>
      <c r="AK10" s="20" t="s">
        <v>53</v>
      </c>
      <c r="AL10" s="20" t="s">
        <v>53</v>
      </c>
      <c r="AM10" s="20" t="s">
        <v>53</v>
      </c>
      <c r="AN10" s="20" t="s">
        <v>53</v>
      </c>
      <c r="AO10" s="20" t="s">
        <v>53</v>
      </c>
      <c r="AP10" s="20" t="s">
        <v>53</v>
      </c>
      <c r="AQ10" s="20" t="s">
        <v>53</v>
      </c>
      <c r="AR10" s="20" t="s">
        <v>53</v>
      </c>
      <c r="AS10" s="20" t="s">
        <v>53</v>
      </c>
      <c r="AT10" s="20" t="s">
        <v>53</v>
      </c>
      <c r="AU10" s="20" t="s">
        <v>53</v>
      </c>
      <c r="AV10" s="20" t="s">
        <v>53</v>
      </c>
      <c r="AW10" s="20" t="s">
        <v>53</v>
      </c>
      <c r="AX10" s="20" t="s">
        <v>53</v>
      </c>
      <c r="AY10" s="20" t="s">
        <v>53</v>
      </c>
      <c r="AZ10" s="20" t="s">
        <v>53</v>
      </c>
      <c r="BA10" s="20" t="s">
        <v>53</v>
      </c>
      <c r="BB10" s="20" t="s">
        <v>53</v>
      </c>
      <c r="BC10" s="20" t="s">
        <v>53</v>
      </c>
      <c r="BD10" s="51"/>
      <c r="BE10" s="51"/>
      <c r="BF10" s="20" t="s">
        <v>53</v>
      </c>
      <c r="BG10" s="20" t="s">
        <v>53</v>
      </c>
      <c r="BH10" s="20" t="s">
        <v>53</v>
      </c>
      <c r="BI10" s="20" t="s">
        <v>53</v>
      </c>
      <c r="BJ10" s="20" t="s">
        <v>53</v>
      </c>
      <c r="BK10" s="20" t="s">
        <v>53</v>
      </c>
      <c r="BL10" s="20" t="s">
        <v>53</v>
      </c>
      <c r="BM10" s="20" t="s">
        <v>53</v>
      </c>
      <c r="BN10" s="20" t="s">
        <v>53</v>
      </c>
      <c r="BO10" s="20" t="s">
        <v>53</v>
      </c>
      <c r="BP10" s="20" t="s">
        <v>53</v>
      </c>
      <c r="BQ10" s="20" t="s">
        <v>53</v>
      </c>
      <c r="BR10" s="20" t="s">
        <v>53</v>
      </c>
      <c r="BS10" s="20" t="s">
        <v>53</v>
      </c>
      <c r="BT10" s="20" t="s">
        <v>53</v>
      </c>
      <c r="BU10" s="20" t="s">
        <v>53</v>
      </c>
      <c r="BV10" s="20" t="s">
        <v>53</v>
      </c>
      <c r="BW10" s="20" t="s">
        <v>53</v>
      </c>
      <c r="BX10" s="20" t="s">
        <v>53</v>
      </c>
      <c r="BY10" s="20" t="s">
        <v>53</v>
      </c>
      <c r="BZ10" s="51"/>
      <c r="CA10" s="51"/>
      <c r="CB10" s="20" t="s">
        <v>53</v>
      </c>
      <c r="CC10" s="20" t="s">
        <v>53</v>
      </c>
      <c r="CD10" s="20" t="s">
        <v>53</v>
      </c>
      <c r="CE10" s="20" t="s">
        <v>53</v>
      </c>
      <c r="CF10" s="20" t="s">
        <v>53</v>
      </c>
      <c r="CG10" s="20" t="s">
        <v>53</v>
      </c>
      <c r="CH10" s="20" t="s">
        <v>53</v>
      </c>
      <c r="CI10" s="20" t="s">
        <v>53</v>
      </c>
      <c r="CJ10" s="20" t="s">
        <v>53</v>
      </c>
      <c r="CK10" s="20" t="s">
        <v>53</v>
      </c>
      <c r="CL10" s="20" t="s">
        <v>53</v>
      </c>
      <c r="CM10" s="20" t="s">
        <v>53</v>
      </c>
      <c r="CN10" s="20" t="s">
        <v>53</v>
      </c>
      <c r="CO10" s="20" t="s">
        <v>53</v>
      </c>
      <c r="CP10" s="20" t="s">
        <v>53</v>
      </c>
      <c r="CQ10" s="20" t="s">
        <v>53</v>
      </c>
      <c r="CR10" s="20" t="s">
        <v>53</v>
      </c>
      <c r="CS10" s="20" t="s">
        <v>53</v>
      </c>
      <c r="CT10" s="20" t="s">
        <v>53</v>
      </c>
      <c r="CU10" s="20" t="s">
        <v>53</v>
      </c>
      <c r="CV10" s="51"/>
      <c r="CW10" s="51"/>
      <c r="CX10" s="20" t="s">
        <v>53</v>
      </c>
      <c r="CY10" s="20" t="s">
        <v>53</v>
      </c>
      <c r="CZ10" s="20" t="s">
        <v>53</v>
      </c>
      <c r="DA10" s="20" t="s">
        <v>53</v>
      </c>
      <c r="DB10" s="20" t="s">
        <v>53</v>
      </c>
      <c r="DC10" s="20" t="s">
        <v>53</v>
      </c>
      <c r="DD10" s="20" t="s">
        <v>53</v>
      </c>
      <c r="DE10" s="20" t="s">
        <v>53</v>
      </c>
      <c r="DF10" s="20" t="s">
        <v>53</v>
      </c>
      <c r="DG10" s="20" t="s">
        <v>53</v>
      </c>
      <c r="DH10" s="20" t="s">
        <v>53</v>
      </c>
      <c r="DI10" s="20" t="s">
        <v>53</v>
      </c>
      <c r="DJ10" s="20" t="s">
        <v>53</v>
      </c>
      <c r="DK10" s="20" t="s">
        <v>53</v>
      </c>
      <c r="DL10" s="20" t="s">
        <v>53</v>
      </c>
      <c r="DM10" s="20" t="s">
        <v>53</v>
      </c>
      <c r="DN10" s="20" t="s">
        <v>53</v>
      </c>
      <c r="DO10" s="20" t="s">
        <v>53</v>
      </c>
      <c r="DP10" s="20" t="s">
        <v>53</v>
      </c>
      <c r="DQ10" s="20" t="s">
        <v>53</v>
      </c>
      <c r="DR10" s="51"/>
      <c r="DS10" s="51"/>
      <c r="DT10" s="48"/>
      <c r="DU10" s="48"/>
      <c r="DV10" s="11"/>
    </row>
    <row r="11" spans="1:126" x14ac:dyDescent="0.25">
      <c r="A11" s="6" t="s">
        <v>1</v>
      </c>
      <c r="B11" s="6" t="s">
        <v>2</v>
      </c>
      <c r="C11" s="14" t="s">
        <v>4</v>
      </c>
      <c r="D11" s="14" t="s">
        <v>68</v>
      </c>
      <c r="E11" s="14" t="s">
        <v>69</v>
      </c>
      <c r="F11" s="14" t="s">
        <v>70</v>
      </c>
      <c r="G11" s="14" t="s">
        <v>71</v>
      </c>
      <c r="H11" s="14" t="s">
        <v>72</v>
      </c>
      <c r="I11" s="14" t="s">
        <v>73</v>
      </c>
      <c r="J11" s="7" t="s">
        <v>3</v>
      </c>
      <c r="K11" s="7" t="s">
        <v>60</v>
      </c>
      <c r="L11" s="6" t="s">
        <v>5</v>
      </c>
      <c r="M11" s="6" t="e">
        <f>VLOOKUP(L11,$A$18:$B$29,2,FALSE)</f>
        <v>#N/A</v>
      </c>
      <c r="N11" s="25" t="s">
        <v>8</v>
      </c>
      <c r="O11" s="25" t="s">
        <v>8</v>
      </c>
      <c r="P11" s="25" t="s">
        <v>8</v>
      </c>
      <c r="Q11" s="25" t="s">
        <v>8</v>
      </c>
      <c r="R11" s="25" t="s">
        <v>8</v>
      </c>
      <c r="S11" s="25" t="s">
        <v>8</v>
      </c>
      <c r="T11" s="25" t="s">
        <v>8</v>
      </c>
      <c r="U11" s="25" t="s">
        <v>8</v>
      </c>
      <c r="V11" s="25" t="s">
        <v>8</v>
      </c>
      <c r="W11" s="25" t="s">
        <v>8</v>
      </c>
      <c r="X11" s="25" t="s">
        <v>8</v>
      </c>
      <c r="Y11" s="25" t="s">
        <v>8</v>
      </c>
      <c r="Z11" s="25" t="s">
        <v>8</v>
      </c>
      <c r="AA11" s="25" t="s">
        <v>8</v>
      </c>
      <c r="AB11" s="25" t="s">
        <v>8</v>
      </c>
      <c r="AC11" s="25" t="s">
        <v>8</v>
      </c>
      <c r="AD11" s="25" t="s">
        <v>8</v>
      </c>
      <c r="AE11" s="25" t="s">
        <v>8</v>
      </c>
      <c r="AF11" s="25" t="s">
        <v>8</v>
      </c>
      <c r="AG11" s="25" t="s">
        <v>8</v>
      </c>
      <c r="AH11" s="38">
        <f>SUMIF(N11:AG11,1,N$9:AG$9)
+SUMIF(N11:AG11,2,N$9:AG$9)*0.5
+SUMIF(N11:AG11,3,N$9:AG$9)</f>
        <v>0</v>
      </c>
      <c r="AI11" s="26">
        <f>SUMIF(N11:AG11,1,N$10:AG$10)
+SUMIF(N11:AG11,2,N$10:AG$10)*0.5</f>
        <v>0</v>
      </c>
      <c r="AJ11" s="25" t="s">
        <v>8</v>
      </c>
      <c r="AK11" s="25" t="s">
        <v>8</v>
      </c>
      <c r="AL11" s="25" t="s">
        <v>8</v>
      </c>
      <c r="AM11" s="25" t="s">
        <v>8</v>
      </c>
      <c r="AN11" s="25" t="s">
        <v>8</v>
      </c>
      <c r="AO11" s="25" t="s">
        <v>8</v>
      </c>
      <c r="AP11" s="25" t="s">
        <v>8</v>
      </c>
      <c r="AQ11" s="25" t="s">
        <v>8</v>
      </c>
      <c r="AR11" s="25" t="s">
        <v>8</v>
      </c>
      <c r="AS11" s="25" t="s">
        <v>8</v>
      </c>
      <c r="AT11" s="25" t="s">
        <v>8</v>
      </c>
      <c r="AU11" s="25" t="s">
        <v>8</v>
      </c>
      <c r="AV11" s="25" t="s">
        <v>8</v>
      </c>
      <c r="AW11" s="25" t="s">
        <v>8</v>
      </c>
      <c r="AX11" s="25" t="s">
        <v>8</v>
      </c>
      <c r="AY11" s="25" t="s">
        <v>8</v>
      </c>
      <c r="AZ11" s="25" t="s">
        <v>8</v>
      </c>
      <c r="BA11" s="25" t="s">
        <v>8</v>
      </c>
      <c r="BB11" s="25" t="s">
        <v>8</v>
      </c>
      <c r="BC11" s="25" t="s">
        <v>8</v>
      </c>
      <c r="BD11" s="38">
        <f>SUMIF(AJ11:BC11,1,AJ$9:BC$9)
+SUMIF(AJ11:BC11,2,AJ$9:BC$9)*0.5
+SUMIF(AJ11:BC11,3,AJ$9:BC$9)</f>
        <v>0</v>
      </c>
      <c r="BE11" s="26">
        <f>SUMIF(AJ11:BC11,1,AJ$10:BC$10)
+SUMIF(AJ11:BC11,2,AJ$10:BC$10)*0.5</f>
        <v>0</v>
      </c>
      <c r="BF11" s="25" t="s">
        <v>8</v>
      </c>
      <c r="BG11" s="25" t="s">
        <v>8</v>
      </c>
      <c r="BH11" s="25" t="s">
        <v>8</v>
      </c>
      <c r="BI11" s="25" t="s">
        <v>8</v>
      </c>
      <c r="BJ11" s="25" t="s">
        <v>8</v>
      </c>
      <c r="BK11" s="25" t="s">
        <v>8</v>
      </c>
      <c r="BL11" s="25" t="s">
        <v>8</v>
      </c>
      <c r="BM11" s="25" t="s">
        <v>8</v>
      </c>
      <c r="BN11" s="25" t="s">
        <v>8</v>
      </c>
      <c r="BO11" s="25" t="s">
        <v>8</v>
      </c>
      <c r="BP11" s="25" t="s">
        <v>8</v>
      </c>
      <c r="BQ11" s="25" t="s">
        <v>8</v>
      </c>
      <c r="BR11" s="25" t="s">
        <v>8</v>
      </c>
      <c r="BS11" s="25" t="s">
        <v>8</v>
      </c>
      <c r="BT11" s="25" t="s">
        <v>8</v>
      </c>
      <c r="BU11" s="25" t="s">
        <v>8</v>
      </c>
      <c r="BV11" s="25" t="s">
        <v>8</v>
      </c>
      <c r="BW11" s="25" t="s">
        <v>8</v>
      </c>
      <c r="BX11" s="25" t="s">
        <v>8</v>
      </c>
      <c r="BY11" s="25" t="s">
        <v>8</v>
      </c>
      <c r="BZ11" s="38">
        <f>SUMIF(BF11:BY11,1,BF$9:BY$9)
+SUMIF(BF11:BY11,2,BF$9:BY$9)*0.5
+SUMIF(BF11:BY11,3,BF$9:BY$9)</f>
        <v>0</v>
      </c>
      <c r="CA11" s="26">
        <f>SUMIF(BF11:BY11,1,BF$10:BY$10)
+SUMIF(BF11:BY11,2,BF$10:BY$10)*0.5</f>
        <v>0</v>
      </c>
      <c r="CB11" s="25" t="s">
        <v>8</v>
      </c>
      <c r="CC11" s="25" t="s">
        <v>8</v>
      </c>
      <c r="CD11" s="25" t="s">
        <v>8</v>
      </c>
      <c r="CE11" s="25" t="s">
        <v>8</v>
      </c>
      <c r="CF11" s="25" t="s">
        <v>8</v>
      </c>
      <c r="CG11" s="25" t="s">
        <v>8</v>
      </c>
      <c r="CH11" s="25" t="s">
        <v>8</v>
      </c>
      <c r="CI11" s="25" t="s">
        <v>8</v>
      </c>
      <c r="CJ11" s="25" t="s">
        <v>8</v>
      </c>
      <c r="CK11" s="25" t="s">
        <v>8</v>
      </c>
      <c r="CL11" s="25" t="s">
        <v>8</v>
      </c>
      <c r="CM11" s="25" t="s">
        <v>8</v>
      </c>
      <c r="CN11" s="25" t="s">
        <v>8</v>
      </c>
      <c r="CO11" s="25" t="s">
        <v>8</v>
      </c>
      <c r="CP11" s="25" t="s">
        <v>8</v>
      </c>
      <c r="CQ11" s="25" t="s">
        <v>8</v>
      </c>
      <c r="CR11" s="25" t="s">
        <v>8</v>
      </c>
      <c r="CS11" s="25" t="s">
        <v>8</v>
      </c>
      <c r="CT11" s="25" t="s">
        <v>8</v>
      </c>
      <c r="CU11" s="25" t="s">
        <v>8</v>
      </c>
      <c r="CV11" s="38">
        <f>SUMIF(CB11:CU11,1,CB$9:CU$9)
+SUMIF(CB11:CU11,2,CB$9:CU$9)*0.5
+SUMIF(CB11:CU11,3,CB$9:CU$9)</f>
        <v>0</v>
      </c>
      <c r="CW11" s="26">
        <f>SUMIF(CB11:CU11,1,CB$10:CU$10)
+SUMIF(CB11:CU11,2,CB$10:CU$10)*0.5</f>
        <v>0</v>
      </c>
      <c r="CX11" s="25" t="s">
        <v>8</v>
      </c>
      <c r="CY11" s="25" t="s">
        <v>8</v>
      </c>
      <c r="CZ11" s="25" t="s">
        <v>8</v>
      </c>
      <c r="DA11" s="25" t="s">
        <v>8</v>
      </c>
      <c r="DB11" s="25" t="s">
        <v>8</v>
      </c>
      <c r="DC11" s="25" t="s">
        <v>8</v>
      </c>
      <c r="DD11" s="25" t="s">
        <v>8</v>
      </c>
      <c r="DE11" s="25" t="s">
        <v>8</v>
      </c>
      <c r="DF11" s="25" t="s">
        <v>8</v>
      </c>
      <c r="DG11" s="25" t="s">
        <v>8</v>
      </c>
      <c r="DH11" s="25" t="s">
        <v>8</v>
      </c>
      <c r="DI11" s="25" t="s">
        <v>8</v>
      </c>
      <c r="DJ11" s="25" t="s">
        <v>8</v>
      </c>
      <c r="DK11" s="25" t="s">
        <v>8</v>
      </c>
      <c r="DL11" s="25" t="s">
        <v>8</v>
      </c>
      <c r="DM11" s="25" t="s">
        <v>8</v>
      </c>
      <c r="DN11" s="25" t="s">
        <v>8</v>
      </c>
      <c r="DO11" s="25" t="s">
        <v>8</v>
      </c>
      <c r="DP11" s="25" t="s">
        <v>8</v>
      </c>
      <c r="DQ11" s="25" t="s">
        <v>8</v>
      </c>
      <c r="DR11" s="38">
        <f>SUMIF(CX11:DQ11,1,CX$9:DQ$9)
+SUMIF(CX11:DQ11,2,CX$9:DQ$9)*0.5
+SUMIF(CX11:DQ11,3,CX$9:DQ$9)</f>
        <v>0</v>
      </c>
      <c r="DS11" s="26">
        <f>SUMIF(CX11:DQ11,1,CX$10:DQ$10)
+SUMIF(CX11:DQ11,2,CX$10:DQ$10)*0.5</f>
        <v>0</v>
      </c>
      <c r="DT11" s="38">
        <f>SUM(DR11,AH11,BD11,BZ11,CV11)</f>
        <v>0</v>
      </c>
      <c r="DU11" s="27">
        <f>SUM(DS11,AI11,BE11,CA11,CW11)</f>
        <v>0</v>
      </c>
      <c r="DV11" s="12" t="s">
        <v>11</v>
      </c>
    </row>
    <row r="12" spans="1:126" x14ac:dyDescent="0.25">
      <c r="A12" s="55" t="s">
        <v>17</v>
      </c>
      <c r="B12" s="56"/>
      <c r="C12" s="56"/>
      <c r="D12" s="56"/>
      <c r="E12" s="56"/>
      <c r="F12" s="56"/>
      <c r="G12" s="56"/>
      <c r="H12" s="56"/>
      <c r="I12" s="56"/>
      <c r="J12" s="56"/>
      <c r="K12" s="57"/>
      <c r="L12" s="15">
        <f>COUNTIF(statusKategorie,$B$33)</f>
        <v>0</v>
      </c>
      <c r="M12" s="15"/>
      <c r="N12" s="15">
        <f>COUNTIFS(angemeldet1,"&gt;0",statusKategorie,$B$33)</f>
        <v>0</v>
      </c>
      <c r="O12" s="15">
        <f>COUNTIFS(angemeldet2,"&gt;0",statusKategorie,$B$33)</f>
        <v>0</v>
      </c>
      <c r="P12" s="15">
        <f>COUNTIFS(angemeldet3,"&gt;0",statusKategorie,$B$33)</f>
        <v>0</v>
      </c>
      <c r="Q12" s="15">
        <f>COUNTIFS(angemeldet4,"&gt;0",statusKategorie,$B$33)</f>
        <v>0</v>
      </c>
      <c r="R12" s="15">
        <f>COUNTIFS(angemeldet5,"&gt;0",statusKategorie,$B$33)</f>
        <v>0</v>
      </c>
      <c r="S12" s="15">
        <f>COUNTIFS(angemeldet6,"&gt;0",statusKategorie,$B$33)</f>
        <v>0</v>
      </c>
      <c r="T12" s="15">
        <f>COUNTIFS(angemeldet7,"&gt;0",statusKategorie,$B$33)</f>
        <v>0</v>
      </c>
      <c r="U12" s="15">
        <f>COUNTIFS(angemeldet8,"&gt;0",statusKategorie,$B$33)</f>
        <v>0</v>
      </c>
      <c r="V12" s="15">
        <f>COUNTIFS(angemeldet9,"&gt;0",statusKategorie,$B$33)</f>
        <v>0</v>
      </c>
      <c r="W12" s="15">
        <f>COUNTIFS(angemeldet10,"&gt;0",statusKategorie,$B$33)</f>
        <v>0</v>
      </c>
      <c r="X12" s="15">
        <f>COUNTIFS(angemeldet11,"&gt;0",statusKategorie,$B$33)</f>
        <v>0</v>
      </c>
      <c r="Y12" s="15">
        <f>COUNTIFS(angemeldet12,"&gt;0",statusKategorie,$B$33)</f>
        <v>0</v>
      </c>
      <c r="Z12" s="15">
        <f>COUNTIFS(angemeldet13,"&gt;0",statusKategorie,$B$33)</f>
        <v>0</v>
      </c>
      <c r="AA12" s="15">
        <f>COUNTIFS(angemeldet14,"&gt;0",statusKategorie,$B$33)</f>
        <v>0</v>
      </c>
      <c r="AB12" s="15">
        <f>COUNTIFS(angemeldet15,"&gt;0",statusKategorie,$B$33)</f>
        <v>0</v>
      </c>
      <c r="AC12" s="15">
        <f>COUNTIFS(angemeldet16,"&gt;0",statusKategorie,$B$33)</f>
        <v>0</v>
      </c>
      <c r="AD12" s="15">
        <f>COUNTIFS(angemeldet17,"&gt;0",statusKategorie,$B$33)</f>
        <v>0</v>
      </c>
      <c r="AE12" s="15">
        <f>COUNTIFS(angemeldet18,"&gt;0",statusKategorie,$B$33)</f>
        <v>0</v>
      </c>
      <c r="AF12" s="15">
        <f>COUNTIFS(angemeldet19,"&gt;0",statusKategorie,$B$33)</f>
        <v>0</v>
      </c>
      <c r="AG12" s="15">
        <f>COUNTIFS(angemeldet20,"&gt;0",statusKategorie,$B$33)</f>
        <v>0</v>
      </c>
      <c r="AH12" s="39">
        <f>SUMIFS(summeStundenMo,statusKategorie,$B$33)</f>
        <v>0</v>
      </c>
      <c r="AI12" s="24">
        <f>SUMIFS(summeVerpflegungMo,statusKategorie,$B$33)</f>
        <v>0</v>
      </c>
      <c r="AJ12" s="15">
        <f>COUNTIFS(angemeldet21,"&gt;0",statusKategorie,$B$33)</f>
        <v>0</v>
      </c>
      <c r="AK12" s="15">
        <f>COUNTIFS(angemeldet22,"&gt;0",statusKategorie,$B$33)</f>
        <v>0</v>
      </c>
      <c r="AL12" s="15">
        <f>COUNTIFS(angemeldet23,"&gt;0",statusKategorie,$B$33)</f>
        <v>0</v>
      </c>
      <c r="AM12" s="15">
        <f>COUNTIFS(angemeldet24,"&gt;0",statusKategorie,$B$33)</f>
        <v>0</v>
      </c>
      <c r="AN12" s="15">
        <f>COUNTIFS(angemeldet25,"&gt;0",statusKategorie,$B$33)</f>
        <v>0</v>
      </c>
      <c r="AO12" s="15">
        <f>COUNTIFS(angemeldet26,"&gt;0",statusKategorie,$B$33)</f>
        <v>0</v>
      </c>
      <c r="AP12" s="15">
        <f>COUNTIFS(angemeldet27,"&gt;0",statusKategorie,$B$33)</f>
        <v>0</v>
      </c>
      <c r="AQ12" s="15">
        <f>COUNTIFS(angemeldet28,"&gt;0",statusKategorie,$B$33)</f>
        <v>0</v>
      </c>
      <c r="AR12" s="15">
        <f>COUNTIFS(angemeldet29,"&gt;0",statusKategorie,$B$33)</f>
        <v>0</v>
      </c>
      <c r="AS12" s="15">
        <f>COUNTIFS(angemeldet30,"&gt;0",statusKategorie,$B$33)</f>
        <v>0</v>
      </c>
      <c r="AT12" s="15">
        <f>COUNTIFS(angemeldet31,"&gt;0",statusKategorie,$B$33)</f>
        <v>0</v>
      </c>
      <c r="AU12" s="15">
        <f>COUNTIFS(angemeldet32,"&gt;0",statusKategorie,$B$33)</f>
        <v>0</v>
      </c>
      <c r="AV12" s="15">
        <f>COUNTIFS(angemeldet33,"&gt;0",statusKategorie,$B$33)</f>
        <v>0</v>
      </c>
      <c r="AW12" s="15">
        <f>COUNTIFS(angemeldet34,"&gt;0",statusKategorie,$B$33)</f>
        <v>0</v>
      </c>
      <c r="AX12" s="15">
        <f>COUNTIFS(angemeldet35,"&gt;0",statusKategorie,$B$33)</f>
        <v>0</v>
      </c>
      <c r="AY12" s="15">
        <f>COUNTIFS(angemeldet36,"&gt;0",statusKategorie,$B$33)</f>
        <v>0</v>
      </c>
      <c r="AZ12" s="15">
        <f>COUNTIFS(angemeldet37,"&gt;0",statusKategorie,$B$33)</f>
        <v>0</v>
      </c>
      <c r="BA12" s="15">
        <f>COUNTIFS(angemeldet38,"&gt;0",statusKategorie,$B$33)</f>
        <v>0</v>
      </c>
      <c r="BB12" s="15">
        <f>COUNTIFS(angemeldet39,"&gt;0",statusKategorie,$B$33)</f>
        <v>0</v>
      </c>
      <c r="BC12" s="15">
        <f>COUNTIFS(angemeldet40,"&gt;0",statusKategorie,$B$33)</f>
        <v>0</v>
      </c>
      <c r="BD12" s="39">
        <f>SUMIFS(summeStundenDi,statusKategorie,$B$33)</f>
        <v>0</v>
      </c>
      <c r="BE12" s="24">
        <f>SUMIFS(summeVerpflegungDi,statusKategorie,$B$33)</f>
        <v>0</v>
      </c>
      <c r="BF12" s="15">
        <f>COUNTIFS(angemeldet41,"&gt;0",statusKategorie,$B$33)</f>
        <v>0</v>
      </c>
      <c r="BG12" s="15">
        <f>COUNTIFS(angemeldet42,"&gt;0",statusKategorie,$B$33)</f>
        <v>0</v>
      </c>
      <c r="BH12" s="15">
        <f>COUNTIFS(angemeldet43,"&gt;0",statusKategorie,$B$33)</f>
        <v>0</v>
      </c>
      <c r="BI12" s="15">
        <f>COUNTIFS(angemeldet44,"&gt;0",statusKategorie,$B$33)</f>
        <v>0</v>
      </c>
      <c r="BJ12" s="15">
        <f>COUNTIFS(angemeldet45,"&gt;0",statusKategorie,$B$33)</f>
        <v>0</v>
      </c>
      <c r="BK12" s="15">
        <f>COUNTIFS(angemeldet46,"&gt;0",statusKategorie,$B$33)</f>
        <v>0</v>
      </c>
      <c r="BL12" s="15">
        <f>COUNTIFS(angemeldet47,"&gt;0",statusKategorie,$B$33)</f>
        <v>0</v>
      </c>
      <c r="BM12" s="15">
        <f>COUNTIFS(angemeldet48,"&gt;0",statusKategorie,$B$33)</f>
        <v>0</v>
      </c>
      <c r="BN12" s="15">
        <f>COUNTIFS(angemeldet49,"&gt;0",statusKategorie,$B$33)</f>
        <v>0</v>
      </c>
      <c r="BO12" s="15">
        <f>COUNTIFS(angemeldet50,"&gt;0",statusKategorie,$B$33)</f>
        <v>0</v>
      </c>
      <c r="BP12" s="15">
        <f>COUNTIFS(angemeldet51,"&gt;0",statusKategorie,$B$33)</f>
        <v>0</v>
      </c>
      <c r="BQ12" s="15">
        <f>COUNTIFS(angemeldet52,"&gt;0",statusKategorie,$B$33)</f>
        <v>0</v>
      </c>
      <c r="BR12" s="15">
        <f>COUNTIFS(angemeldet53,"&gt;0",statusKategorie,$B$33)</f>
        <v>0</v>
      </c>
      <c r="BS12" s="15">
        <f>COUNTIFS(angemeldet54,"&gt;0",statusKategorie,$B$33)</f>
        <v>0</v>
      </c>
      <c r="BT12" s="15">
        <f>COUNTIFS(angemeldet55,"&gt;0",statusKategorie,$B$33)</f>
        <v>0</v>
      </c>
      <c r="BU12" s="15">
        <f>COUNTIFS(angemeldet56,"&gt;0",statusKategorie,$B$33)</f>
        <v>0</v>
      </c>
      <c r="BV12" s="15">
        <f>COUNTIFS(angemeldet57,"&gt;0",statusKategorie,$B$33)</f>
        <v>0</v>
      </c>
      <c r="BW12" s="15">
        <f>COUNTIFS(angemeldet58,"&gt;0",statusKategorie,$B$33)</f>
        <v>0</v>
      </c>
      <c r="BX12" s="15">
        <f>COUNTIFS(angemeldet59,"&gt;0",statusKategorie,$B$33)</f>
        <v>0</v>
      </c>
      <c r="BY12" s="15">
        <f>COUNTIFS(angemeldet60,"&gt;0",statusKategorie,$B$33)</f>
        <v>0</v>
      </c>
      <c r="BZ12" s="39">
        <f>SUMIFS(summeStundenMi,statusKategorie,$B$33)</f>
        <v>0</v>
      </c>
      <c r="CA12" s="24">
        <f>SUMIFS(summeVerpflegungMi,statusKategorie,$B$33)</f>
        <v>0</v>
      </c>
      <c r="CB12" s="15">
        <f>COUNTIFS(angemeldet61,"&gt;0",statusKategorie,$B$33)</f>
        <v>0</v>
      </c>
      <c r="CC12" s="15">
        <f>COUNTIFS(angemeldet62,"&gt;0",statusKategorie,$B$33)</f>
        <v>0</v>
      </c>
      <c r="CD12" s="15">
        <f>COUNTIFS(angemeldet63,"&gt;0",statusKategorie,$B$33)</f>
        <v>0</v>
      </c>
      <c r="CE12" s="15">
        <f>COUNTIFS(angemeldet64,"&gt;0",statusKategorie,$B$33)</f>
        <v>0</v>
      </c>
      <c r="CF12" s="15">
        <f>COUNTIFS(angemeldet65,"&gt;0",statusKategorie,$B$33)</f>
        <v>0</v>
      </c>
      <c r="CG12" s="15">
        <f>COUNTIFS(angemeldet66,"&gt;0",statusKategorie,$B$33)</f>
        <v>0</v>
      </c>
      <c r="CH12" s="15">
        <f>COUNTIFS(angemeldet67,"&gt;0",statusKategorie,$B$33)</f>
        <v>0</v>
      </c>
      <c r="CI12" s="15">
        <f>COUNTIFS(angemeldet68,"&gt;0",statusKategorie,$B$33)</f>
        <v>0</v>
      </c>
      <c r="CJ12" s="15">
        <f>COUNTIFS(angemeldet69,"&gt;0",statusKategorie,$B$33)</f>
        <v>0</v>
      </c>
      <c r="CK12" s="15">
        <f>COUNTIFS(angemeldet70,"&gt;0",statusKategorie,$B$33)</f>
        <v>0</v>
      </c>
      <c r="CL12" s="15">
        <f>COUNTIFS(angemeldet71,"&gt;0",statusKategorie,$B$33)</f>
        <v>0</v>
      </c>
      <c r="CM12" s="15">
        <f>COUNTIFS(angemeldet72,"&gt;0",statusKategorie,$B$33)</f>
        <v>0</v>
      </c>
      <c r="CN12" s="15">
        <f>COUNTIFS(angemeldet73,"&gt;0",statusKategorie,$B$33)</f>
        <v>0</v>
      </c>
      <c r="CO12" s="15">
        <f>COUNTIFS(angemeldet74,"&gt;0",statusKategorie,$B$33)</f>
        <v>0</v>
      </c>
      <c r="CP12" s="15">
        <f>COUNTIFS(angemeldet75,"&gt;0",statusKategorie,$B$33)</f>
        <v>0</v>
      </c>
      <c r="CQ12" s="15">
        <f>COUNTIFS(angemeldet76,"&gt;0",statusKategorie,$B$33)</f>
        <v>0</v>
      </c>
      <c r="CR12" s="15">
        <f>COUNTIFS(angemeldet77,"&gt;0",statusKategorie,$B$33)</f>
        <v>0</v>
      </c>
      <c r="CS12" s="15">
        <f>COUNTIFS(angemeldet78,"&gt;0",statusKategorie,$B$33)</f>
        <v>0</v>
      </c>
      <c r="CT12" s="15">
        <f>COUNTIFS(angemeldet79,"&gt;0",statusKategorie,$B$33)</f>
        <v>0</v>
      </c>
      <c r="CU12" s="15">
        <f>COUNTIFS(angemeldet80,"&gt;0",statusKategorie,$B$33)</f>
        <v>0</v>
      </c>
      <c r="CV12" s="39">
        <f>SUMIFS(summeStundenDo,statusKategorie,$B$33)</f>
        <v>0</v>
      </c>
      <c r="CW12" s="24">
        <f>SUMIFS(summeVerpflegungDo,statusKategorie,$B$33)</f>
        <v>0</v>
      </c>
      <c r="CX12" s="15">
        <f>COUNTIFS(angemeldet81,"&gt;0",statusKategorie,$B$33)</f>
        <v>0</v>
      </c>
      <c r="CY12" s="15">
        <f>COUNTIFS(angemeldet82,"&gt;0",statusKategorie,$B$33)</f>
        <v>0</v>
      </c>
      <c r="CZ12" s="15">
        <f>COUNTIFS(angemeldet83,"&gt;0",statusKategorie,$B$33)</f>
        <v>0</v>
      </c>
      <c r="DA12" s="15">
        <f>COUNTIFS(angemeldet84,"&gt;0",statusKategorie,$B$33)</f>
        <v>0</v>
      </c>
      <c r="DB12" s="15">
        <f>COUNTIFS(angemeldet85,"&gt;0",statusKategorie,$B$33)</f>
        <v>0</v>
      </c>
      <c r="DC12" s="15">
        <f>COUNTIFS(angemeldet86,"&gt;0",statusKategorie,$B$33)</f>
        <v>0</v>
      </c>
      <c r="DD12" s="15">
        <f>COUNTIFS(angemeldet87,"&gt;0",statusKategorie,$B$33)</f>
        <v>0</v>
      </c>
      <c r="DE12" s="15">
        <f>COUNTIFS(angemeldet88,"&gt;0",statusKategorie,$B$33)</f>
        <v>0</v>
      </c>
      <c r="DF12" s="15">
        <f>COUNTIFS(angemeldet89,"&gt;0",statusKategorie,$B$33)</f>
        <v>0</v>
      </c>
      <c r="DG12" s="15">
        <f>COUNTIFS(angemeldet90,"&gt;0",statusKategorie,$B$33)</f>
        <v>0</v>
      </c>
      <c r="DH12" s="15">
        <f>COUNTIFS(angemeldet91,"&gt;0",statusKategorie,$B$33)</f>
        <v>0</v>
      </c>
      <c r="DI12" s="15">
        <f>COUNTIFS(angemeldet92,"&gt;0",statusKategorie,$B$33)</f>
        <v>0</v>
      </c>
      <c r="DJ12" s="15">
        <f>COUNTIFS(angemeldet93,"&gt;0",statusKategorie,$B$33)</f>
        <v>0</v>
      </c>
      <c r="DK12" s="15">
        <f>COUNTIFS(angemeldet94,"&gt;0",statusKategorie,$B$33)</f>
        <v>0</v>
      </c>
      <c r="DL12" s="15">
        <f>COUNTIFS(angemeldet95,"&gt;0",statusKategorie,$B$33)</f>
        <v>0</v>
      </c>
      <c r="DM12" s="15">
        <f>COUNTIFS(angemeldet96,"&gt;0",statusKategorie,$B$33)</f>
        <v>0</v>
      </c>
      <c r="DN12" s="15">
        <f>COUNTIFS(angemeldet97,"&gt;0",statusKategorie,$B$33)</f>
        <v>0</v>
      </c>
      <c r="DO12" s="15">
        <f>COUNTIFS(angemeldet98,"&gt;0",statusKategorie,$B$33)</f>
        <v>0</v>
      </c>
      <c r="DP12" s="15">
        <f>COUNTIFS(angemeldet99,"&gt;0",statusKategorie,$B$33)</f>
        <v>0</v>
      </c>
      <c r="DQ12" s="15">
        <f>COUNTIFS(angemeldet100,"&gt;0",statusKategorie,$B$33)</f>
        <v>0</v>
      </c>
      <c r="DR12" s="39">
        <f>SUMIFS(summeStundenFr,statusKategorie,$B$33)</f>
        <v>0</v>
      </c>
      <c r="DS12" s="24">
        <f>SUMIFS(summeVerpflegungFr,statusKategorie,$B$33)</f>
        <v>0</v>
      </c>
      <c r="DT12" s="39">
        <f>SUMIFS(summeStundenWoche,statusKategorie,$B$33)</f>
        <v>0</v>
      </c>
      <c r="DU12" s="23">
        <f>SUMIFS(summeVerpflegungWoche,statusKategorie,$B$33)</f>
        <v>0</v>
      </c>
    </row>
    <row r="13" spans="1:126" x14ac:dyDescent="0.25">
      <c r="A13" s="55" t="s">
        <v>18</v>
      </c>
      <c r="B13" s="56"/>
      <c r="C13" s="56"/>
      <c r="D13" s="56"/>
      <c r="E13" s="56"/>
      <c r="F13" s="56"/>
      <c r="G13" s="56"/>
      <c r="H13" s="56"/>
      <c r="I13" s="56"/>
      <c r="J13" s="56"/>
      <c r="K13" s="57"/>
      <c r="L13" s="15">
        <f>COUNTIF(statusKategorie,$B$32)</f>
        <v>0</v>
      </c>
      <c r="M13" s="15"/>
      <c r="N13" s="15">
        <f>COUNTIFS(angemeldet1,"&gt;0",statusKategorie,$B$32)</f>
        <v>0</v>
      </c>
      <c r="O13" s="15">
        <f>COUNTIFS(angemeldet2,"&gt;0",statusKategorie,$B$32)</f>
        <v>0</v>
      </c>
      <c r="P13" s="15">
        <f>COUNTIFS(angemeldet3,"&gt;0",statusKategorie,$B$32)</f>
        <v>0</v>
      </c>
      <c r="Q13" s="15">
        <f>COUNTIFS(angemeldet4,"&gt;0",statusKategorie,$B$32)</f>
        <v>0</v>
      </c>
      <c r="R13" s="15">
        <f>COUNTIFS(angemeldet5,"&gt;0",statusKategorie,$B$32)</f>
        <v>0</v>
      </c>
      <c r="S13" s="15">
        <f>COUNTIFS(angemeldet6,"&gt;0",statusKategorie,$B$32)</f>
        <v>0</v>
      </c>
      <c r="T13" s="15">
        <f>COUNTIFS(angemeldet7,"&gt;0",statusKategorie,$B$32)</f>
        <v>0</v>
      </c>
      <c r="U13" s="15">
        <f>COUNTIFS(angemeldet8,"&gt;0",statusKategorie,$B$32)</f>
        <v>0</v>
      </c>
      <c r="V13" s="15">
        <f>COUNTIFS(angemeldet9,"&gt;0",statusKategorie,$B$32)</f>
        <v>0</v>
      </c>
      <c r="W13" s="15">
        <f>COUNTIFS(angemeldet10,"&gt;0",statusKategorie,$B$32)</f>
        <v>0</v>
      </c>
      <c r="X13" s="15">
        <f>COUNTIFS(angemeldet11,"&gt;0",statusKategorie,$B$32)</f>
        <v>0</v>
      </c>
      <c r="Y13" s="15">
        <f>COUNTIFS(angemeldet12,"&gt;0",statusKategorie,$B$32)</f>
        <v>0</v>
      </c>
      <c r="Z13" s="15">
        <f>COUNTIFS(angemeldet13,"&gt;0",statusKategorie,$B$32)</f>
        <v>0</v>
      </c>
      <c r="AA13" s="15">
        <f>COUNTIFS(angemeldet14,"&gt;0",statusKategorie,$B$32)</f>
        <v>0</v>
      </c>
      <c r="AB13" s="15">
        <f>COUNTIFS(angemeldet15,"&gt;0",statusKategorie,$B$32)</f>
        <v>0</v>
      </c>
      <c r="AC13" s="15">
        <f>COUNTIFS(angemeldet16,"&gt;0",statusKategorie,$B$32)</f>
        <v>0</v>
      </c>
      <c r="AD13" s="15">
        <f>COUNTIFS(angemeldet17,"&gt;0",statusKategorie,$B$32)</f>
        <v>0</v>
      </c>
      <c r="AE13" s="15">
        <f>COUNTIFS(angemeldet18,"&gt;0",statusKategorie,$B$32)</f>
        <v>0</v>
      </c>
      <c r="AF13" s="15">
        <f>COUNTIFS(angemeldet19,"&gt;0",statusKategorie,$B$32)</f>
        <v>0</v>
      </c>
      <c r="AG13" s="15">
        <f>COUNTIFS(angemeldet20,"&gt;0",statusKategorie,$B$32)</f>
        <v>0</v>
      </c>
      <c r="AH13" s="39">
        <f>SUMIFS(summeStundenMo,statusKategorie,$B$32)</f>
        <v>0</v>
      </c>
      <c r="AI13" s="24">
        <f>SUMIFS(summeVerpflegungMo,statusKategorie,$B$32)</f>
        <v>0</v>
      </c>
      <c r="AJ13" s="15">
        <f>COUNTIFS(angemeldet21,"&gt;0",statusKategorie,$B$32)</f>
        <v>0</v>
      </c>
      <c r="AK13" s="15">
        <f>COUNTIFS(angemeldet22,"&gt;0",statusKategorie,$B$32)</f>
        <v>0</v>
      </c>
      <c r="AL13" s="15">
        <f>COUNTIFS(angemeldet23,"&gt;0",statusKategorie,$B$32)</f>
        <v>0</v>
      </c>
      <c r="AM13" s="15">
        <f>COUNTIFS(angemeldet24,"&gt;0",statusKategorie,$B$32)</f>
        <v>0</v>
      </c>
      <c r="AN13" s="15">
        <f>COUNTIFS(angemeldet25,"&gt;0",statusKategorie,$B$32)</f>
        <v>0</v>
      </c>
      <c r="AO13" s="15">
        <f>COUNTIFS(angemeldet26,"&gt;0",statusKategorie,$B$32)</f>
        <v>0</v>
      </c>
      <c r="AP13" s="15">
        <f>COUNTIFS(angemeldet27,"&gt;0",statusKategorie,$B$32)</f>
        <v>0</v>
      </c>
      <c r="AQ13" s="15">
        <f>COUNTIFS(angemeldet28,"&gt;0",statusKategorie,$B$32)</f>
        <v>0</v>
      </c>
      <c r="AR13" s="15">
        <f>COUNTIFS(angemeldet29,"&gt;0",statusKategorie,$B$32)</f>
        <v>0</v>
      </c>
      <c r="AS13" s="15">
        <f>COUNTIFS(angemeldet30,"&gt;0",statusKategorie,$B$32)</f>
        <v>0</v>
      </c>
      <c r="AT13" s="15">
        <f>COUNTIFS(angemeldet31,"&gt;0",statusKategorie,$B$32)</f>
        <v>0</v>
      </c>
      <c r="AU13" s="15">
        <f>COUNTIFS(angemeldet32,"&gt;0",statusKategorie,$B$32)</f>
        <v>0</v>
      </c>
      <c r="AV13" s="15">
        <f>COUNTIFS(angemeldet33,"&gt;0",statusKategorie,$B$32)</f>
        <v>0</v>
      </c>
      <c r="AW13" s="15">
        <f>COUNTIFS(angemeldet34,"&gt;0",statusKategorie,$B$32)</f>
        <v>0</v>
      </c>
      <c r="AX13" s="15">
        <f>COUNTIFS(angemeldet35,"&gt;0",statusKategorie,$B$32)</f>
        <v>0</v>
      </c>
      <c r="AY13" s="15">
        <f>COUNTIFS(angemeldet36,"&gt;0",statusKategorie,$B$32)</f>
        <v>0</v>
      </c>
      <c r="AZ13" s="15">
        <f>COUNTIFS(angemeldet37,"&gt;0",statusKategorie,$B$32)</f>
        <v>0</v>
      </c>
      <c r="BA13" s="15">
        <f>COUNTIFS(angemeldet38,"&gt;0",statusKategorie,$B$32)</f>
        <v>0</v>
      </c>
      <c r="BB13" s="15">
        <f>COUNTIFS(angemeldet39,"&gt;0",statusKategorie,$B$32)</f>
        <v>0</v>
      </c>
      <c r="BC13" s="15">
        <f>COUNTIFS(angemeldet40,"&gt;0",statusKategorie,$B$32)</f>
        <v>0</v>
      </c>
      <c r="BD13" s="39">
        <f>SUMIFS(summeStundenDi,statusKategorie,$B$32)</f>
        <v>0</v>
      </c>
      <c r="BE13" s="24">
        <f>SUMIFS(summeVerpflegungDi,statusKategorie,$B$32)</f>
        <v>0</v>
      </c>
      <c r="BF13" s="15">
        <f>COUNTIFS(angemeldet41,"&gt;0",statusKategorie,$B$32)</f>
        <v>0</v>
      </c>
      <c r="BG13" s="15">
        <f>COUNTIFS(angemeldet42,"&gt;0",statusKategorie,$B$32)</f>
        <v>0</v>
      </c>
      <c r="BH13" s="15">
        <f>COUNTIFS(angemeldet43,"&gt;0",statusKategorie,$B$32)</f>
        <v>0</v>
      </c>
      <c r="BI13" s="15">
        <f>COUNTIFS(angemeldet44,"&gt;0",statusKategorie,$B$32)</f>
        <v>0</v>
      </c>
      <c r="BJ13" s="15">
        <f>COUNTIFS(angemeldet45,"&gt;0",statusKategorie,$B$32)</f>
        <v>0</v>
      </c>
      <c r="BK13" s="15">
        <f>COUNTIFS(angemeldet46,"&gt;0",statusKategorie,$B$32)</f>
        <v>0</v>
      </c>
      <c r="BL13" s="15">
        <f>COUNTIFS(angemeldet47,"&gt;0",statusKategorie,$B$32)</f>
        <v>0</v>
      </c>
      <c r="BM13" s="15">
        <f>COUNTIFS(angemeldet48,"&gt;0",statusKategorie,$B$32)</f>
        <v>0</v>
      </c>
      <c r="BN13" s="15">
        <f>COUNTIFS(angemeldet49,"&gt;0",statusKategorie,$B$32)</f>
        <v>0</v>
      </c>
      <c r="BO13" s="15">
        <f>COUNTIFS(angemeldet50,"&gt;0",statusKategorie,$B$32)</f>
        <v>0</v>
      </c>
      <c r="BP13" s="15">
        <f>COUNTIFS(angemeldet51,"&gt;0",statusKategorie,$B$32)</f>
        <v>0</v>
      </c>
      <c r="BQ13" s="15">
        <f>COUNTIFS(angemeldet52,"&gt;0",statusKategorie,$B$32)</f>
        <v>0</v>
      </c>
      <c r="BR13" s="15">
        <f>COUNTIFS(angemeldet53,"&gt;0",statusKategorie,$B$32)</f>
        <v>0</v>
      </c>
      <c r="BS13" s="15">
        <f>COUNTIFS(angemeldet54,"&gt;0",statusKategorie,$B$32)</f>
        <v>0</v>
      </c>
      <c r="BT13" s="15">
        <f>COUNTIFS(angemeldet55,"&gt;0",statusKategorie,$B$32)</f>
        <v>0</v>
      </c>
      <c r="BU13" s="15">
        <f>COUNTIFS(angemeldet56,"&gt;0",statusKategorie,$B$32)</f>
        <v>0</v>
      </c>
      <c r="BV13" s="15">
        <f>COUNTIFS(angemeldet57,"&gt;0",statusKategorie,$B$32)</f>
        <v>0</v>
      </c>
      <c r="BW13" s="15">
        <f>COUNTIFS(angemeldet58,"&gt;0",statusKategorie,$B$32)</f>
        <v>0</v>
      </c>
      <c r="BX13" s="15">
        <f>COUNTIFS(angemeldet59,"&gt;0",statusKategorie,$B$32)</f>
        <v>0</v>
      </c>
      <c r="BY13" s="15">
        <f>COUNTIFS(angemeldet60,"&gt;0",statusKategorie,$B$32)</f>
        <v>0</v>
      </c>
      <c r="BZ13" s="39">
        <f>SUMIFS(summeStundenMi,statusKategorie,$B$32)</f>
        <v>0</v>
      </c>
      <c r="CA13" s="24">
        <f>SUMIFS(summeVerpflegungMi,statusKategorie,$B$32)</f>
        <v>0</v>
      </c>
      <c r="CB13" s="15">
        <f>COUNTIFS(angemeldet61,"&gt;0",statusKategorie,$B$32)</f>
        <v>0</v>
      </c>
      <c r="CC13" s="15">
        <f>COUNTIFS(angemeldet62,"&gt;0",statusKategorie,$B$32)</f>
        <v>0</v>
      </c>
      <c r="CD13" s="15">
        <f>COUNTIFS(angemeldet63,"&gt;0",statusKategorie,$B$32)</f>
        <v>0</v>
      </c>
      <c r="CE13" s="15">
        <f>COUNTIFS(angemeldet64,"&gt;0",statusKategorie,$B$32)</f>
        <v>0</v>
      </c>
      <c r="CF13" s="15">
        <f>COUNTIFS(angemeldet65,"&gt;0",statusKategorie,$B$32)</f>
        <v>0</v>
      </c>
      <c r="CG13" s="15">
        <f>COUNTIFS(angemeldet66,"&gt;0",statusKategorie,$B$32)</f>
        <v>0</v>
      </c>
      <c r="CH13" s="15">
        <f>COUNTIFS(angemeldet67,"&gt;0",statusKategorie,$B$32)</f>
        <v>0</v>
      </c>
      <c r="CI13" s="15">
        <f>COUNTIFS(angemeldet68,"&gt;0",statusKategorie,$B$32)</f>
        <v>0</v>
      </c>
      <c r="CJ13" s="15">
        <f>COUNTIFS(angemeldet69,"&gt;0",statusKategorie,$B$32)</f>
        <v>0</v>
      </c>
      <c r="CK13" s="15">
        <f>COUNTIFS(angemeldet70,"&gt;0",statusKategorie,$B$32)</f>
        <v>0</v>
      </c>
      <c r="CL13" s="15">
        <f>COUNTIFS(angemeldet71,"&gt;0",statusKategorie,$B$32)</f>
        <v>0</v>
      </c>
      <c r="CM13" s="15">
        <f>COUNTIFS(angemeldet72,"&gt;0",statusKategorie,$B$32)</f>
        <v>0</v>
      </c>
      <c r="CN13" s="15">
        <f>COUNTIFS(angemeldet73,"&gt;0",statusKategorie,$B$32)</f>
        <v>0</v>
      </c>
      <c r="CO13" s="15">
        <f>COUNTIFS(angemeldet74,"&gt;0",statusKategorie,$B$32)</f>
        <v>0</v>
      </c>
      <c r="CP13" s="15">
        <f>COUNTIFS(angemeldet75,"&gt;0",statusKategorie,$B$32)</f>
        <v>0</v>
      </c>
      <c r="CQ13" s="15">
        <f>COUNTIFS(angemeldet76,"&gt;0",statusKategorie,$B$32)</f>
        <v>0</v>
      </c>
      <c r="CR13" s="15">
        <f>COUNTIFS(angemeldet77,"&gt;0",statusKategorie,$B$32)</f>
        <v>0</v>
      </c>
      <c r="CS13" s="15">
        <f>COUNTIFS(angemeldet78,"&gt;0",statusKategorie,$B$32)</f>
        <v>0</v>
      </c>
      <c r="CT13" s="15">
        <f>COUNTIFS(angemeldet79,"&gt;0",statusKategorie,$B$32)</f>
        <v>0</v>
      </c>
      <c r="CU13" s="15">
        <f>COUNTIFS(angemeldet80,"&gt;0",statusKategorie,$B$32)</f>
        <v>0</v>
      </c>
      <c r="CV13" s="39">
        <f>SUMIFS(summeStundenDo,statusKategorie,$B$32)</f>
        <v>0</v>
      </c>
      <c r="CW13" s="24">
        <f>SUMIFS(summeVerpflegungDo,statusKategorie,$B$32)</f>
        <v>0</v>
      </c>
      <c r="CX13" s="15">
        <f>COUNTIFS(angemeldet81,"&gt;0",statusKategorie,$B$32)</f>
        <v>0</v>
      </c>
      <c r="CY13" s="15">
        <f>COUNTIFS(angemeldet82,"&gt;0",statusKategorie,$B$32)</f>
        <v>0</v>
      </c>
      <c r="CZ13" s="15">
        <f>COUNTIFS(angemeldet83,"&gt;0",statusKategorie,$B$32)</f>
        <v>0</v>
      </c>
      <c r="DA13" s="15">
        <f>COUNTIFS(angemeldet84,"&gt;0",statusKategorie,$B$32)</f>
        <v>0</v>
      </c>
      <c r="DB13" s="15">
        <f>COUNTIFS(angemeldet85,"&gt;0",statusKategorie,$B$32)</f>
        <v>0</v>
      </c>
      <c r="DC13" s="15">
        <f>COUNTIFS(angemeldet86,"&gt;0",statusKategorie,$B$32)</f>
        <v>0</v>
      </c>
      <c r="DD13" s="15">
        <f>COUNTIFS(angemeldet87,"&gt;0",statusKategorie,$B$32)</f>
        <v>0</v>
      </c>
      <c r="DE13" s="15">
        <f>COUNTIFS(angemeldet88,"&gt;0",statusKategorie,$B$32)</f>
        <v>0</v>
      </c>
      <c r="DF13" s="15">
        <f>COUNTIFS(angemeldet89,"&gt;0",statusKategorie,$B$32)</f>
        <v>0</v>
      </c>
      <c r="DG13" s="15">
        <f>COUNTIFS(angemeldet90,"&gt;0",statusKategorie,$B$32)</f>
        <v>0</v>
      </c>
      <c r="DH13" s="15">
        <f>COUNTIFS(angemeldet91,"&gt;0",statusKategorie,$B$32)</f>
        <v>0</v>
      </c>
      <c r="DI13" s="15">
        <f>COUNTIFS(angemeldet92,"&gt;0",statusKategorie,$B$32)</f>
        <v>0</v>
      </c>
      <c r="DJ13" s="15">
        <f>COUNTIFS(angemeldet93,"&gt;0",statusKategorie,$B$32)</f>
        <v>0</v>
      </c>
      <c r="DK13" s="15">
        <f>COUNTIFS(angemeldet94,"&gt;0",statusKategorie,$B$32)</f>
        <v>0</v>
      </c>
      <c r="DL13" s="15">
        <f>COUNTIFS(angemeldet95,"&gt;0",statusKategorie,$B$32)</f>
        <v>0</v>
      </c>
      <c r="DM13" s="15">
        <f>COUNTIFS(angemeldet96,"&gt;0",statusKategorie,$B$32)</f>
        <v>0</v>
      </c>
      <c r="DN13" s="15">
        <f>COUNTIFS(angemeldet97,"&gt;0",statusKategorie,$B$32)</f>
        <v>0</v>
      </c>
      <c r="DO13" s="15">
        <f>COUNTIFS(angemeldet98,"&gt;0",statusKategorie,$B$32)</f>
        <v>0</v>
      </c>
      <c r="DP13" s="15">
        <f>COUNTIFS(angemeldet99,"&gt;0",statusKategorie,$B$32)</f>
        <v>0</v>
      </c>
      <c r="DQ13" s="15">
        <f>COUNTIFS(angemeldet100,"&gt;0",statusKategorie,$B$32)</f>
        <v>0</v>
      </c>
      <c r="DR13" s="39">
        <f>SUMIFS(summeStundenFr,statusKategorie,$B$32)</f>
        <v>0</v>
      </c>
      <c r="DS13" s="24">
        <f>SUMIFS(summeVerpflegungFr,statusKategorie,$B$32)</f>
        <v>0</v>
      </c>
      <c r="DT13" s="39">
        <f>SUMIFS(summeStundenWoche,statusKategorie,$B$32)</f>
        <v>0</v>
      </c>
      <c r="DU13" s="24">
        <f>SUMIFS(summeVerpflegungWoche,statusKategorie,$B$32)</f>
        <v>0</v>
      </c>
    </row>
    <row r="14" spans="1:126" x14ac:dyDescent="0.25">
      <c r="A14" s="55" t="s">
        <v>19</v>
      </c>
      <c r="B14" s="56"/>
      <c r="C14" s="56"/>
      <c r="D14" s="56"/>
      <c r="E14" s="56"/>
      <c r="F14" s="56"/>
      <c r="G14" s="56"/>
      <c r="H14" s="56"/>
      <c r="I14" s="56"/>
      <c r="J14" s="56"/>
      <c r="K14" s="57"/>
      <c r="L14" s="15">
        <f>COUNTIF(statusKategorie,$B$31)</f>
        <v>0</v>
      </c>
      <c r="M14" s="15"/>
      <c r="N14" s="15">
        <f>COUNTIFS(angemeldet1,"&gt;0",statusKategorie,$B$31)</f>
        <v>0</v>
      </c>
      <c r="O14" s="15">
        <f>COUNTIFS(angemeldet2,"&gt;0",statusKategorie,$B$31)</f>
        <v>0</v>
      </c>
      <c r="P14" s="15">
        <f>COUNTIFS(angemeldet3,"&gt;0",statusKategorie,$B$31)</f>
        <v>0</v>
      </c>
      <c r="Q14" s="15">
        <f>COUNTIFS(angemeldet4,"&gt;0",statusKategorie,$B$31)</f>
        <v>0</v>
      </c>
      <c r="R14" s="15">
        <f>COUNTIFS(angemeldet5,"&gt;0",statusKategorie,$B$31)</f>
        <v>0</v>
      </c>
      <c r="S14" s="15">
        <f>COUNTIFS(angemeldet6,"&gt;0",statusKategorie,$B$31)</f>
        <v>0</v>
      </c>
      <c r="T14" s="15">
        <f>COUNTIFS(angemeldet7,"&gt;0",statusKategorie,$B$31)</f>
        <v>0</v>
      </c>
      <c r="U14" s="15">
        <f>COUNTIFS(angemeldet8,"&gt;0",statusKategorie,$B$31)</f>
        <v>0</v>
      </c>
      <c r="V14" s="15">
        <f>COUNTIFS(angemeldet9,"&gt;0",statusKategorie,$B$31)</f>
        <v>0</v>
      </c>
      <c r="W14" s="15">
        <f>COUNTIFS(angemeldet10,"&gt;0",statusKategorie,$B$31)</f>
        <v>0</v>
      </c>
      <c r="X14" s="15">
        <f>COUNTIFS(angemeldet11,"&gt;0",statusKategorie,$B$31)</f>
        <v>0</v>
      </c>
      <c r="Y14" s="15">
        <f>COUNTIFS(angemeldet12,"&gt;0",statusKategorie,$B$31)</f>
        <v>0</v>
      </c>
      <c r="Z14" s="15">
        <f>COUNTIFS(angemeldet13,"&gt;0",statusKategorie,$B$31)</f>
        <v>0</v>
      </c>
      <c r="AA14" s="15">
        <f>COUNTIFS(angemeldet14,"&gt;0",statusKategorie,$B$31)</f>
        <v>0</v>
      </c>
      <c r="AB14" s="15">
        <f>COUNTIFS(angemeldet15,"&gt;0",statusKategorie,$B$31)</f>
        <v>0</v>
      </c>
      <c r="AC14" s="15">
        <f>COUNTIFS(angemeldet16,"&gt;0",statusKategorie,$B$31)</f>
        <v>0</v>
      </c>
      <c r="AD14" s="15">
        <f>COUNTIFS(angemeldet17,"&gt;0",statusKategorie,$B$31)</f>
        <v>0</v>
      </c>
      <c r="AE14" s="15">
        <f>COUNTIFS(angemeldet18,"&gt;0",statusKategorie,$B$31)</f>
        <v>0</v>
      </c>
      <c r="AF14" s="15">
        <f>COUNTIFS(angemeldet19,"&gt;0",statusKategorie,$B$31)</f>
        <v>0</v>
      </c>
      <c r="AG14" s="15">
        <f>COUNTIFS(angemeldet20,"&gt;0",statusKategorie,$B$31)</f>
        <v>0</v>
      </c>
      <c r="AH14" s="40">
        <f>SUMIFS(summeStundenMo,statusKategorie,$B$31)</f>
        <v>0</v>
      </c>
      <c r="AI14" s="29">
        <f>SUMIFS(summeVerpflegungMo,statusKategorie,$B$31)</f>
        <v>0</v>
      </c>
      <c r="AJ14" s="15">
        <f>COUNTIFS(angemeldet21,"&gt;0",statusKategorie,$B$31)</f>
        <v>0</v>
      </c>
      <c r="AK14" s="15">
        <f>COUNTIFS(angemeldet22,"&gt;0",statusKategorie,$B$31)</f>
        <v>0</v>
      </c>
      <c r="AL14" s="15">
        <f>COUNTIFS(angemeldet23,"&gt;0",statusKategorie,$B$31)</f>
        <v>0</v>
      </c>
      <c r="AM14" s="15">
        <f>COUNTIFS(angemeldet24,"&gt;0",statusKategorie,$B$31)</f>
        <v>0</v>
      </c>
      <c r="AN14" s="15">
        <f>COUNTIFS(angemeldet25,"&gt;0",statusKategorie,$B$31)</f>
        <v>0</v>
      </c>
      <c r="AO14" s="15">
        <f>COUNTIFS(angemeldet26,"&gt;0",statusKategorie,$B$31)</f>
        <v>0</v>
      </c>
      <c r="AP14" s="15">
        <f>COUNTIFS(angemeldet27,"&gt;0",statusKategorie,$B$31)</f>
        <v>0</v>
      </c>
      <c r="AQ14" s="15">
        <f>COUNTIFS(angemeldet28,"&gt;0",statusKategorie,$B$31)</f>
        <v>0</v>
      </c>
      <c r="AR14" s="15">
        <f>COUNTIFS(angemeldet29,"&gt;0",statusKategorie,$B$31)</f>
        <v>0</v>
      </c>
      <c r="AS14" s="15">
        <f>COUNTIFS(angemeldet30,"&gt;0",statusKategorie,$B$31)</f>
        <v>0</v>
      </c>
      <c r="AT14" s="15">
        <f>COUNTIFS(angemeldet31,"&gt;0",statusKategorie,$B$31)</f>
        <v>0</v>
      </c>
      <c r="AU14" s="15">
        <f>COUNTIFS(angemeldet32,"&gt;0",statusKategorie,$B$31)</f>
        <v>0</v>
      </c>
      <c r="AV14" s="15">
        <f>COUNTIFS(angemeldet33,"&gt;0",statusKategorie,$B$31)</f>
        <v>0</v>
      </c>
      <c r="AW14" s="15">
        <f>COUNTIFS(angemeldet34,"&gt;0",statusKategorie,$B$31)</f>
        <v>0</v>
      </c>
      <c r="AX14" s="15">
        <f>COUNTIFS(angemeldet35,"&gt;0",statusKategorie,$B$31)</f>
        <v>0</v>
      </c>
      <c r="AY14" s="15">
        <f>COUNTIFS(angemeldet36,"&gt;0",statusKategorie,$B$31)</f>
        <v>0</v>
      </c>
      <c r="AZ14" s="15">
        <f>COUNTIFS(angemeldet37,"&gt;0",statusKategorie,$B$31)</f>
        <v>0</v>
      </c>
      <c r="BA14" s="15">
        <f>COUNTIFS(angemeldet38,"&gt;0",statusKategorie,$B$31)</f>
        <v>0</v>
      </c>
      <c r="BB14" s="15">
        <f>COUNTIFS(angemeldet39,"&gt;0",statusKategorie,$B$31)</f>
        <v>0</v>
      </c>
      <c r="BC14" s="15">
        <f>COUNTIFS(angemeldet40,"&gt;0",statusKategorie,$B$31)</f>
        <v>0</v>
      </c>
      <c r="BD14" s="40">
        <f>SUMIFS(summeStundenDi,statusKategorie,$B$31)</f>
        <v>0</v>
      </c>
      <c r="BE14" s="29">
        <f>SUMIFS(summeVerpflegungDi,statusKategorie,$B$31)</f>
        <v>0</v>
      </c>
      <c r="BF14" s="15">
        <f>COUNTIFS(angemeldet41,"&gt;0",statusKategorie,$B$31)</f>
        <v>0</v>
      </c>
      <c r="BG14" s="15">
        <f>COUNTIFS(angemeldet42,"&gt;0",statusKategorie,$B$31)</f>
        <v>0</v>
      </c>
      <c r="BH14" s="15">
        <f>COUNTIFS(angemeldet43,"&gt;0",statusKategorie,$B$31)</f>
        <v>0</v>
      </c>
      <c r="BI14" s="15">
        <f>COUNTIFS(angemeldet44,"&gt;0",statusKategorie,$B$31)</f>
        <v>0</v>
      </c>
      <c r="BJ14" s="15">
        <f>COUNTIFS(angemeldet45,"&gt;0",statusKategorie,$B$31)</f>
        <v>0</v>
      </c>
      <c r="BK14" s="15">
        <f>COUNTIFS(angemeldet46,"&gt;0",statusKategorie,$B$31)</f>
        <v>0</v>
      </c>
      <c r="BL14" s="15">
        <f>COUNTIFS(angemeldet47,"&gt;0",statusKategorie,$B$31)</f>
        <v>0</v>
      </c>
      <c r="BM14" s="15">
        <f>COUNTIFS(angemeldet48,"&gt;0",statusKategorie,$B$31)</f>
        <v>0</v>
      </c>
      <c r="BN14" s="15">
        <f>COUNTIFS(angemeldet49,"&gt;0",statusKategorie,$B$31)</f>
        <v>0</v>
      </c>
      <c r="BO14" s="15">
        <f>COUNTIFS(angemeldet50,"&gt;0",statusKategorie,$B$31)</f>
        <v>0</v>
      </c>
      <c r="BP14" s="15">
        <f>COUNTIFS(angemeldet51,"&gt;0",statusKategorie,$B$31)</f>
        <v>0</v>
      </c>
      <c r="BQ14" s="15">
        <f>COUNTIFS(angemeldet52,"&gt;0",statusKategorie,$B$31)</f>
        <v>0</v>
      </c>
      <c r="BR14" s="15">
        <f>COUNTIFS(angemeldet53,"&gt;0",statusKategorie,$B$31)</f>
        <v>0</v>
      </c>
      <c r="BS14" s="15">
        <f>COUNTIFS(angemeldet54,"&gt;0",statusKategorie,$B$31)</f>
        <v>0</v>
      </c>
      <c r="BT14" s="15">
        <f>COUNTIFS(angemeldet55,"&gt;0",statusKategorie,$B$31)</f>
        <v>0</v>
      </c>
      <c r="BU14" s="15">
        <f>COUNTIFS(angemeldet56,"&gt;0",statusKategorie,$B$31)</f>
        <v>0</v>
      </c>
      <c r="BV14" s="15">
        <f>COUNTIFS(angemeldet57,"&gt;0",statusKategorie,$B$31)</f>
        <v>0</v>
      </c>
      <c r="BW14" s="15">
        <f>COUNTIFS(angemeldet58,"&gt;0",statusKategorie,$B$31)</f>
        <v>0</v>
      </c>
      <c r="BX14" s="15">
        <f>COUNTIFS(angemeldet59,"&gt;0",statusKategorie,$B$31)</f>
        <v>0</v>
      </c>
      <c r="BY14" s="15">
        <f>COUNTIFS(angemeldet60,"&gt;0",statusKategorie,$B$31)</f>
        <v>0</v>
      </c>
      <c r="BZ14" s="40">
        <f>SUMIFS(summeStundenMi,statusKategorie,$B$31)</f>
        <v>0</v>
      </c>
      <c r="CA14" s="29">
        <f>SUMIFS(summeVerpflegungMi,statusKategorie,$B$31)</f>
        <v>0</v>
      </c>
      <c r="CB14" s="15">
        <f>COUNTIFS(angemeldet61,"&gt;0",statusKategorie,$B$31)</f>
        <v>0</v>
      </c>
      <c r="CC14" s="15">
        <f>COUNTIFS(angemeldet62,"&gt;0",statusKategorie,$B$31)</f>
        <v>0</v>
      </c>
      <c r="CD14" s="15">
        <f>COUNTIFS(angemeldet63,"&gt;0",statusKategorie,$B$31)</f>
        <v>0</v>
      </c>
      <c r="CE14" s="15">
        <f>COUNTIFS(angemeldet64,"&gt;0",statusKategorie,$B$31)</f>
        <v>0</v>
      </c>
      <c r="CF14" s="15">
        <f>COUNTIFS(angemeldet65,"&gt;0",statusKategorie,$B$31)</f>
        <v>0</v>
      </c>
      <c r="CG14" s="15">
        <f>COUNTIFS(angemeldet66,"&gt;0",statusKategorie,$B$31)</f>
        <v>0</v>
      </c>
      <c r="CH14" s="15">
        <f>COUNTIFS(angemeldet67,"&gt;0",statusKategorie,$B$31)</f>
        <v>0</v>
      </c>
      <c r="CI14" s="15">
        <f>COUNTIFS(angemeldet68,"&gt;0",statusKategorie,$B$31)</f>
        <v>0</v>
      </c>
      <c r="CJ14" s="15">
        <f>COUNTIFS(angemeldet69,"&gt;0",statusKategorie,$B$31)</f>
        <v>0</v>
      </c>
      <c r="CK14" s="15">
        <f>COUNTIFS(angemeldet70,"&gt;0",statusKategorie,$B$31)</f>
        <v>0</v>
      </c>
      <c r="CL14" s="15">
        <f>COUNTIFS(angemeldet71,"&gt;0",statusKategorie,$B$31)</f>
        <v>0</v>
      </c>
      <c r="CM14" s="15">
        <f>COUNTIFS(angemeldet72,"&gt;0",statusKategorie,$B$31)</f>
        <v>0</v>
      </c>
      <c r="CN14" s="15">
        <f>COUNTIFS(angemeldet73,"&gt;0",statusKategorie,$B$31)</f>
        <v>0</v>
      </c>
      <c r="CO14" s="15">
        <f>COUNTIFS(angemeldet74,"&gt;0",statusKategorie,$B$31)</f>
        <v>0</v>
      </c>
      <c r="CP14" s="15">
        <f>COUNTIFS(angemeldet75,"&gt;0",statusKategorie,$B$31)</f>
        <v>0</v>
      </c>
      <c r="CQ14" s="15">
        <f>COUNTIFS(angemeldet76,"&gt;0",statusKategorie,$B$31)</f>
        <v>0</v>
      </c>
      <c r="CR14" s="15">
        <f>COUNTIFS(angemeldet77,"&gt;0",statusKategorie,$B$31)</f>
        <v>0</v>
      </c>
      <c r="CS14" s="15">
        <f>COUNTIFS(angemeldet78,"&gt;0",statusKategorie,$B$31)</f>
        <v>0</v>
      </c>
      <c r="CT14" s="15">
        <f>COUNTIFS(angemeldet79,"&gt;0",statusKategorie,$B$31)</f>
        <v>0</v>
      </c>
      <c r="CU14" s="15">
        <f>COUNTIFS(angemeldet80,"&gt;0",statusKategorie,$B$31)</f>
        <v>0</v>
      </c>
      <c r="CV14" s="40">
        <f>SUMIFS(summeStundenDo,statusKategorie,$B$31)</f>
        <v>0</v>
      </c>
      <c r="CW14" s="29">
        <f>SUMIFS(summeVerpflegungDo,statusKategorie,$B$31)</f>
        <v>0</v>
      </c>
      <c r="CX14" s="15">
        <f>COUNTIFS(angemeldet81,"&gt;0",statusKategorie,$B$31)</f>
        <v>0</v>
      </c>
      <c r="CY14" s="15">
        <f>COUNTIFS(angemeldet82,"&gt;0",statusKategorie,$B$31)</f>
        <v>0</v>
      </c>
      <c r="CZ14" s="15">
        <f>COUNTIFS(angemeldet83,"&gt;0",statusKategorie,$B$31)</f>
        <v>0</v>
      </c>
      <c r="DA14" s="15">
        <f>COUNTIFS(angemeldet84,"&gt;0",statusKategorie,$B$31)</f>
        <v>0</v>
      </c>
      <c r="DB14" s="15">
        <f>COUNTIFS(angemeldet85,"&gt;0",statusKategorie,$B$31)</f>
        <v>0</v>
      </c>
      <c r="DC14" s="15">
        <f>COUNTIFS(angemeldet86,"&gt;0",statusKategorie,$B$31)</f>
        <v>0</v>
      </c>
      <c r="DD14" s="15">
        <f>COUNTIFS(angemeldet87,"&gt;0",statusKategorie,$B$31)</f>
        <v>0</v>
      </c>
      <c r="DE14" s="15">
        <f>COUNTIFS(angemeldet88,"&gt;0",statusKategorie,$B$31)</f>
        <v>0</v>
      </c>
      <c r="DF14" s="15">
        <f>COUNTIFS(angemeldet89,"&gt;0",statusKategorie,$B$31)</f>
        <v>0</v>
      </c>
      <c r="DG14" s="15">
        <f>COUNTIFS(angemeldet90,"&gt;0",statusKategorie,$B$31)</f>
        <v>0</v>
      </c>
      <c r="DH14" s="15">
        <f>COUNTIFS(angemeldet91,"&gt;0",statusKategorie,$B$31)</f>
        <v>0</v>
      </c>
      <c r="DI14" s="15">
        <f>COUNTIFS(angemeldet92,"&gt;0",statusKategorie,$B$31)</f>
        <v>0</v>
      </c>
      <c r="DJ14" s="15">
        <f>COUNTIFS(angemeldet93,"&gt;0",statusKategorie,$B$31)</f>
        <v>0</v>
      </c>
      <c r="DK14" s="15">
        <f>COUNTIFS(angemeldet94,"&gt;0",statusKategorie,$B$31)</f>
        <v>0</v>
      </c>
      <c r="DL14" s="15">
        <f>COUNTIFS(angemeldet95,"&gt;0",statusKategorie,$B$31)</f>
        <v>0</v>
      </c>
      <c r="DM14" s="15">
        <f>COUNTIFS(angemeldet96,"&gt;0",statusKategorie,$B$31)</f>
        <v>0</v>
      </c>
      <c r="DN14" s="15">
        <f>COUNTIFS(angemeldet97,"&gt;0",statusKategorie,$B$31)</f>
        <v>0</v>
      </c>
      <c r="DO14" s="15">
        <f>COUNTIFS(angemeldet98,"&gt;0",statusKategorie,$B$31)</f>
        <v>0</v>
      </c>
      <c r="DP14" s="15">
        <f>COUNTIFS(angemeldet99,"&gt;0",statusKategorie,$B$31)</f>
        <v>0</v>
      </c>
      <c r="DQ14" s="15">
        <f>COUNTIFS(angemeldet100,"&gt;0",statusKategorie,$B$31)</f>
        <v>0</v>
      </c>
      <c r="DR14" s="40">
        <f>SUMIFS(summeStundenFr,statusKategorie,$B$31)</f>
        <v>0</v>
      </c>
      <c r="DS14" s="29">
        <f>SUMIFS(summeVerpflegungFr,statusKategorie,$B$31)</f>
        <v>0</v>
      </c>
      <c r="DT14" s="40">
        <f>SUMIFS(summeStundenWoche,statusKategorie,$B$31)</f>
        <v>0</v>
      </c>
      <c r="DU14" s="29">
        <f>SUMIFS(summeVerpflegungWoche,statusKategorie,$B$31)</f>
        <v>0</v>
      </c>
    </row>
    <row r="15" spans="1:126" x14ac:dyDescent="0.25">
      <c r="A15" s="6" t="s">
        <v>1</v>
      </c>
      <c r="B15" s="6"/>
      <c r="C15" s="14"/>
      <c r="D15" s="14"/>
      <c r="E15" s="14"/>
      <c r="F15" s="14"/>
      <c r="G15" s="14"/>
      <c r="H15" s="14"/>
      <c r="I15" s="14"/>
      <c r="J15" s="7"/>
      <c r="K15" s="7"/>
      <c r="L15" s="6" t="s">
        <v>5</v>
      </c>
      <c r="M15" s="6" t="e">
        <f>VLOOKUP(L15,$A$18:$B$29,2,FALSE)</f>
        <v>#N/A</v>
      </c>
      <c r="N15" s="9" t="s">
        <v>8</v>
      </c>
      <c r="O15" s="9" t="s">
        <v>8</v>
      </c>
      <c r="P15" s="9" t="s">
        <v>8</v>
      </c>
      <c r="Q15" s="9" t="s">
        <v>8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30" t="s">
        <v>8</v>
      </c>
      <c r="AH15" s="32"/>
      <c r="AI15" s="33"/>
      <c r="AJ15" s="30" t="s">
        <v>8</v>
      </c>
      <c r="AK15" s="9" t="s">
        <v>8</v>
      </c>
      <c r="AL15" s="9" t="s">
        <v>8</v>
      </c>
      <c r="AM15" s="9" t="s">
        <v>8</v>
      </c>
      <c r="AN15" s="9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30" t="s">
        <v>8</v>
      </c>
      <c r="BD15" s="32"/>
      <c r="BE15" s="33"/>
      <c r="BF15" s="30" t="s">
        <v>8</v>
      </c>
      <c r="BG15" s="9" t="s">
        <v>8</v>
      </c>
      <c r="BH15" s="9" t="s">
        <v>8</v>
      </c>
      <c r="BI15" s="9" t="s">
        <v>8</v>
      </c>
      <c r="BJ15" s="9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30" t="s">
        <v>8</v>
      </c>
      <c r="BZ15" s="32"/>
      <c r="CA15" s="33"/>
      <c r="CB15" s="30" t="s">
        <v>8</v>
      </c>
      <c r="CC15" s="9" t="s">
        <v>8</v>
      </c>
      <c r="CD15" s="9" t="s">
        <v>8</v>
      </c>
      <c r="CE15" s="9" t="s">
        <v>8</v>
      </c>
      <c r="CF15" s="9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30" t="s">
        <v>8</v>
      </c>
      <c r="CV15" s="32"/>
      <c r="CW15" s="33"/>
      <c r="CX15" s="30" t="s">
        <v>8</v>
      </c>
      <c r="CY15" s="9" t="s">
        <v>8</v>
      </c>
      <c r="CZ15" s="9" t="s">
        <v>8</v>
      </c>
      <c r="DA15" s="9" t="s">
        <v>8</v>
      </c>
      <c r="DB15" s="9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30" t="s">
        <v>8</v>
      </c>
      <c r="DR15" s="32"/>
      <c r="DS15" s="33"/>
      <c r="DT15" s="37"/>
      <c r="DU15" s="33"/>
      <c r="DV15" s="36" t="s">
        <v>46</v>
      </c>
    </row>
    <row r="16" spans="1:126" x14ac:dyDescent="0.25">
      <c r="A16" s="59" t="s">
        <v>38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18">
        <f>COUNTIF(freigegebenKategorie,$B$34)</f>
        <v>0</v>
      </c>
      <c r="M16" s="15"/>
      <c r="N16" s="15">
        <f>COUNTIF(nichtFreigegeben1,"&gt;0")</f>
        <v>0</v>
      </c>
      <c r="O16" s="15">
        <f>COUNTIF(nichtFreigegeben2,"&gt;0")</f>
        <v>0</v>
      </c>
      <c r="P16" s="15">
        <f>COUNTIF(nichtFreigegeben3,"&gt;0")</f>
        <v>0</v>
      </c>
      <c r="Q16" s="15">
        <f>COUNTIF(nichtFreigegeben4,"&gt;0")</f>
        <v>0</v>
      </c>
      <c r="R16" s="15">
        <f>COUNTIF(nichtFreigegeben5,"&gt;0")</f>
        <v>0</v>
      </c>
      <c r="S16" s="15">
        <f>COUNTIF(nichtFreigegeben6,"&gt;0")</f>
        <v>0</v>
      </c>
      <c r="T16" s="15">
        <f>COUNTIF(nichtFreigegeben7,"&gt;0")</f>
        <v>0</v>
      </c>
      <c r="U16" s="15">
        <f>COUNTIF(nichtFreigegeben8,"&gt;0")</f>
        <v>0</v>
      </c>
      <c r="V16" s="15">
        <f>COUNTIF(nichtFreigegeben9,"&gt;0")</f>
        <v>0</v>
      </c>
      <c r="W16" s="15">
        <f>COUNTIF(nichtFreigegeben10,"&gt;0")</f>
        <v>0</v>
      </c>
      <c r="X16" s="15">
        <f>COUNTIF(nichtFreigegeben11,"&gt;0")</f>
        <v>0</v>
      </c>
      <c r="Y16" s="15">
        <f>COUNTIF(nichtFreigegeben12,"&gt;0")</f>
        <v>0</v>
      </c>
      <c r="Z16" s="15">
        <f>COUNTIF(nichtFreigegeben13,"&gt;0")</f>
        <v>0</v>
      </c>
      <c r="AA16" s="15">
        <f>COUNTIF(nichtFreigegeben14,"&gt;0")</f>
        <v>0</v>
      </c>
      <c r="AB16" s="15">
        <f>COUNTIF(nichtFreigegeben15,"&gt;0")</f>
        <v>0</v>
      </c>
      <c r="AC16" s="15">
        <f>COUNTIF(nichtFreigegeben16,"&gt;0")</f>
        <v>0</v>
      </c>
      <c r="AD16" s="15">
        <f>COUNTIF(nichtFreigegeben17,"&gt;0")</f>
        <v>0</v>
      </c>
      <c r="AE16" s="15">
        <f>COUNTIF(nichtFreigegeben18,"&gt;0")</f>
        <v>0</v>
      </c>
      <c r="AF16" s="15">
        <f>COUNTIF(nichtFreigegeben19,"&gt;0")</f>
        <v>0</v>
      </c>
      <c r="AG16" s="15">
        <f>COUNTIF(nichtFreigegeben20,"&gt;0")</f>
        <v>0</v>
      </c>
      <c r="AH16" s="34"/>
      <c r="AI16" s="34"/>
      <c r="AJ16" s="15">
        <f>COUNTIF(nichtFreigegeben21,"&gt;0")</f>
        <v>0</v>
      </c>
      <c r="AK16" s="15">
        <f>COUNTIF(nichtFreigegeben22,"&gt;0")</f>
        <v>0</v>
      </c>
      <c r="AL16" s="15">
        <f>COUNTIF(nichtFreigegeben23,"&gt;0")</f>
        <v>0</v>
      </c>
      <c r="AM16" s="15">
        <f>COUNTIF(nichtFreigegeben24,"&gt;0")</f>
        <v>0</v>
      </c>
      <c r="AN16" s="15">
        <f>COUNTIF(nichtFreigegeben25,"&gt;0")</f>
        <v>0</v>
      </c>
      <c r="AO16" s="15">
        <f>COUNTIF(nichtFreigegeben26,"&gt;0")</f>
        <v>0</v>
      </c>
      <c r="AP16" s="15">
        <f>COUNTIF(nichtFreigegeben27,"&gt;0")</f>
        <v>0</v>
      </c>
      <c r="AQ16" s="15">
        <f>COUNTIF(nichtFreigegeben28,"&gt;0")</f>
        <v>0</v>
      </c>
      <c r="AR16" s="15">
        <f>COUNTIF(nichtFreigegeben29,"&gt;0")</f>
        <v>0</v>
      </c>
      <c r="AS16" s="15">
        <f>COUNTIF(nichtFreigegeben30,"&gt;0")</f>
        <v>0</v>
      </c>
      <c r="AT16" s="15">
        <f>COUNTIF(nichtFreigegeben31,"&gt;0")</f>
        <v>0</v>
      </c>
      <c r="AU16" s="15">
        <f>COUNTIF(nichtFreigegeben32,"&gt;0")</f>
        <v>0</v>
      </c>
      <c r="AV16" s="15">
        <f>COUNTIF(nichtFreigegeben33,"&gt;0")</f>
        <v>0</v>
      </c>
      <c r="AW16" s="15">
        <f>COUNTIF(nichtFreigegeben34,"&gt;0")</f>
        <v>0</v>
      </c>
      <c r="AX16" s="15">
        <f>COUNTIF(nichtFreigegeben35,"&gt;0")</f>
        <v>0</v>
      </c>
      <c r="AY16" s="15">
        <f>COUNTIF(nichtFreigegeben36,"&gt;0")</f>
        <v>0</v>
      </c>
      <c r="AZ16" s="15">
        <f>COUNTIF(nichtFreigegeben37,"&gt;0")</f>
        <v>0</v>
      </c>
      <c r="BA16" s="15">
        <f>COUNTIF(nichtFreigegeben38,"&gt;0")</f>
        <v>0</v>
      </c>
      <c r="BB16" s="15">
        <f>COUNTIF(nichtFreigegeben39,"&gt;0")</f>
        <v>0</v>
      </c>
      <c r="BC16" s="15">
        <f>COUNTIF(nichtFreigegeben40,"&gt;0")</f>
        <v>0</v>
      </c>
      <c r="BD16" s="34"/>
      <c r="BE16" s="34"/>
      <c r="BF16" s="15">
        <f>COUNTIF(nichtFreigegeben41,"&gt;0")</f>
        <v>0</v>
      </c>
      <c r="BG16" s="15">
        <f>COUNTIF(nichtFreigegeben42,"&gt;0")</f>
        <v>0</v>
      </c>
      <c r="BH16" s="15">
        <f>COUNTIF(nichtFreigegeben43,"&gt;0")</f>
        <v>0</v>
      </c>
      <c r="BI16" s="15">
        <f>COUNTIF(nichtFreigegeben44,"&gt;0")</f>
        <v>0</v>
      </c>
      <c r="BJ16" s="15">
        <f>COUNTIF(nichtFreigegeben45,"&gt;0")</f>
        <v>0</v>
      </c>
      <c r="BK16" s="15">
        <f>COUNTIF(nichtFreigegeben46,"&gt;0")</f>
        <v>0</v>
      </c>
      <c r="BL16" s="15">
        <f>COUNTIF(nichtFreigegeben47,"&gt;0")</f>
        <v>0</v>
      </c>
      <c r="BM16" s="15">
        <f>COUNTIF(nichtFreigegeben48,"&gt;0")</f>
        <v>0</v>
      </c>
      <c r="BN16" s="15">
        <f>COUNTIF(nichtFreigegeben49,"&gt;0")</f>
        <v>0</v>
      </c>
      <c r="BO16" s="15">
        <f>COUNTIF(nichtFreigegeben50,"&gt;0")</f>
        <v>0</v>
      </c>
      <c r="BP16" s="15">
        <f>COUNTIF(nichtFreigegeben51,"&gt;0")</f>
        <v>0</v>
      </c>
      <c r="BQ16" s="15">
        <f>COUNTIF(nichtFreigegeben52,"&gt;0")</f>
        <v>0</v>
      </c>
      <c r="BR16" s="15">
        <f>COUNTIF(nichtFreigegeben53,"&gt;0")</f>
        <v>0</v>
      </c>
      <c r="BS16" s="15">
        <f>COUNTIF(nichtFreigegeben54,"&gt;0")</f>
        <v>0</v>
      </c>
      <c r="BT16" s="15">
        <f>COUNTIF(nichtFreigegeben55,"&gt;0")</f>
        <v>0</v>
      </c>
      <c r="BU16" s="15">
        <f>COUNTIF(nichtFreigegeben56,"&gt;0")</f>
        <v>0</v>
      </c>
      <c r="BV16" s="15">
        <f>COUNTIF(nichtFreigegeben57,"&gt;0")</f>
        <v>0</v>
      </c>
      <c r="BW16" s="15">
        <f>COUNTIF(nichtFreigegeben58,"&gt;0")</f>
        <v>0</v>
      </c>
      <c r="BX16" s="15">
        <f>COUNTIF(nichtFreigegeben59,"&gt;0")</f>
        <v>0</v>
      </c>
      <c r="BY16" s="15">
        <f>COUNTIF(nichtFreigegeben60,"&gt;0")</f>
        <v>0</v>
      </c>
      <c r="BZ16" s="34"/>
      <c r="CA16" s="34"/>
      <c r="CB16" s="15">
        <f>COUNTIF(nichtFreigegeben61,"&gt;0")</f>
        <v>0</v>
      </c>
      <c r="CC16" s="15">
        <f>COUNTIF(nichtFreigegeben62,"&gt;0")</f>
        <v>0</v>
      </c>
      <c r="CD16" s="15">
        <f>COUNTIF(nichtFreigegeben63,"&gt;0")</f>
        <v>0</v>
      </c>
      <c r="CE16" s="15">
        <f>COUNTIF(nichtFreigegeben64,"&gt;0")</f>
        <v>0</v>
      </c>
      <c r="CF16" s="15">
        <f>COUNTIF(nichtFreigegeben65,"&gt;0")</f>
        <v>0</v>
      </c>
      <c r="CG16" s="15">
        <f>COUNTIF(nichtFreigegeben66,"&gt;0")</f>
        <v>0</v>
      </c>
      <c r="CH16" s="15">
        <f>COUNTIF(nichtFreigegeben67,"&gt;0")</f>
        <v>0</v>
      </c>
      <c r="CI16" s="15">
        <f>COUNTIF(nichtFreigegeben68,"&gt;0")</f>
        <v>0</v>
      </c>
      <c r="CJ16" s="15">
        <f>COUNTIF(nichtFreigegeben69,"&gt;0")</f>
        <v>0</v>
      </c>
      <c r="CK16" s="15">
        <f>COUNTIF(nichtFreigegeben70,"&gt;0")</f>
        <v>0</v>
      </c>
      <c r="CL16" s="15">
        <f>COUNTIF(nichtFreigegeben71,"&gt;0")</f>
        <v>0</v>
      </c>
      <c r="CM16" s="15">
        <f>COUNTIF(nichtFreigegeben72,"&gt;0")</f>
        <v>0</v>
      </c>
      <c r="CN16" s="15">
        <f>COUNTIF(nichtFreigegeben73,"&gt;0")</f>
        <v>0</v>
      </c>
      <c r="CO16" s="15">
        <f>COUNTIF(nichtFreigegeben74,"&gt;0")</f>
        <v>0</v>
      </c>
      <c r="CP16" s="15">
        <f>COUNTIF(nichtFreigegeben75,"&gt;0")</f>
        <v>0</v>
      </c>
      <c r="CQ16" s="15">
        <f>COUNTIF(nichtFreigegeben76,"&gt;0")</f>
        <v>0</v>
      </c>
      <c r="CR16" s="15">
        <f>COUNTIF(nichtFreigegeben77,"&gt;0")</f>
        <v>0</v>
      </c>
      <c r="CS16" s="15">
        <f>COUNTIF(nichtFreigegeben78,"&gt;0")</f>
        <v>0</v>
      </c>
      <c r="CT16" s="15">
        <f>COUNTIF(nichtFreigegeben79,"&gt;0")</f>
        <v>0</v>
      </c>
      <c r="CU16" s="15">
        <f>COUNTIF(nichtFreigegeben80,"&gt;0")</f>
        <v>0</v>
      </c>
      <c r="CV16" s="34"/>
      <c r="CW16" s="34"/>
      <c r="CX16" s="15">
        <f>COUNTIF(nichtFreigegeben81,"&gt;0")</f>
        <v>0</v>
      </c>
      <c r="CY16" s="15">
        <f>COUNTIF(nichtFreigegeben82,"&gt;0")</f>
        <v>0</v>
      </c>
      <c r="CZ16" s="15">
        <f>COUNTIF(nichtFreigegeben83,"&gt;0")</f>
        <v>0</v>
      </c>
      <c r="DA16" s="15">
        <f>COUNTIF(nichtFreigegeben84,"&gt;0")</f>
        <v>0</v>
      </c>
      <c r="DB16" s="15">
        <f>COUNTIF(nichtFreigegeben85,"&gt;0")</f>
        <v>0</v>
      </c>
      <c r="DC16" s="15">
        <f>COUNTIF(nichtFreigegeben86,"&gt;0")</f>
        <v>0</v>
      </c>
      <c r="DD16" s="15">
        <f>COUNTIF(nichtFreigegeben87,"&gt;0")</f>
        <v>0</v>
      </c>
      <c r="DE16" s="15">
        <f>COUNTIF(nichtFreigegeben88,"&gt;0")</f>
        <v>0</v>
      </c>
      <c r="DF16" s="15">
        <f>COUNTIF(nichtFreigegeben89,"&gt;0")</f>
        <v>0</v>
      </c>
      <c r="DG16" s="15">
        <f>COUNTIF(nichtFreigegeben90,"&gt;0")</f>
        <v>0</v>
      </c>
      <c r="DH16" s="15">
        <f>COUNTIF(nichtFreigegeben91,"&gt;0")</f>
        <v>0</v>
      </c>
      <c r="DI16" s="15">
        <f>COUNTIF(nichtFreigegeben92,"&gt;0")</f>
        <v>0</v>
      </c>
      <c r="DJ16" s="15">
        <f>COUNTIF(nichtFreigegeben93,"&gt;0")</f>
        <v>0</v>
      </c>
      <c r="DK16" s="15">
        <f>COUNTIF(nichtFreigegeben94,"&gt;0")</f>
        <v>0</v>
      </c>
      <c r="DL16" s="15">
        <f>COUNTIF(nichtFreigegeben95,"&gt;0")</f>
        <v>0</v>
      </c>
      <c r="DM16" s="15">
        <f>COUNTIF(nichtFreigegeben96,"&gt;0")</f>
        <v>0</v>
      </c>
      <c r="DN16" s="15">
        <f>COUNTIF(nichtFreigegeben97,"&gt;0")</f>
        <v>0</v>
      </c>
      <c r="DO16" s="15">
        <f>COUNTIF(nichtFreigegeben98,"&gt;0")</f>
        <v>0</v>
      </c>
      <c r="DP16" s="15">
        <f>COUNTIF(nichtFreigegeben99,"&gt;0")</f>
        <v>0</v>
      </c>
      <c r="DQ16" s="15">
        <f>COUNTIF(nichtFreigegeben100,"&gt;0")</f>
        <v>0</v>
      </c>
      <c r="DR16" s="34"/>
      <c r="DS16" s="34"/>
      <c r="DT16" s="31"/>
      <c r="DU16" s="34"/>
      <c r="DV16" s="36"/>
    </row>
    <row r="17" spans="1:125" x14ac:dyDescent="0.25">
      <c r="AH17" s="35"/>
      <c r="AI17" s="35"/>
      <c r="BD17" s="35"/>
      <c r="BE17" s="35"/>
      <c r="BZ17" s="35"/>
      <c r="CA17" s="35"/>
      <c r="CV17" s="35"/>
      <c r="CW17" s="35"/>
      <c r="DR17" s="35"/>
      <c r="DS17" s="35"/>
      <c r="DT17" s="35"/>
      <c r="DU17" s="35"/>
    </row>
    <row r="18" spans="1:125" ht="15" hidden="1" customHeight="1" x14ac:dyDescent="0.25">
      <c r="A18" t="s">
        <v>20</v>
      </c>
      <c r="B18" t="s">
        <v>45</v>
      </c>
    </row>
    <row r="19" spans="1:125" ht="15" hidden="1" customHeight="1" x14ac:dyDescent="0.25">
      <c r="A19" t="s">
        <v>21</v>
      </c>
      <c r="B19" t="str">
        <f>B31</f>
        <v>OFFEN</v>
      </c>
    </row>
    <row r="20" spans="1:125" ht="15" hidden="1" customHeight="1" x14ac:dyDescent="0.25">
      <c r="A20" t="s">
        <v>22</v>
      </c>
      <c r="B20" t="str">
        <f>B33</f>
        <v>BESTÄTIGT</v>
      </c>
    </row>
    <row r="21" spans="1:125" ht="15" hidden="1" customHeight="1" x14ac:dyDescent="0.25">
      <c r="A21" t="s">
        <v>23</v>
      </c>
      <c r="B21" t="str">
        <f>B32</f>
        <v>ABGELEHNT</v>
      </c>
    </row>
    <row r="22" spans="1:125" ht="15" hidden="1" customHeight="1" x14ac:dyDescent="0.25">
      <c r="A22" t="s">
        <v>24</v>
      </c>
      <c r="B22" t="str">
        <f>B31</f>
        <v>OFFEN</v>
      </c>
    </row>
    <row r="23" spans="1:125" ht="15" hidden="1" customHeight="1" x14ac:dyDescent="0.25">
      <c r="A23" t="s">
        <v>25</v>
      </c>
      <c r="B23" t="str">
        <f>B33</f>
        <v>BESTÄTIGT</v>
      </c>
    </row>
    <row r="24" spans="1:125" ht="15" hidden="1" customHeight="1" x14ac:dyDescent="0.25">
      <c r="A24" t="s">
        <v>26</v>
      </c>
      <c r="B24" t="str">
        <f>B31</f>
        <v>OFFEN</v>
      </c>
    </row>
    <row r="25" spans="1:125" ht="15" hidden="1" customHeight="1" x14ac:dyDescent="0.25">
      <c r="A25" t="s">
        <v>27</v>
      </c>
      <c r="B25" t="str">
        <f>B31</f>
        <v>OFFEN</v>
      </c>
    </row>
    <row r="26" spans="1:125" hidden="1" x14ac:dyDescent="0.25">
      <c r="A26" t="s">
        <v>28</v>
      </c>
      <c r="B26" t="str">
        <f>B33</f>
        <v>BESTÄTIGT</v>
      </c>
    </row>
    <row r="27" spans="1:125" hidden="1" x14ac:dyDescent="0.25">
      <c r="A27" t="s">
        <v>29</v>
      </c>
      <c r="B27" t="str">
        <f>B32</f>
        <v>ABGELEHNT</v>
      </c>
    </row>
    <row r="28" spans="1:125" hidden="1" x14ac:dyDescent="0.25">
      <c r="A28" t="s">
        <v>30</v>
      </c>
      <c r="B28" t="str">
        <f>B31</f>
        <v>OFFEN</v>
      </c>
    </row>
    <row r="29" spans="1:125" hidden="1" x14ac:dyDescent="0.25">
      <c r="A29" t="s">
        <v>31</v>
      </c>
      <c r="B29" t="str">
        <f>B33</f>
        <v>BESTÄTIGT</v>
      </c>
    </row>
    <row r="30" spans="1:125" hidden="1" x14ac:dyDescent="0.25"/>
    <row r="31" spans="1:125" hidden="1" x14ac:dyDescent="0.25">
      <c r="A31" t="s">
        <v>32</v>
      </c>
      <c r="B31" t="s">
        <v>33</v>
      </c>
    </row>
    <row r="32" spans="1:125" hidden="1" x14ac:dyDescent="0.25">
      <c r="A32" t="s">
        <v>34</v>
      </c>
      <c r="B32" t="s">
        <v>35</v>
      </c>
    </row>
    <row r="33" spans="1:9" hidden="1" x14ac:dyDescent="0.25">
      <c r="A33" t="s">
        <v>36</v>
      </c>
      <c r="B33" t="s">
        <v>37</v>
      </c>
    </row>
    <row r="34" spans="1:9" hidden="1" x14ac:dyDescent="0.25">
      <c r="A34" t="s">
        <v>44</v>
      </c>
      <c r="B34" t="s">
        <v>45</v>
      </c>
    </row>
    <row r="36" spans="1:9" x14ac:dyDescent="0.25">
      <c r="A36" s="55" t="s">
        <v>59</v>
      </c>
      <c r="B36" s="56"/>
      <c r="C36" s="57"/>
    </row>
    <row r="37" spans="1:9" x14ac:dyDescent="0.25">
      <c r="A37" s="28">
        <v>1</v>
      </c>
      <c r="B37" s="58" t="s">
        <v>57</v>
      </c>
      <c r="C37" s="58"/>
      <c r="D37" s="41"/>
      <c r="E37" s="41"/>
      <c r="F37" s="41"/>
      <c r="G37" s="41"/>
      <c r="H37" s="41"/>
      <c r="I37" s="41"/>
    </row>
    <row r="38" spans="1:9" x14ac:dyDescent="0.25">
      <c r="A38" s="28">
        <v>2</v>
      </c>
      <c r="B38" s="58" t="s">
        <v>62</v>
      </c>
      <c r="C38" s="58"/>
      <c r="D38" s="41"/>
      <c r="E38" s="41"/>
      <c r="F38" s="41"/>
      <c r="G38" s="41"/>
      <c r="H38" s="41"/>
      <c r="I38" s="41"/>
    </row>
    <row r="39" spans="1:9" x14ac:dyDescent="0.25">
      <c r="A39" s="28">
        <v>3</v>
      </c>
      <c r="B39" s="58" t="s">
        <v>58</v>
      </c>
      <c r="C39" s="58"/>
      <c r="D39" s="41"/>
      <c r="E39" s="41"/>
      <c r="F39" s="41"/>
      <c r="G39" s="41"/>
      <c r="H39" s="41"/>
      <c r="I39" s="41"/>
    </row>
  </sheetData>
  <mergeCells count="41">
    <mergeCell ref="D9:D10"/>
    <mergeCell ref="E9:E10"/>
    <mergeCell ref="F9:F10"/>
    <mergeCell ref="G9:G10"/>
    <mergeCell ref="H9:H10"/>
    <mergeCell ref="A36:C36"/>
    <mergeCell ref="AJ7:BE7"/>
    <mergeCell ref="BF7:CA7"/>
    <mergeCell ref="B39:C39"/>
    <mergeCell ref="BD8:BD10"/>
    <mergeCell ref="BE8:BE10"/>
    <mergeCell ref="BZ8:BZ10"/>
    <mergeCell ref="CA8:CA10"/>
    <mergeCell ref="AH8:AH10"/>
    <mergeCell ref="AI8:AI10"/>
    <mergeCell ref="B38:C38"/>
    <mergeCell ref="B37:C37"/>
    <mergeCell ref="N7:AI7"/>
    <mergeCell ref="A16:K16"/>
    <mergeCell ref="A12:K12"/>
    <mergeCell ref="A7:C8"/>
    <mergeCell ref="A13:K13"/>
    <mergeCell ref="A14:K14"/>
    <mergeCell ref="D7:F8"/>
    <mergeCell ref="G7:I8"/>
    <mergeCell ref="A9:A10"/>
    <mergeCell ref="B9:B10"/>
    <mergeCell ref="C9:C10"/>
    <mergeCell ref="DT7:DU7"/>
    <mergeCell ref="DT8:DT10"/>
    <mergeCell ref="DU8:DU10"/>
    <mergeCell ref="CV8:CV10"/>
    <mergeCell ref="CW8:CW10"/>
    <mergeCell ref="DR8:DR10"/>
    <mergeCell ref="DS8:DS10"/>
    <mergeCell ref="CX7:DS7"/>
    <mergeCell ref="CB7:CW7"/>
    <mergeCell ref="L7:L10"/>
    <mergeCell ref="J7:J10"/>
    <mergeCell ref="K7:K10"/>
    <mergeCell ref="I9:I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Endtner Janik</cp:lastModifiedBy>
  <cp:revision>4</cp:revision>
  <cp:lastPrinted>2016-07-13T06:09:28Z</cp:lastPrinted>
  <dcterms:created xsi:type="dcterms:W3CDTF">2016-06-28T14:27:29Z</dcterms:created>
  <dcterms:modified xsi:type="dcterms:W3CDTF">2020-11-10T14:11:28Z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