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C6DB0543-E4FB-4DE3-82C9-F7D17D90E4BB}" xr6:coauthVersionLast="47" xr6:coauthVersionMax="47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<sst xmlns="http://schemas.openxmlformats.org/spreadsheetml/2006/main" count="710" uniqueCount="85">
  <si>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</si>
  <si>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</si>
  <si>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</si>
  <si>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</si>
  <si>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</si>
  <si>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</si>
  <si>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</si>
  <si>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</si>
  <si>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</si>
  <si>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</si>
  <si>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</si>
  <si>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</si>
  <si>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</si>
  <si>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</si>
  <si>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</si>
  <si>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</si>
  <si>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</si>
  <si>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</si>
  <si>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</si>
  <si>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</si>
  <si>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</si>
  <si>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</si>
  <si>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</si>
  <si>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</si>
  <si>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</si>
  <si>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</si>
  <si>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</si>
  <si>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</si>
  <si>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</si>
  <si>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</si>
  <si>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</si>
  <si>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</si>
  <si>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</si>
  <si>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</si>
  <si>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</si>
  <si>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</si>
  <si>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</si>
  <si>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</si>
  <si>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</si>
  <si>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</si>
  <si>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</si>
  <si>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</si>
  <si>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</si>
  <si>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</si>
  <si>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</si>
  <si>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</si>
  <si>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</si>
  <si>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</si>
  <si>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</si>
  <si>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</si>
  <si>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</si>
  <si>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</si>
  <si>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</si>
  <si>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</si>
  <si>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</si>
  <si>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</si>
  <si>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</si>
  <si>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</si>
  <si>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</si>
  <si>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</si>
  <si>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</si>
  <si>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</si>
  <si>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</si>
  <si>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</si>
  <si>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</si>
  <si>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</si>
  <si>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</si>
  <si>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</si>
  <si>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</si>
  <si>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</si>
  <si>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</si>
  <si>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</si>
  <si>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</si>
  <si>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</si>
  <si>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</si>
  <si>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</si>
  <si>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</si>
  <si>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</si>
  <si>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</si>
  <si>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</si>
  <si>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</si>
  <si>
    <t>{anzahlBestaetigteAnmeldungen}</t>
  </si>
  <si>
    <t>{anzahlAbgelehnteAnmeldungen}</t>
  </si>
  <si>
    <t>{anzahlOffeneAnmeldungen}</t>
  </si>
  <si>
    <t>{anzahlNichtFreigegebeneAnmeldungen}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</si>
</sst>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66" fontId="0" fillId="2" borderId="2" xfId="0" applyNumberForma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Alignment="1">
      <alignment vertical="top"/>
    </xf>
    <xf numFmtId="166" fontId="0" fillId="5" borderId="0" xfId="0" applyNumberFormat="1" applyFill="1" applyAlignment="1">
      <alignment horizontal="right" vertical="center"/>
    </xf>
    <xf numFmtId="0" fontId="0" fillId="5" borderId="0" xfId="0" applyFill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0" borderId="1" xfId="0" applyNumberFormat="1" applyBorder="1" applyAlignment="1">
      <alignment horizontal="left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zoomScaleNormal="100" workbookViewId="0">
      <selection activeCell="A16" sqref="A16:O16"/>
    </sheetView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10" customWidth="1"/>
    <col min="128" max="129" width="10.5546875"/>
    <col min="130" max="130" width="22.6640625" customWidth="1"/>
    <col min="133" max="989" width="10.5546875"/>
  </cols>
  <sheetData>
    <row r="1" spans="1:133" ht="21" x14ac:dyDescent="0.4">
      <c r="A1" s="2" t="s">
        <v>43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4">
      <c r="A5" s="17" t="s">
        <v>47</v>
      </c>
      <c r="B5" s="18" t="s">
        <v>48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</row>
    <row r="7" spans="1:133" s="5" customFormat="1" ht="15" customHeight="1" x14ac:dyDescent="0.3">
      <c r="A7" s="59" t="s">
        <v>61</v>
      </c>
      <c r="B7" s="60"/>
      <c r="C7" s="61"/>
      <c r="D7" s="59" t="s">
        <v>62</v>
      </c>
      <c r="E7" s="60"/>
      <c r="F7" s="60"/>
      <c r="G7" s="60"/>
      <c r="H7" s="61"/>
      <c r="I7" s="59" t="s">
        <v>70</v>
      </c>
      <c r="J7" s="60"/>
      <c r="K7" s="60"/>
      <c r="L7" s="60"/>
      <c r="M7" s="61"/>
      <c r="N7" s="65" t="s">
        <v>7</v>
      </c>
      <c r="O7" s="65" t="s">
        <v>57</v>
      </c>
      <c r="P7" s="65" t="s">
        <v>0</v>
      </c>
      <c r="Q7" s="14"/>
      <c r="R7" s="52" t="s">
        <v>36</v>
      </c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 t="s">
        <v>35</v>
      </c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/>
      <c r="BJ7" s="52" t="s">
        <v>37</v>
      </c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4"/>
      <c r="CF7" s="52" t="s">
        <v>38</v>
      </c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4"/>
      <c r="DB7" s="52" t="s">
        <v>39</v>
      </c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4"/>
      <c r="DX7" s="79" t="s">
        <v>50</v>
      </c>
      <c r="DY7" s="79"/>
      <c r="DZ7" s="80" t="s">
        <v>79</v>
      </c>
      <c r="EA7" s="73" t="s">
        <v>78</v>
      </c>
      <c r="EB7" s="74"/>
      <c r="EC7" s="11"/>
    </row>
    <row r="8" spans="1:133" s="5" customFormat="1" ht="15" customHeight="1" x14ac:dyDescent="0.3">
      <c r="A8" s="62"/>
      <c r="B8" s="63"/>
      <c r="C8" s="64"/>
      <c r="D8" s="62"/>
      <c r="E8" s="63"/>
      <c r="F8" s="63"/>
      <c r="G8" s="63"/>
      <c r="H8" s="64"/>
      <c r="I8" s="67"/>
      <c r="J8" s="68"/>
      <c r="K8" s="68"/>
      <c r="L8" s="68"/>
      <c r="M8" s="69"/>
      <c r="N8" s="70"/>
      <c r="O8" s="70"/>
      <c r="P8" s="70"/>
      <c r="Q8" s="15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56" t="s">
        <v>44</v>
      </c>
      <c r="AM8" s="56" t="s">
        <v>45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56" t="s">
        <v>44</v>
      </c>
      <c r="BI8" s="56" t="s">
        <v>45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56" t="s">
        <v>44</v>
      </c>
      <c r="CE8" s="56" t="s">
        <v>45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56" t="s">
        <v>44</v>
      </c>
      <c r="DA8" s="56" t="s">
        <v>45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56" t="s">
        <v>44</v>
      </c>
      <c r="DW8" s="56" t="s">
        <v>45</v>
      </c>
      <c r="DX8" s="56" t="s">
        <v>51</v>
      </c>
      <c r="DY8" s="56" t="s">
        <v>52</v>
      </c>
      <c r="DZ8" s="81"/>
      <c r="EA8" s="75"/>
      <c r="EB8" s="76"/>
    </row>
    <row r="9" spans="1:133" s="5" customFormat="1" ht="15" customHeight="1" x14ac:dyDescent="0.3">
      <c r="A9" s="65" t="s">
        <v>59</v>
      </c>
      <c r="B9" s="65" t="s">
        <v>60</v>
      </c>
      <c r="C9" s="65" t="s">
        <v>10</v>
      </c>
      <c r="D9" s="65" t="s">
        <v>59</v>
      </c>
      <c r="E9" s="65" t="s">
        <v>60</v>
      </c>
      <c r="F9" s="65" t="s">
        <v>63</v>
      </c>
      <c r="G9" s="65" t="s">
        <v>71</v>
      </c>
      <c r="H9" s="65" t="s">
        <v>72</v>
      </c>
      <c r="I9" s="65" t="s">
        <v>59</v>
      </c>
      <c r="J9" s="65" t="s">
        <v>60</v>
      </c>
      <c r="K9" s="65" t="s">
        <v>63</v>
      </c>
      <c r="L9" s="65" t="s">
        <v>71</v>
      </c>
      <c r="M9" s="65" t="s">
        <v>72</v>
      </c>
      <c r="N9" s="70"/>
      <c r="O9" s="70"/>
      <c r="P9" s="70"/>
      <c r="Q9" s="15"/>
      <c r="R9" s="32" t="s">
        <v>46</v>
      </c>
      <c r="S9" s="32" t="s">
        <v>46</v>
      </c>
      <c r="T9" s="32" t="s">
        <v>46</v>
      </c>
      <c r="U9" s="32" t="s">
        <v>46</v>
      </c>
      <c r="V9" s="32" t="s">
        <v>46</v>
      </c>
      <c r="W9" s="32" t="s">
        <v>46</v>
      </c>
      <c r="X9" s="32" t="s">
        <v>46</v>
      </c>
      <c r="Y9" s="32" t="s">
        <v>46</v>
      </c>
      <c r="Z9" s="32" t="s">
        <v>46</v>
      </c>
      <c r="AA9" s="32" t="s">
        <v>46</v>
      </c>
      <c r="AB9" s="32" t="s">
        <v>46</v>
      </c>
      <c r="AC9" s="32" t="s">
        <v>46</v>
      </c>
      <c r="AD9" s="32" t="s">
        <v>46</v>
      </c>
      <c r="AE9" s="32" t="s">
        <v>46</v>
      </c>
      <c r="AF9" s="32" t="s">
        <v>46</v>
      </c>
      <c r="AG9" s="32" t="s">
        <v>46</v>
      </c>
      <c r="AH9" s="32" t="s">
        <v>46</v>
      </c>
      <c r="AI9" s="32" t="s">
        <v>46</v>
      </c>
      <c r="AJ9" s="32" t="s">
        <v>46</v>
      </c>
      <c r="AK9" s="32" t="s">
        <v>46</v>
      </c>
      <c r="AL9" s="57"/>
      <c r="AM9" s="57"/>
      <c r="AN9" s="32" t="s">
        <v>46</v>
      </c>
      <c r="AO9" s="32" t="s">
        <v>46</v>
      </c>
      <c r="AP9" s="32" t="s">
        <v>46</v>
      </c>
      <c r="AQ9" s="32" t="s">
        <v>46</v>
      </c>
      <c r="AR9" s="32" t="s">
        <v>46</v>
      </c>
      <c r="AS9" s="32" t="s">
        <v>46</v>
      </c>
      <c r="AT9" s="32" t="s">
        <v>46</v>
      </c>
      <c r="AU9" s="32" t="s">
        <v>46</v>
      </c>
      <c r="AV9" s="32" t="s">
        <v>46</v>
      </c>
      <c r="AW9" s="32" t="s">
        <v>46</v>
      </c>
      <c r="AX9" s="32" t="s">
        <v>46</v>
      </c>
      <c r="AY9" s="32" t="s">
        <v>46</v>
      </c>
      <c r="AZ9" s="32" t="s">
        <v>46</v>
      </c>
      <c r="BA9" s="32" t="s">
        <v>46</v>
      </c>
      <c r="BB9" s="32" t="s">
        <v>46</v>
      </c>
      <c r="BC9" s="32" t="s">
        <v>46</v>
      </c>
      <c r="BD9" s="32" t="s">
        <v>46</v>
      </c>
      <c r="BE9" s="32" t="s">
        <v>46</v>
      </c>
      <c r="BF9" s="32" t="s">
        <v>46</v>
      </c>
      <c r="BG9" s="32" t="s">
        <v>46</v>
      </c>
      <c r="BH9" s="57"/>
      <c r="BI9" s="57"/>
      <c r="BJ9" s="32" t="s">
        <v>46</v>
      </c>
      <c r="BK9" s="32" t="s">
        <v>46</v>
      </c>
      <c r="BL9" s="32" t="s">
        <v>46</v>
      </c>
      <c r="BM9" s="32" t="s">
        <v>46</v>
      </c>
      <c r="BN9" s="32" t="s">
        <v>46</v>
      </c>
      <c r="BO9" s="32" t="s">
        <v>46</v>
      </c>
      <c r="BP9" s="32" t="s">
        <v>46</v>
      </c>
      <c r="BQ9" s="32" t="s">
        <v>46</v>
      </c>
      <c r="BR9" s="32" t="s">
        <v>46</v>
      </c>
      <c r="BS9" s="32" t="s">
        <v>46</v>
      </c>
      <c r="BT9" s="32" t="s">
        <v>46</v>
      </c>
      <c r="BU9" s="32" t="s">
        <v>46</v>
      </c>
      <c r="BV9" s="32" t="s">
        <v>46</v>
      </c>
      <c r="BW9" s="32" t="s">
        <v>46</v>
      </c>
      <c r="BX9" s="32" t="s">
        <v>46</v>
      </c>
      <c r="BY9" s="32" t="s">
        <v>46</v>
      </c>
      <c r="BZ9" s="32" t="s">
        <v>46</v>
      </c>
      <c r="CA9" s="32" t="s">
        <v>46</v>
      </c>
      <c r="CB9" s="32" t="s">
        <v>46</v>
      </c>
      <c r="CC9" s="32" t="s">
        <v>46</v>
      </c>
      <c r="CD9" s="57"/>
      <c r="CE9" s="57"/>
      <c r="CF9" s="32" t="s">
        <v>46</v>
      </c>
      <c r="CG9" s="32" t="s">
        <v>46</v>
      </c>
      <c r="CH9" s="32" t="s">
        <v>46</v>
      </c>
      <c r="CI9" s="32" t="s">
        <v>46</v>
      </c>
      <c r="CJ9" s="32" t="s">
        <v>46</v>
      </c>
      <c r="CK9" s="32" t="s">
        <v>46</v>
      </c>
      <c r="CL9" s="32" t="s">
        <v>46</v>
      </c>
      <c r="CM9" s="32" t="s">
        <v>46</v>
      </c>
      <c r="CN9" s="32" t="s">
        <v>46</v>
      </c>
      <c r="CO9" s="32" t="s">
        <v>46</v>
      </c>
      <c r="CP9" s="32" t="s">
        <v>46</v>
      </c>
      <c r="CQ9" s="32" t="s">
        <v>46</v>
      </c>
      <c r="CR9" s="32" t="s">
        <v>46</v>
      </c>
      <c r="CS9" s="32" t="s">
        <v>46</v>
      </c>
      <c r="CT9" s="32" t="s">
        <v>46</v>
      </c>
      <c r="CU9" s="32" t="s">
        <v>46</v>
      </c>
      <c r="CV9" s="32" t="s">
        <v>46</v>
      </c>
      <c r="CW9" s="32" t="s">
        <v>46</v>
      </c>
      <c r="CX9" s="32" t="s">
        <v>46</v>
      </c>
      <c r="CY9" s="32" t="s">
        <v>46</v>
      </c>
      <c r="CZ9" s="57"/>
      <c r="DA9" s="57"/>
      <c r="DB9" s="32" t="s">
        <v>46</v>
      </c>
      <c r="DC9" s="32" t="s">
        <v>46</v>
      </c>
      <c r="DD9" s="32" t="s">
        <v>46</v>
      </c>
      <c r="DE9" s="32" t="s">
        <v>46</v>
      </c>
      <c r="DF9" s="32" t="s">
        <v>46</v>
      </c>
      <c r="DG9" s="32" t="s">
        <v>46</v>
      </c>
      <c r="DH9" s="32" t="s">
        <v>46</v>
      </c>
      <c r="DI9" s="32" t="s">
        <v>46</v>
      </c>
      <c r="DJ9" s="32" t="s">
        <v>46</v>
      </c>
      <c r="DK9" s="32" t="s">
        <v>46</v>
      </c>
      <c r="DL9" s="32" t="s">
        <v>46</v>
      </c>
      <c r="DM9" s="32" t="s">
        <v>46</v>
      </c>
      <c r="DN9" s="32" t="s">
        <v>46</v>
      </c>
      <c r="DO9" s="32" t="s">
        <v>46</v>
      </c>
      <c r="DP9" s="32" t="s">
        <v>46</v>
      </c>
      <c r="DQ9" s="32" t="s">
        <v>46</v>
      </c>
      <c r="DR9" s="32" t="s">
        <v>46</v>
      </c>
      <c r="DS9" s="32" t="s">
        <v>46</v>
      </c>
      <c r="DT9" s="32" t="s">
        <v>46</v>
      </c>
      <c r="DU9" s="32" t="s">
        <v>46</v>
      </c>
      <c r="DV9" s="57"/>
      <c r="DW9" s="57"/>
      <c r="DX9" s="70"/>
      <c r="DY9" s="70"/>
      <c r="DZ9" s="81"/>
      <c r="EA9" s="75"/>
      <c r="EB9" s="76"/>
    </row>
    <row r="10" spans="1:133" s="5" customFormat="1" ht="15" customHeight="1" x14ac:dyDescent="0.3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5"/>
      <c r="R10" s="16" t="s">
        <v>49</v>
      </c>
      <c r="S10" s="16" t="s">
        <v>49</v>
      </c>
      <c r="T10" s="16" t="s">
        <v>49</v>
      </c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58"/>
      <c r="AM10" s="58"/>
      <c r="AN10" s="16" t="s">
        <v>49</v>
      </c>
      <c r="AO10" s="16" t="s">
        <v>49</v>
      </c>
      <c r="AP10" s="16" t="s">
        <v>49</v>
      </c>
      <c r="AQ10" s="16" t="s">
        <v>49</v>
      </c>
      <c r="AR10" s="16" t="s">
        <v>49</v>
      </c>
      <c r="AS10" s="16" t="s">
        <v>49</v>
      </c>
      <c r="AT10" s="16" t="s">
        <v>49</v>
      </c>
      <c r="AU10" s="16" t="s">
        <v>49</v>
      </c>
      <c r="AV10" s="16" t="s">
        <v>49</v>
      </c>
      <c r="AW10" s="16" t="s">
        <v>49</v>
      </c>
      <c r="AX10" s="16" t="s">
        <v>49</v>
      </c>
      <c r="AY10" s="16" t="s">
        <v>49</v>
      </c>
      <c r="AZ10" s="16" t="s">
        <v>49</v>
      </c>
      <c r="BA10" s="16" t="s">
        <v>49</v>
      </c>
      <c r="BB10" s="16" t="s">
        <v>49</v>
      </c>
      <c r="BC10" s="16" t="s">
        <v>49</v>
      </c>
      <c r="BD10" s="16" t="s">
        <v>49</v>
      </c>
      <c r="BE10" s="16" t="s">
        <v>49</v>
      </c>
      <c r="BF10" s="16" t="s">
        <v>49</v>
      </c>
      <c r="BG10" s="16" t="s">
        <v>49</v>
      </c>
      <c r="BH10" s="58"/>
      <c r="BI10" s="58"/>
      <c r="BJ10" s="16" t="s">
        <v>49</v>
      </c>
      <c r="BK10" s="16" t="s">
        <v>49</v>
      </c>
      <c r="BL10" s="16" t="s">
        <v>49</v>
      </c>
      <c r="BM10" s="16" t="s">
        <v>49</v>
      </c>
      <c r="BN10" s="16" t="s">
        <v>49</v>
      </c>
      <c r="BO10" s="16" t="s">
        <v>49</v>
      </c>
      <c r="BP10" s="16" t="s">
        <v>49</v>
      </c>
      <c r="BQ10" s="16" t="s">
        <v>49</v>
      </c>
      <c r="BR10" s="16" t="s">
        <v>49</v>
      </c>
      <c r="BS10" s="16" t="s">
        <v>49</v>
      </c>
      <c r="BT10" s="16" t="s">
        <v>49</v>
      </c>
      <c r="BU10" s="16" t="s">
        <v>49</v>
      </c>
      <c r="BV10" s="16" t="s">
        <v>49</v>
      </c>
      <c r="BW10" s="16" t="s">
        <v>49</v>
      </c>
      <c r="BX10" s="16" t="s">
        <v>49</v>
      </c>
      <c r="BY10" s="16" t="s">
        <v>49</v>
      </c>
      <c r="BZ10" s="16" t="s">
        <v>49</v>
      </c>
      <c r="CA10" s="16" t="s">
        <v>49</v>
      </c>
      <c r="CB10" s="16" t="s">
        <v>49</v>
      </c>
      <c r="CC10" s="16" t="s">
        <v>49</v>
      </c>
      <c r="CD10" s="58"/>
      <c r="CE10" s="58"/>
      <c r="CF10" s="16" t="s">
        <v>49</v>
      </c>
      <c r="CG10" s="16" t="s">
        <v>49</v>
      </c>
      <c r="CH10" s="16" t="s">
        <v>49</v>
      </c>
      <c r="CI10" s="16" t="s">
        <v>49</v>
      </c>
      <c r="CJ10" s="16" t="s">
        <v>49</v>
      </c>
      <c r="CK10" s="16" t="s">
        <v>49</v>
      </c>
      <c r="CL10" s="16" t="s">
        <v>49</v>
      </c>
      <c r="CM10" s="16" t="s">
        <v>49</v>
      </c>
      <c r="CN10" s="16" t="s">
        <v>49</v>
      </c>
      <c r="CO10" s="16" t="s">
        <v>49</v>
      </c>
      <c r="CP10" s="16" t="s">
        <v>49</v>
      </c>
      <c r="CQ10" s="16" t="s">
        <v>49</v>
      </c>
      <c r="CR10" s="16" t="s">
        <v>49</v>
      </c>
      <c r="CS10" s="16" t="s">
        <v>49</v>
      </c>
      <c r="CT10" s="16" t="s">
        <v>49</v>
      </c>
      <c r="CU10" s="16" t="s">
        <v>49</v>
      </c>
      <c r="CV10" s="16" t="s">
        <v>49</v>
      </c>
      <c r="CW10" s="16" t="s">
        <v>49</v>
      </c>
      <c r="CX10" s="16" t="s">
        <v>49</v>
      </c>
      <c r="CY10" s="16" t="s">
        <v>49</v>
      </c>
      <c r="CZ10" s="58"/>
      <c r="DA10" s="58"/>
      <c r="DB10" s="16" t="s">
        <v>49</v>
      </c>
      <c r="DC10" s="16" t="s">
        <v>49</v>
      </c>
      <c r="DD10" s="16" t="s">
        <v>49</v>
      </c>
      <c r="DE10" s="16" t="s">
        <v>49</v>
      </c>
      <c r="DF10" s="16" t="s">
        <v>49</v>
      </c>
      <c r="DG10" s="16" t="s">
        <v>49</v>
      </c>
      <c r="DH10" s="16" t="s">
        <v>49</v>
      </c>
      <c r="DI10" s="16" t="s">
        <v>49</v>
      </c>
      <c r="DJ10" s="16" t="s">
        <v>49</v>
      </c>
      <c r="DK10" s="16" t="s">
        <v>49</v>
      </c>
      <c r="DL10" s="16" t="s">
        <v>49</v>
      </c>
      <c r="DM10" s="16" t="s">
        <v>49</v>
      </c>
      <c r="DN10" s="16" t="s">
        <v>49</v>
      </c>
      <c r="DO10" s="16" t="s">
        <v>49</v>
      </c>
      <c r="DP10" s="16" t="s">
        <v>49</v>
      </c>
      <c r="DQ10" s="16" t="s">
        <v>49</v>
      </c>
      <c r="DR10" s="16" t="s">
        <v>49</v>
      </c>
      <c r="DS10" s="16" t="s">
        <v>49</v>
      </c>
      <c r="DT10" s="16" t="s">
        <v>49</v>
      </c>
      <c r="DU10" s="16" t="s">
        <v>49</v>
      </c>
      <c r="DV10" s="58"/>
      <c r="DW10" s="58"/>
      <c r="DX10" s="66"/>
      <c r="DY10" s="66"/>
      <c r="DZ10" s="82"/>
      <c r="EA10" s="77"/>
      <c r="EB10" s="78"/>
    </row>
    <row r="11" spans="1:133" ht="15" customHeight="1" x14ac:dyDescent="0.3">
      <c r="A11" s="6" t="s">
        <v>2</v>
      </c>
      <c r="B11" s="6" t="s">
        <v>1</v>
      </c>
      <c r="C11" s="12" t="s">
        <v>4</v>
      </c>
      <c r="D11" s="12" t="s">
        <v>64</v>
      </c>
      <c r="E11" s="12" t="s">
        <v>65</v>
      </c>
      <c r="F11" s="12" t="s">
        <v>66</v>
      </c>
      <c r="G11" s="12" t="s">
        <v>73</v>
      </c>
      <c r="H11" s="12" t="s">
        <v>74</v>
      </c>
      <c r="I11" s="12" t="s">
        <v>67</v>
      </c>
      <c r="J11" s="12" t="s">
        <v>68</v>
      </c>
      <c r="K11" s="12" t="s">
        <v>69</v>
      </c>
      <c r="L11" s="12" t="s">
        <v>75</v>
      </c>
      <c r="M11" s="12" t="s">
        <v>76</v>
      </c>
      <c r="N11" s="7" t="s">
        <v>3</v>
      </c>
      <c r="O11" s="7" t="s">
        <v>56</v>
      </c>
      <c r="P11" s="6" t="s">
        <v>5</v>
      </c>
      <c r="Q11" s="6" t="e">
        <f>VLOOKUP(P11,$A$18:$B$29,2,FALSE)</f>
        <v>#N/A</v>
      </c>
      <c r="R11" s="19" t="s">
        <v>8</v>
      </c>
      <c r="S11" s="19" t="s">
        <v>8</v>
      </c>
      <c r="T11" s="19" t="s">
        <v>8</v>
      </c>
      <c r="U11" s="19" t="s">
        <v>8</v>
      </c>
      <c r="V11" s="19" t="s">
        <v>8</v>
      </c>
      <c r="W11" s="19" t="s">
        <v>8</v>
      </c>
      <c r="X11" s="19" t="s">
        <v>8</v>
      </c>
      <c r="Y11" s="19" t="s">
        <v>8</v>
      </c>
      <c r="Z11" s="19" t="s">
        <v>8</v>
      </c>
      <c r="AA11" s="19" t="s">
        <v>8</v>
      </c>
      <c r="AB11" s="19" t="s">
        <v>8</v>
      </c>
      <c r="AC11" s="19" t="s">
        <v>8</v>
      </c>
      <c r="AD11" s="19" t="s">
        <v>8</v>
      </c>
      <c r="AE11" s="19" t="s">
        <v>8</v>
      </c>
      <c r="AF11" s="19" t="s">
        <v>8</v>
      </c>
      <c r="AG11" s="19" t="s">
        <v>8</v>
      </c>
      <c r="AH11" s="19" t="s">
        <v>8</v>
      </c>
      <c r="AI11" s="19" t="s">
        <v>8</v>
      </c>
      <c r="AJ11" s="19" t="s">
        <v>8</v>
      </c>
      <c r="AK11" s="19" t="s">
        <v>8</v>
      </c>
      <c r="AL11" s="31">
        <f>SUMIF(R11:AK11,1,R$9:AK$9)
+SUMIF(R11:AK11,2,R$9:AK$9)*0.5
+SUMIF(R11:AK11,3,R$9:AK$9)</f>
        <v>0</v>
      </c>
      <c r="AM11" s="20">
        <f>SUMIF(R11:AK11,1,R$10:AK$10)
+SUMIF(R11:AK11,2,R$10:AK$10)*0.5</f>
        <v>0</v>
      </c>
      <c r="AN11" s="19" t="s">
        <v>8</v>
      </c>
      <c r="AO11" s="19" t="s">
        <v>8</v>
      </c>
      <c r="AP11" s="19" t="s">
        <v>8</v>
      </c>
      <c r="AQ11" s="19" t="s">
        <v>8</v>
      </c>
      <c r="AR11" s="19" t="s">
        <v>8</v>
      </c>
      <c r="AS11" s="19" t="s">
        <v>8</v>
      </c>
      <c r="AT11" s="19" t="s">
        <v>8</v>
      </c>
      <c r="AU11" s="19" t="s">
        <v>8</v>
      </c>
      <c r="AV11" s="19" t="s">
        <v>8</v>
      </c>
      <c r="AW11" s="19" t="s">
        <v>8</v>
      </c>
      <c r="AX11" s="19" t="s">
        <v>8</v>
      </c>
      <c r="AY11" s="19" t="s">
        <v>8</v>
      </c>
      <c r="AZ11" s="19" t="s">
        <v>8</v>
      </c>
      <c r="BA11" s="19" t="s">
        <v>8</v>
      </c>
      <c r="BB11" s="19" t="s">
        <v>8</v>
      </c>
      <c r="BC11" s="19" t="s">
        <v>8</v>
      </c>
      <c r="BD11" s="19" t="s">
        <v>8</v>
      </c>
      <c r="BE11" s="19" t="s">
        <v>8</v>
      </c>
      <c r="BF11" s="19" t="s">
        <v>8</v>
      </c>
      <c r="BG11" s="19" t="s">
        <v>8</v>
      </c>
      <c r="BH11" s="31">
        <f>SUMIF(AN11:BG11,1,AN$9:BG$9)
+SUMIF(AN11:BG11,2,AN$9:BG$9)*0.5
+SUMIF(AN11:BG11,3,AN$9:BG$9)</f>
        <v>0</v>
      </c>
      <c r="BI11" s="20">
        <f>SUMIF(AN11:BG11,1,AN$10:BG$10)
+SUMIF(AN11:BG11,2,AN$10:BG$10)*0.5</f>
        <v>0</v>
      </c>
      <c r="BJ11" s="19" t="s">
        <v>8</v>
      </c>
      <c r="BK11" s="19" t="s">
        <v>8</v>
      </c>
      <c r="BL11" s="19" t="s">
        <v>8</v>
      </c>
      <c r="BM11" s="19" t="s">
        <v>8</v>
      </c>
      <c r="BN11" s="19" t="s">
        <v>8</v>
      </c>
      <c r="BO11" s="19" t="s">
        <v>8</v>
      </c>
      <c r="BP11" s="19" t="s">
        <v>8</v>
      </c>
      <c r="BQ11" s="19" t="s">
        <v>8</v>
      </c>
      <c r="BR11" s="19" t="s">
        <v>8</v>
      </c>
      <c r="BS11" s="19" t="s">
        <v>8</v>
      </c>
      <c r="BT11" s="19" t="s">
        <v>8</v>
      </c>
      <c r="BU11" s="19" t="s">
        <v>8</v>
      </c>
      <c r="BV11" s="19" t="s">
        <v>8</v>
      </c>
      <c r="BW11" s="19" t="s">
        <v>8</v>
      </c>
      <c r="BX11" s="19" t="s">
        <v>8</v>
      </c>
      <c r="BY11" s="19" t="s">
        <v>8</v>
      </c>
      <c r="BZ11" s="19" t="s">
        <v>8</v>
      </c>
      <c r="CA11" s="19" t="s">
        <v>8</v>
      </c>
      <c r="CB11" s="19" t="s">
        <v>8</v>
      </c>
      <c r="CC11" s="19" t="s">
        <v>8</v>
      </c>
      <c r="CD11" s="31">
        <f>SUMIF(BJ11:CC11,1,BJ$9:CC$9)
+SUMIF(BJ11:CC11,2,BJ$9:CC$9)*0.5
+SUMIF(BJ11:CC11,3,BJ$9:CC$9)</f>
        <v>0</v>
      </c>
      <c r="CE11" s="20">
        <f>SUMIF(BJ11:CC11,1,BJ$10:CC$10)
+SUMIF(BJ11:CC11,2,BJ$10:CC$10)*0.5</f>
        <v>0</v>
      </c>
      <c r="CF11" s="19" t="s">
        <v>8</v>
      </c>
      <c r="CG11" s="19" t="s">
        <v>8</v>
      </c>
      <c r="CH11" s="19" t="s">
        <v>8</v>
      </c>
      <c r="CI11" s="19" t="s">
        <v>8</v>
      </c>
      <c r="CJ11" s="19" t="s">
        <v>8</v>
      </c>
      <c r="CK11" s="19" t="s">
        <v>8</v>
      </c>
      <c r="CL11" s="19" t="s">
        <v>8</v>
      </c>
      <c r="CM11" s="19" t="s">
        <v>8</v>
      </c>
      <c r="CN11" s="19" t="s">
        <v>8</v>
      </c>
      <c r="CO11" s="19" t="s">
        <v>8</v>
      </c>
      <c r="CP11" s="19" t="s">
        <v>8</v>
      </c>
      <c r="CQ11" s="19" t="s">
        <v>8</v>
      </c>
      <c r="CR11" s="19" t="s">
        <v>8</v>
      </c>
      <c r="CS11" s="19" t="s">
        <v>8</v>
      </c>
      <c r="CT11" s="19" t="s">
        <v>8</v>
      </c>
      <c r="CU11" s="19" t="s">
        <v>8</v>
      </c>
      <c r="CV11" s="19" t="s">
        <v>8</v>
      </c>
      <c r="CW11" s="19" t="s">
        <v>8</v>
      </c>
      <c r="CX11" s="19" t="s">
        <v>8</v>
      </c>
      <c r="CY11" s="19" t="s">
        <v>8</v>
      </c>
      <c r="CZ11" s="31">
        <f>SUMIF(CF11:CY11,1,CF$9:CY$9)
+SUMIF(CF11:CY11,2,CF$9:CY$9)*0.5
+SUMIF(CF11:CY11,3,CF$9:CY$9)</f>
        <v>0</v>
      </c>
      <c r="DA11" s="20">
        <f>SUMIF(CF11:CY11,1,CF$10:CY$10)
+SUMIF(CF11:CY11,2,CF$10:CY$10)*0.5</f>
        <v>0</v>
      </c>
      <c r="DB11" s="19" t="s">
        <v>8</v>
      </c>
      <c r="DC11" s="19" t="s">
        <v>8</v>
      </c>
      <c r="DD11" s="19" t="s">
        <v>8</v>
      </c>
      <c r="DE11" s="19" t="s">
        <v>8</v>
      </c>
      <c r="DF11" s="19" t="s">
        <v>8</v>
      </c>
      <c r="DG11" s="19" t="s">
        <v>8</v>
      </c>
      <c r="DH11" s="19" t="s">
        <v>8</v>
      </c>
      <c r="DI11" s="19" t="s">
        <v>8</v>
      </c>
      <c r="DJ11" s="19" t="s">
        <v>8</v>
      </c>
      <c r="DK11" s="19" t="s">
        <v>8</v>
      </c>
      <c r="DL11" s="19" t="s">
        <v>8</v>
      </c>
      <c r="DM11" s="19" t="s">
        <v>8</v>
      </c>
      <c r="DN11" s="19" t="s">
        <v>8</v>
      </c>
      <c r="DO11" s="19" t="s">
        <v>8</v>
      </c>
      <c r="DP11" s="19" t="s">
        <v>8</v>
      </c>
      <c r="DQ11" s="19" t="s">
        <v>8</v>
      </c>
      <c r="DR11" s="19" t="s">
        <v>8</v>
      </c>
      <c r="DS11" s="19" t="s">
        <v>8</v>
      </c>
      <c r="DT11" s="19" t="s">
        <v>8</v>
      </c>
      <c r="DU11" s="19" t="s">
        <v>8</v>
      </c>
      <c r="DV11" s="31">
        <f>SUMIF(DB11:DU11,1,DB$9:DU$9)
+SUMIF(DB11:DU11,2,DB$9:DU$9)*0.5
+SUMIF(DB11:DU11,3,DB$9:DU$9)</f>
        <v>0</v>
      </c>
      <c r="DW11" s="20">
        <f>SUMIF(DB11:DU11,1,DB$10:DU$10)
+SUMIF(DB11:DU11,2,DB$10:DU$10)*0.5</f>
        <v>0</v>
      </c>
      <c r="DX11" s="31">
        <f>SUM(DV11,AL11,BH11,CD11,CZ11)</f>
        <v>0</v>
      </c>
      <c r="DY11" s="21">
        <f>SUM(DW11,AM11,BI11,CE11,DA11)</f>
        <v>0</v>
      </c>
      <c r="DZ11" s="48" t="s">
        <v>80</v>
      </c>
      <c r="EA11" s="83" t="s">
        <v>77</v>
      </c>
      <c r="EB11" s="84"/>
      <c r="EC11" s="35" t="s">
        <v>11</v>
      </c>
    </row>
    <row r="12" spans="1:133" x14ac:dyDescent="0.3">
      <c r="A12" s="49" t="s">
        <v>81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1"/>
      <c r="P12" s="13">
        <f>COUNTIF(statusKategorie,$B$33)</f>
        <v>0</v>
      </c>
      <c r="Q12" s="13"/>
      <c r="R12" s="13">
        <f>COUNTIFS(angemeldet1,"&gt;0",statusKategorie,$B$33)</f>
        <v>0</v>
      </c>
      <c r="S12" s="13">
        <f>COUNTIFS(angemeldet2,"&gt;0",statusKategorie,$B$33)</f>
        <v>0</v>
      </c>
      <c r="T12" s="13">
        <f>COUNTIFS(angemeldet3,"&gt;0",statusKategorie,$B$33)</f>
        <v>0</v>
      </c>
      <c r="U12" s="13">
        <f>COUNTIFS(angemeldet4,"&gt;0",statusKategorie,$B$33)</f>
        <v>0</v>
      </c>
      <c r="V12" s="13">
        <f>COUNTIFS(angemeldet5,"&gt;0",statusKategorie,$B$33)</f>
        <v>0</v>
      </c>
      <c r="W12" s="13">
        <f>COUNTIFS(angemeldet6,"&gt;0",statusKategorie,$B$33)</f>
        <v>0</v>
      </c>
      <c r="X12" s="13">
        <f>COUNTIFS(angemeldet7,"&gt;0",statusKategorie,$B$33)</f>
        <v>0</v>
      </c>
      <c r="Y12" s="13">
        <f>COUNTIFS(angemeldet8,"&gt;0",statusKategorie,$B$33)</f>
        <v>0</v>
      </c>
      <c r="Z12" s="13">
        <f>COUNTIFS(angemeldet9,"&gt;0",statusKategorie,$B$33)</f>
        <v>0</v>
      </c>
      <c r="AA12" s="13">
        <f>COUNTIFS(angemeldet10,"&gt;0",statusKategorie,$B$33)</f>
        <v>0</v>
      </c>
      <c r="AB12" s="13">
        <f>COUNTIFS(angemeldet11,"&gt;0",statusKategorie,$B$33)</f>
        <v>0</v>
      </c>
      <c r="AC12" s="13">
        <f>COUNTIFS(angemeldet12,"&gt;0",statusKategorie,$B$33)</f>
        <v>0</v>
      </c>
      <c r="AD12" s="13">
        <f>COUNTIFS(angemeldet13,"&gt;0",statusKategorie,$B$33)</f>
        <v>0</v>
      </c>
      <c r="AE12" s="13">
        <f>COUNTIFS(angemeldet14,"&gt;0",statusKategorie,$B$33)</f>
        <v>0</v>
      </c>
      <c r="AF12" s="13">
        <f>COUNTIFS(angemeldet15,"&gt;0",statusKategorie,$B$33)</f>
        <v>0</v>
      </c>
      <c r="AG12" s="13">
        <f>COUNTIFS(angemeldet16,"&gt;0",statusKategorie,$B$33)</f>
        <v>0</v>
      </c>
      <c r="AH12" s="13">
        <f>COUNTIFS(angemeldet17,"&gt;0",statusKategorie,$B$33)</f>
        <v>0</v>
      </c>
      <c r="AI12" s="13">
        <f>COUNTIFS(angemeldet18,"&gt;0",statusKategorie,$B$33)</f>
        <v>0</v>
      </c>
      <c r="AJ12" s="13">
        <f>COUNTIFS(angemeldet19,"&gt;0",statusKategorie,$B$33)</f>
        <v>0</v>
      </c>
      <c r="AK12" s="13">
        <f>COUNTIFS(angemeldet20,"&gt;0",statusKategorie,$B$33)</f>
        <v>0</v>
      </c>
      <c r="AL12" s="32">
        <f>SUMIFS(summeStundenMo,statusKategorie,$B$33)</f>
        <v>0</v>
      </c>
      <c r="AM12" s="16">
        <f>SUMIFS(summeVerpflegungMo,statusKategorie,$B$33)</f>
        <v>0</v>
      </c>
      <c r="AN12" s="13">
        <f>COUNTIFS(angemeldet21,"&gt;0",statusKategorie,$B$33)</f>
        <v>0</v>
      </c>
      <c r="AO12" s="13">
        <f>COUNTIFS(angemeldet22,"&gt;0",statusKategorie,$B$33)</f>
        <v>0</v>
      </c>
      <c r="AP12" s="13">
        <f>COUNTIFS(angemeldet23,"&gt;0",statusKategorie,$B$33)</f>
        <v>0</v>
      </c>
      <c r="AQ12" s="13">
        <f>COUNTIFS(angemeldet24,"&gt;0",statusKategorie,$B$33)</f>
        <v>0</v>
      </c>
      <c r="AR12" s="13">
        <f>COUNTIFS(angemeldet25,"&gt;0",statusKategorie,$B$33)</f>
        <v>0</v>
      </c>
      <c r="AS12" s="13">
        <f>COUNTIFS(angemeldet26,"&gt;0",statusKategorie,$B$33)</f>
        <v>0</v>
      </c>
      <c r="AT12" s="13">
        <f>COUNTIFS(angemeldet27,"&gt;0",statusKategorie,$B$33)</f>
        <v>0</v>
      </c>
      <c r="AU12" s="13">
        <f>COUNTIFS(angemeldet28,"&gt;0",statusKategorie,$B$33)</f>
        <v>0</v>
      </c>
      <c r="AV12" s="13">
        <f>COUNTIFS(angemeldet29,"&gt;0",statusKategorie,$B$33)</f>
        <v>0</v>
      </c>
      <c r="AW12" s="13">
        <f>COUNTIFS(angemeldet30,"&gt;0",statusKategorie,$B$33)</f>
        <v>0</v>
      </c>
      <c r="AX12" s="13">
        <f>COUNTIFS(angemeldet31,"&gt;0",statusKategorie,$B$33)</f>
        <v>0</v>
      </c>
      <c r="AY12" s="13">
        <f>COUNTIFS(angemeldet32,"&gt;0",statusKategorie,$B$33)</f>
        <v>0</v>
      </c>
      <c r="AZ12" s="13">
        <f>COUNTIFS(angemeldet33,"&gt;0",statusKategorie,$B$33)</f>
        <v>0</v>
      </c>
      <c r="BA12" s="13">
        <f>COUNTIFS(angemeldet34,"&gt;0",statusKategorie,$B$33)</f>
        <v>0</v>
      </c>
      <c r="BB12" s="13">
        <f>COUNTIFS(angemeldet35,"&gt;0",statusKategorie,$B$33)</f>
        <v>0</v>
      </c>
      <c r="BC12" s="13">
        <f>COUNTIFS(angemeldet36,"&gt;0",statusKategorie,$B$33)</f>
        <v>0</v>
      </c>
      <c r="BD12" s="13">
        <f>COUNTIFS(angemeldet37,"&gt;0",statusKategorie,$B$33)</f>
        <v>0</v>
      </c>
      <c r="BE12" s="13">
        <f>COUNTIFS(angemeldet38,"&gt;0",statusKategorie,$B$33)</f>
        <v>0</v>
      </c>
      <c r="BF12" s="13">
        <f>COUNTIFS(angemeldet39,"&gt;0",statusKategorie,$B$33)</f>
        <v>0</v>
      </c>
      <c r="BG12" s="13">
        <f>COUNTIFS(angemeldet40,"&gt;0",statusKategorie,$B$33)</f>
        <v>0</v>
      </c>
      <c r="BH12" s="32">
        <f>SUMIFS(summeStundenDi,statusKategorie,$B$33)</f>
        <v>0</v>
      </c>
      <c r="BI12" s="16">
        <f>SUMIFS(summeVerpflegungDi,statusKategorie,$B$33)</f>
        <v>0</v>
      </c>
      <c r="BJ12" s="13">
        <f>COUNTIFS(angemeldet41,"&gt;0",statusKategorie,$B$33)</f>
        <v>0</v>
      </c>
      <c r="BK12" s="13">
        <f>COUNTIFS(angemeldet42,"&gt;0",statusKategorie,$B$33)</f>
        <v>0</v>
      </c>
      <c r="BL12" s="13">
        <f>COUNTIFS(angemeldet43,"&gt;0",statusKategorie,$B$33)</f>
        <v>0</v>
      </c>
      <c r="BM12" s="13">
        <f>COUNTIFS(angemeldet44,"&gt;0",statusKategorie,$B$33)</f>
        <v>0</v>
      </c>
      <c r="BN12" s="13">
        <f>COUNTIFS(angemeldet45,"&gt;0",statusKategorie,$B$33)</f>
        <v>0</v>
      </c>
      <c r="BO12" s="13">
        <f>COUNTIFS(angemeldet46,"&gt;0",statusKategorie,$B$33)</f>
        <v>0</v>
      </c>
      <c r="BP12" s="13">
        <f>COUNTIFS(angemeldet47,"&gt;0",statusKategorie,$B$33)</f>
        <v>0</v>
      </c>
      <c r="BQ12" s="13">
        <f>COUNTIFS(angemeldet48,"&gt;0",statusKategorie,$B$33)</f>
        <v>0</v>
      </c>
      <c r="BR12" s="13">
        <f>COUNTIFS(angemeldet49,"&gt;0",statusKategorie,$B$33)</f>
        <v>0</v>
      </c>
      <c r="BS12" s="13">
        <f>COUNTIFS(angemeldet50,"&gt;0",statusKategorie,$B$33)</f>
        <v>0</v>
      </c>
      <c r="BT12" s="13">
        <f>COUNTIFS(angemeldet51,"&gt;0",statusKategorie,$B$33)</f>
        <v>0</v>
      </c>
      <c r="BU12" s="13">
        <f>COUNTIFS(angemeldet52,"&gt;0",statusKategorie,$B$33)</f>
        <v>0</v>
      </c>
      <c r="BV12" s="13">
        <f>COUNTIFS(angemeldet53,"&gt;0",statusKategorie,$B$33)</f>
        <v>0</v>
      </c>
      <c r="BW12" s="13">
        <f>COUNTIFS(angemeldet54,"&gt;0",statusKategorie,$B$33)</f>
        <v>0</v>
      </c>
      <c r="BX12" s="13">
        <f>COUNTIFS(angemeldet55,"&gt;0",statusKategorie,$B$33)</f>
        <v>0</v>
      </c>
      <c r="BY12" s="13">
        <f>COUNTIFS(angemeldet56,"&gt;0",statusKategorie,$B$33)</f>
        <v>0</v>
      </c>
      <c r="BZ12" s="13">
        <f>COUNTIFS(angemeldet57,"&gt;0",statusKategorie,$B$33)</f>
        <v>0</v>
      </c>
      <c r="CA12" s="13">
        <f>COUNTIFS(angemeldet58,"&gt;0",statusKategorie,$B$33)</f>
        <v>0</v>
      </c>
      <c r="CB12" s="13">
        <f>COUNTIFS(angemeldet59,"&gt;0",statusKategorie,$B$33)</f>
        <v>0</v>
      </c>
      <c r="CC12" s="13">
        <f>COUNTIFS(angemeldet60,"&gt;0",statusKategorie,$B$33)</f>
        <v>0</v>
      </c>
      <c r="CD12" s="32">
        <f>SUMIFS(summeStundenMi,statusKategorie,$B$33)</f>
        <v>0</v>
      </c>
      <c r="CE12" s="16">
        <f>SUMIFS(summeVerpflegungMi,statusKategorie,$B$33)</f>
        <v>0</v>
      </c>
      <c r="CF12" s="13">
        <f>COUNTIFS(angemeldet61,"&gt;0",statusKategorie,$B$33)</f>
        <v>0</v>
      </c>
      <c r="CG12" s="13">
        <f>COUNTIFS(angemeldet62,"&gt;0",statusKategorie,$B$33)</f>
        <v>0</v>
      </c>
      <c r="CH12" s="13">
        <f>COUNTIFS(angemeldet63,"&gt;0",statusKategorie,$B$33)</f>
        <v>0</v>
      </c>
      <c r="CI12" s="13">
        <f>COUNTIFS(angemeldet64,"&gt;0",statusKategorie,$B$33)</f>
        <v>0</v>
      </c>
      <c r="CJ12" s="13">
        <f>COUNTIFS(angemeldet65,"&gt;0",statusKategorie,$B$33)</f>
        <v>0</v>
      </c>
      <c r="CK12" s="13">
        <f>COUNTIFS(angemeldet66,"&gt;0",statusKategorie,$B$33)</f>
        <v>0</v>
      </c>
      <c r="CL12" s="13">
        <f>COUNTIFS(angemeldet67,"&gt;0",statusKategorie,$B$33)</f>
        <v>0</v>
      </c>
      <c r="CM12" s="13">
        <f>COUNTIFS(angemeldet68,"&gt;0",statusKategorie,$B$33)</f>
        <v>0</v>
      </c>
      <c r="CN12" s="13">
        <f>COUNTIFS(angemeldet69,"&gt;0",statusKategorie,$B$33)</f>
        <v>0</v>
      </c>
      <c r="CO12" s="13">
        <f>COUNTIFS(angemeldet70,"&gt;0",statusKategorie,$B$33)</f>
        <v>0</v>
      </c>
      <c r="CP12" s="13">
        <f>COUNTIFS(angemeldet71,"&gt;0",statusKategorie,$B$33)</f>
        <v>0</v>
      </c>
      <c r="CQ12" s="13">
        <f>COUNTIFS(angemeldet72,"&gt;0",statusKategorie,$B$33)</f>
        <v>0</v>
      </c>
      <c r="CR12" s="13">
        <f>COUNTIFS(angemeldet73,"&gt;0",statusKategorie,$B$33)</f>
        <v>0</v>
      </c>
      <c r="CS12" s="13">
        <f>COUNTIFS(angemeldet74,"&gt;0",statusKategorie,$B$33)</f>
        <v>0</v>
      </c>
      <c r="CT12" s="13">
        <f>COUNTIFS(angemeldet75,"&gt;0",statusKategorie,$B$33)</f>
        <v>0</v>
      </c>
      <c r="CU12" s="13">
        <f>COUNTIFS(angemeldet76,"&gt;0",statusKategorie,$B$33)</f>
        <v>0</v>
      </c>
      <c r="CV12" s="13">
        <f>COUNTIFS(angemeldet77,"&gt;0",statusKategorie,$B$33)</f>
        <v>0</v>
      </c>
      <c r="CW12" s="13">
        <f>COUNTIFS(angemeldet78,"&gt;0",statusKategorie,$B$33)</f>
        <v>0</v>
      </c>
      <c r="CX12" s="13">
        <f>COUNTIFS(angemeldet79,"&gt;0",statusKategorie,$B$33)</f>
        <v>0</v>
      </c>
      <c r="CY12" s="13">
        <f>COUNTIFS(angemeldet80,"&gt;0",statusKategorie,$B$33)</f>
        <v>0</v>
      </c>
      <c r="CZ12" s="32">
        <f>SUMIFS(summeStundenDo,statusKategorie,$B$33)</f>
        <v>0</v>
      </c>
      <c r="DA12" s="16">
        <f>SUMIFS(summeVerpflegungDo,statusKategorie,$B$33)</f>
        <v>0</v>
      </c>
      <c r="DB12" s="13">
        <f>COUNTIFS(angemeldet81,"&gt;0",statusKategorie,$B$33)</f>
        <v>0</v>
      </c>
      <c r="DC12" s="13">
        <f>COUNTIFS(angemeldet82,"&gt;0",statusKategorie,$B$33)</f>
        <v>0</v>
      </c>
      <c r="DD12" s="13">
        <f>COUNTIFS(angemeldet83,"&gt;0",statusKategorie,$B$33)</f>
        <v>0</v>
      </c>
      <c r="DE12" s="13">
        <f>COUNTIFS(angemeldet84,"&gt;0",statusKategorie,$B$33)</f>
        <v>0</v>
      </c>
      <c r="DF12" s="13">
        <f>COUNTIFS(angemeldet85,"&gt;0",statusKategorie,$B$33)</f>
        <v>0</v>
      </c>
      <c r="DG12" s="13">
        <f>COUNTIFS(angemeldet86,"&gt;0",statusKategorie,$B$33)</f>
        <v>0</v>
      </c>
      <c r="DH12" s="13">
        <f>COUNTIFS(angemeldet87,"&gt;0",statusKategorie,$B$33)</f>
        <v>0</v>
      </c>
      <c r="DI12" s="13">
        <f>COUNTIFS(angemeldet88,"&gt;0",statusKategorie,$B$33)</f>
        <v>0</v>
      </c>
      <c r="DJ12" s="13">
        <f>COUNTIFS(angemeldet89,"&gt;0",statusKategorie,$B$33)</f>
        <v>0</v>
      </c>
      <c r="DK12" s="13">
        <f>COUNTIFS(angemeldet90,"&gt;0",statusKategorie,$B$33)</f>
        <v>0</v>
      </c>
      <c r="DL12" s="13">
        <f>COUNTIFS(angemeldet91,"&gt;0",statusKategorie,$B$33)</f>
        <v>0</v>
      </c>
      <c r="DM12" s="13">
        <f>COUNTIFS(angemeldet92,"&gt;0",statusKategorie,$B$33)</f>
        <v>0</v>
      </c>
      <c r="DN12" s="13">
        <f>COUNTIFS(angemeldet93,"&gt;0",statusKategorie,$B$33)</f>
        <v>0</v>
      </c>
      <c r="DO12" s="13">
        <f>COUNTIFS(angemeldet94,"&gt;0",statusKategorie,$B$33)</f>
        <v>0</v>
      </c>
      <c r="DP12" s="13">
        <f>COUNTIFS(angemeldet95,"&gt;0",statusKategorie,$B$33)</f>
        <v>0</v>
      </c>
      <c r="DQ12" s="13">
        <f>COUNTIFS(angemeldet96,"&gt;0",statusKategorie,$B$33)</f>
        <v>0</v>
      </c>
      <c r="DR12" s="13">
        <f>COUNTIFS(angemeldet97,"&gt;0",statusKategorie,$B$33)</f>
        <v>0</v>
      </c>
      <c r="DS12" s="13">
        <f>COUNTIFS(angemeldet98,"&gt;0",statusKategorie,$B$33)</f>
        <v>0</v>
      </c>
      <c r="DT12" s="13">
        <f>COUNTIFS(angemeldet99,"&gt;0",statusKategorie,$B$33)</f>
        <v>0</v>
      </c>
      <c r="DU12" s="13">
        <f>COUNTIFS(angemeldet100,"&gt;0",statusKategorie,$B$33)</f>
        <v>0</v>
      </c>
      <c r="DV12" s="32">
        <f>SUMIFS(summeStundenFr,statusKategorie,$B$33)</f>
        <v>0</v>
      </c>
      <c r="DW12" s="16">
        <f>SUMIFS(summeVerpflegungFr,statusKategorie,$B$33)</f>
        <v>0</v>
      </c>
      <c r="DX12" s="32">
        <f>SUMIFS(summeStundenWoche,statusKategorie,$B$33)</f>
        <v>0</v>
      </c>
      <c r="DY12" s="41">
        <f>SUMIFS(summeVerpflegungWoche,statusKategorie,$B$33)</f>
        <v>0</v>
      </c>
      <c r="DZ12" s="45"/>
      <c r="EA12" s="39"/>
      <c r="EB12" s="40"/>
    </row>
    <row r="13" spans="1:133" x14ac:dyDescent="0.3">
      <c r="A13" s="49" t="s">
        <v>82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1"/>
      <c r="P13" s="13">
        <f>COUNTIF(statusKategorie,$B$32)</f>
        <v>0</v>
      </c>
      <c r="Q13" s="13"/>
      <c r="R13" s="13">
        <f>COUNTIFS(angemeldet1,"&gt;0",statusKategorie,$B$32)</f>
        <v>0</v>
      </c>
      <c r="S13" s="13">
        <f>COUNTIFS(angemeldet2,"&gt;0",statusKategorie,$B$32)</f>
        <v>0</v>
      </c>
      <c r="T13" s="13">
        <f>COUNTIFS(angemeldet3,"&gt;0",statusKategorie,$B$32)</f>
        <v>0</v>
      </c>
      <c r="U13" s="13">
        <f>COUNTIFS(angemeldet4,"&gt;0",statusKategorie,$B$32)</f>
        <v>0</v>
      </c>
      <c r="V13" s="13">
        <f>COUNTIFS(angemeldet5,"&gt;0",statusKategorie,$B$32)</f>
        <v>0</v>
      </c>
      <c r="W13" s="13">
        <f>COUNTIFS(angemeldet6,"&gt;0",statusKategorie,$B$32)</f>
        <v>0</v>
      </c>
      <c r="X13" s="13">
        <f>COUNTIFS(angemeldet7,"&gt;0",statusKategorie,$B$32)</f>
        <v>0</v>
      </c>
      <c r="Y13" s="13">
        <f>COUNTIFS(angemeldet8,"&gt;0",statusKategorie,$B$32)</f>
        <v>0</v>
      </c>
      <c r="Z13" s="13">
        <f>COUNTIFS(angemeldet9,"&gt;0",statusKategorie,$B$32)</f>
        <v>0</v>
      </c>
      <c r="AA13" s="13">
        <f>COUNTIFS(angemeldet10,"&gt;0",statusKategorie,$B$32)</f>
        <v>0</v>
      </c>
      <c r="AB13" s="13">
        <f>COUNTIFS(angemeldet11,"&gt;0",statusKategorie,$B$32)</f>
        <v>0</v>
      </c>
      <c r="AC13" s="13">
        <f>COUNTIFS(angemeldet12,"&gt;0",statusKategorie,$B$32)</f>
        <v>0</v>
      </c>
      <c r="AD13" s="13">
        <f>COUNTIFS(angemeldet13,"&gt;0",statusKategorie,$B$32)</f>
        <v>0</v>
      </c>
      <c r="AE13" s="13">
        <f>COUNTIFS(angemeldet14,"&gt;0",statusKategorie,$B$32)</f>
        <v>0</v>
      </c>
      <c r="AF13" s="13">
        <f>COUNTIFS(angemeldet15,"&gt;0",statusKategorie,$B$32)</f>
        <v>0</v>
      </c>
      <c r="AG13" s="13">
        <f>COUNTIFS(angemeldet16,"&gt;0",statusKategorie,$B$32)</f>
        <v>0</v>
      </c>
      <c r="AH13" s="13">
        <f>COUNTIFS(angemeldet17,"&gt;0",statusKategorie,$B$32)</f>
        <v>0</v>
      </c>
      <c r="AI13" s="13">
        <f>COUNTIFS(angemeldet18,"&gt;0",statusKategorie,$B$32)</f>
        <v>0</v>
      </c>
      <c r="AJ13" s="13">
        <f>COUNTIFS(angemeldet19,"&gt;0",statusKategorie,$B$32)</f>
        <v>0</v>
      </c>
      <c r="AK13" s="13">
        <f>COUNTIFS(angemeldet20,"&gt;0",statusKategorie,$B$32)</f>
        <v>0</v>
      </c>
      <c r="AL13" s="32">
        <f>SUMIFS(summeStundenMo,statusKategorie,$B$32)</f>
        <v>0</v>
      </c>
      <c r="AM13" s="16">
        <f>SUMIFS(summeVerpflegungMo,statusKategorie,$B$32)</f>
        <v>0</v>
      </c>
      <c r="AN13" s="13">
        <f>COUNTIFS(angemeldet21,"&gt;0",statusKategorie,$B$32)</f>
        <v>0</v>
      </c>
      <c r="AO13" s="13">
        <f>COUNTIFS(angemeldet22,"&gt;0",statusKategorie,$B$32)</f>
        <v>0</v>
      </c>
      <c r="AP13" s="13">
        <f>COUNTIFS(angemeldet23,"&gt;0",statusKategorie,$B$32)</f>
        <v>0</v>
      </c>
      <c r="AQ13" s="13">
        <f>COUNTIFS(angemeldet24,"&gt;0",statusKategorie,$B$32)</f>
        <v>0</v>
      </c>
      <c r="AR13" s="13">
        <f>COUNTIFS(angemeldet25,"&gt;0",statusKategorie,$B$32)</f>
        <v>0</v>
      </c>
      <c r="AS13" s="13">
        <f>COUNTIFS(angemeldet26,"&gt;0",statusKategorie,$B$32)</f>
        <v>0</v>
      </c>
      <c r="AT13" s="13">
        <f>COUNTIFS(angemeldet27,"&gt;0",statusKategorie,$B$32)</f>
        <v>0</v>
      </c>
      <c r="AU13" s="13">
        <f>COUNTIFS(angemeldet28,"&gt;0",statusKategorie,$B$32)</f>
        <v>0</v>
      </c>
      <c r="AV13" s="13">
        <f>COUNTIFS(angemeldet29,"&gt;0",statusKategorie,$B$32)</f>
        <v>0</v>
      </c>
      <c r="AW13" s="13">
        <f>COUNTIFS(angemeldet30,"&gt;0",statusKategorie,$B$32)</f>
        <v>0</v>
      </c>
      <c r="AX13" s="13">
        <f>COUNTIFS(angemeldet31,"&gt;0",statusKategorie,$B$32)</f>
        <v>0</v>
      </c>
      <c r="AY13" s="13">
        <f>COUNTIFS(angemeldet32,"&gt;0",statusKategorie,$B$32)</f>
        <v>0</v>
      </c>
      <c r="AZ13" s="13">
        <f>COUNTIFS(angemeldet33,"&gt;0",statusKategorie,$B$32)</f>
        <v>0</v>
      </c>
      <c r="BA13" s="13">
        <f>COUNTIFS(angemeldet34,"&gt;0",statusKategorie,$B$32)</f>
        <v>0</v>
      </c>
      <c r="BB13" s="13">
        <f>COUNTIFS(angemeldet35,"&gt;0",statusKategorie,$B$32)</f>
        <v>0</v>
      </c>
      <c r="BC13" s="13">
        <f>COUNTIFS(angemeldet36,"&gt;0",statusKategorie,$B$32)</f>
        <v>0</v>
      </c>
      <c r="BD13" s="13">
        <f>COUNTIFS(angemeldet37,"&gt;0",statusKategorie,$B$32)</f>
        <v>0</v>
      </c>
      <c r="BE13" s="13">
        <f>COUNTIFS(angemeldet38,"&gt;0",statusKategorie,$B$32)</f>
        <v>0</v>
      </c>
      <c r="BF13" s="13">
        <f>COUNTIFS(angemeldet39,"&gt;0",statusKategorie,$B$32)</f>
        <v>0</v>
      </c>
      <c r="BG13" s="13">
        <f>COUNTIFS(angemeldet40,"&gt;0",statusKategorie,$B$32)</f>
        <v>0</v>
      </c>
      <c r="BH13" s="32">
        <f>SUMIFS(summeStundenDi,statusKategorie,$B$32)</f>
        <v>0</v>
      </c>
      <c r="BI13" s="16">
        <f>SUMIFS(summeVerpflegungDi,statusKategorie,$B$32)</f>
        <v>0</v>
      </c>
      <c r="BJ13" s="13">
        <f>COUNTIFS(angemeldet41,"&gt;0",statusKategorie,$B$32)</f>
        <v>0</v>
      </c>
      <c r="BK13" s="13">
        <f>COUNTIFS(angemeldet42,"&gt;0",statusKategorie,$B$32)</f>
        <v>0</v>
      </c>
      <c r="BL13" s="13">
        <f>COUNTIFS(angemeldet43,"&gt;0",statusKategorie,$B$32)</f>
        <v>0</v>
      </c>
      <c r="BM13" s="13">
        <f>COUNTIFS(angemeldet44,"&gt;0",statusKategorie,$B$32)</f>
        <v>0</v>
      </c>
      <c r="BN13" s="13">
        <f>COUNTIFS(angemeldet45,"&gt;0",statusKategorie,$B$32)</f>
        <v>0</v>
      </c>
      <c r="BO13" s="13">
        <f>COUNTIFS(angemeldet46,"&gt;0",statusKategorie,$B$32)</f>
        <v>0</v>
      </c>
      <c r="BP13" s="13">
        <f>COUNTIFS(angemeldet47,"&gt;0",statusKategorie,$B$32)</f>
        <v>0</v>
      </c>
      <c r="BQ13" s="13">
        <f>COUNTIFS(angemeldet48,"&gt;0",statusKategorie,$B$32)</f>
        <v>0</v>
      </c>
      <c r="BR13" s="13">
        <f>COUNTIFS(angemeldet49,"&gt;0",statusKategorie,$B$32)</f>
        <v>0</v>
      </c>
      <c r="BS13" s="13">
        <f>COUNTIFS(angemeldet50,"&gt;0",statusKategorie,$B$32)</f>
        <v>0</v>
      </c>
      <c r="BT13" s="13">
        <f>COUNTIFS(angemeldet51,"&gt;0",statusKategorie,$B$32)</f>
        <v>0</v>
      </c>
      <c r="BU13" s="13">
        <f>COUNTIFS(angemeldet52,"&gt;0",statusKategorie,$B$32)</f>
        <v>0</v>
      </c>
      <c r="BV13" s="13">
        <f>COUNTIFS(angemeldet53,"&gt;0",statusKategorie,$B$32)</f>
        <v>0</v>
      </c>
      <c r="BW13" s="13">
        <f>COUNTIFS(angemeldet54,"&gt;0",statusKategorie,$B$32)</f>
        <v>0</v>
      </c>
      <c r="BX13" s="13">
        <f>COUNTIFS(angemeldet55,"&gt;0",statusKategorie,$B$32)</f>
        <v>0</v>
      </c>
      <c r="BY13" s="13">
        <f>COUNTIFS(angemeldet56,"&gt;0",statusKategorie,$B$32)</f>
        <v>0</v>
      </c>
      <c r="BZ13" s="13">
        <f>COUNTIFS(angemeldet57,"&gt;0",statusKategorie,$B$32)</f>
        <v>0</v>
      </c>
      <c r="CA13" s="13">
        <f>COUNTIFS(angemeldet58,"&gt;0",statusKategorie,$B$32)</f>
        <v>0</v>
      </c>
      <c r="CB13" s="13">
        <f>COUNTIFS(angemeldet59,"&gt;0",statusKategorie,$B$32)</f>
        <v>0</v>
      </c>
      <c r="CC13" s="13">
        <f>COUNTIFS(angemeldet60,"&gt;0",statusKategorie,$B$32)</f>
        <v>0</v>
      </c>
      <c r="CD13" s="32">
        <f>SUMIFS(summeStundenMi,statusKategorie,$B$32)</f>
        <v>0</v>
      </c>
      <c r="CE13" s="16">
        <f>SUMIFS(summeVerpflegungMi,statusKategorie,$B$32)</f>
        <v>0</v>
      </c>
      <c r="CF13" s="13">
        <f>COUNTIFS(angemeldet61,"&gt;0",statusKategorie,$B$32)</f>
        <v>0</v>
      </c>
      <c r="CG13" s="13">
        <f>COUNTIFS(angemeldet62,"&gt;0",statusKategorie,$B$32)</f>
        <v>0</v>
      </c>
      <c r="CH13" s="13">
        <f>COUNTIFS(angemeldet63,"&gt;0",statusKategorie,$B$32)</f>
        <v>0</v>
      </c>
      <c r="CI13" s="13">
        <f>COUNTIFS(angemeldet64,"&gt;0",statusKategorie,$B$32)</f>
        <v>0</v>
      </c>
      <c r="CJ13" s="13">
        <f>COUNTIFS(angemeldet65,"&gt;0",statusKategorie,$B$32)</f>
        <v>0</v>
      </c>
      <c r="CK13" s="13">
        <f>COUNTIFS(angemeldet66,"&gt;0",statusKategorie,$B$32)</f>
        <v>0</v>
      </c>
      <c r="CL13" s="13">
        <f>COUNTIFS(angemeldet67,"&gt;0",statusKategorie,$B$32)</f>
        <v>0</v>
      </c>
      <c r="CM13" s="13">
        <f>COUNTIFS(angemeldet68,"&gt;0",statusKategorie,$B$32)</f>
        <v>0</v>
      </c>
      <c r="CN13" s="13">
        <f>COUNTIFS(angemeldet69,"&gt;0",statusKategorie,$B$32)</f>
        <v>0</v>
      </c>
      <c r="CO13" s="13">
        <f>COUNTIFS(angemeldet70,"&gt;0",statusKategorie,$B$32)</f>
        <v>0</v>
      </c>
      <c r="CP13" s="13">
        <f>COUNTIFS(angemeldet71,"&gt;0",statusKategorie,$B$32)</f>
        <v>0</v>
      </c>
      <c r="CQ13" s="13">
        <f>COUNTIFS(angemeldet72,"&gt;0",statusKategorie,$B$32)</f>
        <v>0</v>
      </c>
      <c r="CR13" s="13">
        <f>COUNTIFS(angemeldet73,"&gt;0",statusKategorie,$B$32)</f>
        <v>0</v>
      </c>
      <c r="CS13" s="13">
        <f>COUNTIFS(angemeldet74,"&gt;0",statusKategorie,$B$32)</f>
        <v>0</v>
      </c>
      <c r="CT13" s="13">
        <f>COUNTIFS(angemeldet75,"&gt;0",statusKategorie,$B$32)</f>
        <v>0</v>
      </c>
      <c r="CU13" s="13">
        <f>COUNTIFS(angemeldet76,"&gt;0",statusKategorie,$B$32)</f>
        <v>0</v>
      </c>
      <c r="CV13" s="13">
        <f>COUNTIFS(angemeldet77,"&gt;0",statusKategorie,$B$32)</f>
        <v>0</v>
      </c>
      <c r="CW13" s="13">
        <f>COUNTIFS(angemeldet78,"&gt;0",statusKategorie,$B$32)</f>
        <v>0</v>
      </c>
      <c r="CX13" s="13">
        <f>COUNTIFS(angemeldet79,"&gt;0",statusKategorie,$B$32)</f>
        <v>0</v>
      </c>
      <c r="CY13" s="13">
        <f>COUNTIFS(angemeldet80,"&gt;0",statusKategorie,$B$32)</f>
        <v>0</v>
      </c>
      <c r="CZ13" s="32">
        <f>SUMIFS(summeStundenDo,statusKategorie,$B$32)</f>
        <v>0</v>
      </c>
      <c r="DA13" s="16">
        <f>SUMIFS(summeVerpflegungDo,statusKategorie,$B$32)</f>
        <v>0</v>
      </c>
      <c r="DB13" s="13">
        <f>COUNTIFS(angemeldet81,"&gt;0",statusKategorie,$B$32)</f>
        <v>0</v>
      </c>
      <c r="DC13" s="13">
        <f>COUNTIFS(angemeldet82,"&gt;0",statusKategorie,$B$32)</f>
        <v>0</v>
      </c>
      <c r="DD13" s="13">
        <f>COUNTIFS(angemeldet83,"&gt;0",statusKategorie,$B$32)</f>
        <v>0</v>
      </c>
      <c r="DE13" s="13">
        <f>COUNTIFS(angemeldet84,"&gt;0",statusKategorie,$B$32)</f>
        <v>0</v>
      </c>
      <c r="DF13" s="13">
        <f>COUNTIFS(angemeldet85,"&gt;0",statusKategorie,$B$32)</f>
        <v>0</v>
      </c>
      <c r="DG13" s="13">
        <f>COUNTIFS(angemeldet86,"&gt;0",statusKategorie,$B$32)</f>
        <v>0</v>
      </c>
      <c r="DH13" s="13">
        <f>COUNTIFS(angemeldet87,"&gt;0",statusKategorie,$B$32)</f>
        <v>0</v>
      </c>
      <c r="DI13" s="13">
        <f>COUNTIFS(angemeldet88,"&gt;0",statusKategorie,$B$32)</f>
        <v>0</v>
      </c>
      <c r="DJ13" s="13">
        <f>COUNTIFS(angemeldet89,"&gt;0",statusKategorie,$B$32)</f>
        <v>0</v>
      </c>
      <c r="DK13" s="13">
        <f>COUNTIFS(angemeldet90,"&gt;0",statusKategorie,$B$32)</f>
        <v>0</v>
      </c>
      <c r="DL13" s="13">
        <f>COUNTIFS(angemeldet91,"&gt;0",statusKategorie,$B$32)</f>
        <v>0</v>
      </c>
      <c r="DM13" s="13">
        <f>COUNTIFS(angemeldet92,"&gt;0",statusKategorie,$B$32)</f>
        <v>0</v>
      </c>
      <c r="DN13" s="13">
        <f>COUNTIFS(angemeldet93,"&gt;0",statusKategorie,$B$32)</f>
        <v>0</v>
      </c>
      <c r="DO13" s="13">
        <f>COUNTIFS(angemeldet94,"&gt;0",statusKategorie,$B$32)</f>
        <v>0</v>
      </c>
      <c r="DP13" s="13">
        <f>COUNTIFS(angemeldet95,"&gt;0",statusKategorie,$B$32)</f>
        <v>0</v>
      </c>
      <c r="DQ13" s="13">
        <f>COUNTIFS(angemeldet96,"&gt;0",statusKategorie,$B$32)</f>
        <v>0</v>
      </c>
      <c r="DR13" s="13">
        <f>COUNTIFS(angemeldet97,"&gt;0",statusKategorie,$B$32)</f>
        <v>0</v>
      </c>
      <c r="DS13" s="13">
        <f>COUNTIFS(angemeldet98,"&gt;0",statusKategorie,$B$32)</f>
        <v>0</v>
      </c>
      <c r="DT13" s="13">
        <f>COUNTIFS(angemeldet99,"&gt;0",statusKategorie,$B$32)</f>
        <v>0</v>
      </c>
      <c r="DU13" s="13">
        <f>COUNTIFS(angemeldet100,"&gt;0",statusKategorie,$B$32)</f>
        <v>0</v>
      </c>
      <c r="DV13" s="32">
        <f>SUMIFS(summeStundenFr,statusKategorie,$B$32)</f>
        <v>0</v>
      </c>
      <c r="DW13" s="16">
        <f>SUMIFS(summeVerpflegungFr,statusKategorie,$B$32)</f>
        <v>0</v>
      </c>
      <c r="DX13" s="32">
        <f>SUMIFS(summeStundenWoche,statusKategorie,$B$32)</f>
        <v>0</v>
      </c>
      <c r="DY13" s="42">
        <f>SUMIFS(summeVerpflegungWoche,statusKategorie,$B$32)</f>
        <v>0</v>
      </c>
      <c r="DZ13" s="46"/>
      <c r="EA13" s="28"/>
      <c r="EB13" s="44"/>
    </row>
    <row r="14" spans="1:133" x14ac:dyDescent="0.3">
      <c r="A14" s="49" t="s">
        <v>83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1"/>
      <c r="P14" s="13">
        <f>COUNTIF(statusKategorie,$B$31)</f>
        <v>0</v>
      </c>
      <c r="Q14" s="13"/>
      <c r="R14" s="13">
        <f>COUNTIFS(angemeldet1,"&gt;0",statusKategorie,$B$31)</f>
        <v>0</v>
      </c>
      <c r="S14" s="13">
        <f>COUNTIFS(angemeldet2,"&gt;0",statusKategorie,$B$31)</f>
        <v>0</v>
      </c>
      <c r="T14" s="13">
        <f>COUNTIFS(angemeldet3,"&gt;0",statusKategorie,$B$31)</f>
        <v>0</v>
      </c>
      <c r="U14" s="13">
        <f>COUNTIFS(angemeldet4,"&gt;0",statusKategorie,$B$31)</f>
        <v>0</v>
      </c>
      <c r="V14" s="13">
        <f>COUNTIFS(angemeldet5,"&gt;0",statusKategorie,$B$31)</f>
        <v>0</v>
      </c>
      <c r="W14" s="13">
        <f>COUNTIFS(angemeldet6,"&gt;0",statusKategorie,$B$31)</f>
        <v>0</v>
      </c>
      <c r="X14" s="13">
        <f>COUNTIFS(angemeldet7,"&gt;0",statusKategorie,$B$31)</f>
        <v>0</v>
      </c>
      <c r="Y14" s="13">
        <f>COUNTIFS(angemeldet8,"&gt;0",statusKategorie,$B$31)</f>
        <v>0</v>
      </c>
      <c r="Z14" s="13">
        <f>COUNTIFS(angemeldet9,"&gt;0",statusKategorie,$B$31)</f>
        <v>0</v>
      </c>
      <c r="AA14" s="13">
        <f>COUNTIFS(angemeldet10,"&gt;0",statusKategorie,$B$31)</f>
        <v>0</v>
      </c>
      <c r="AB14" s="13">
        <f>COUNTIFS(angemeldet11,"&gt;0",statusKategorie,$B$31)</f>
        <v>0</v>
      </c>
      <c r="AC14" s="13">
        <f>COUNTIFS(angemeldet12,"&gt;0",statusKategorie,$B$31)</f>
        <v>0</v>
      </c>
      <c r="AD14" s="13">
        <f>COUNTIFS(angemeldet13,"&gt;0",statusKategorie,$B$31)</f>
        <v>0</v>
      </c>
      <c r="AE14" s="13">
        <f>COUNTIFS(angemeldet14,"&gt;0",statusKategorie,$B$31)</f>
        <v>0</v>
      </c>
      <c r="AF14" s="13">
        <f>COUNTIFS(angemeldet15,"&gt;0",statusKategorie,$B$31)</f>
        <v>0</v>
      </c>
      <c r="AG14" s="13">
        <f>COUNTIFS(angemeldet16,"&gt;0",statusKategorie,$B$31)</f>
        <v>0</v>
      </c>
      <c r="AH14" s="13">
        <f>COUNTIFS(angemeldet17,"&gt;0",statusKategorie,$B$31)</f>
        <v>0</v>
      </c>
      <c r="AI14" s="13">
        <f>COUNTIFS(angemeldet18,"&gt;0",statusKategorie,$B$31)</f>
        <v>0</v>
      </c>
      <c r="AJ14" s="13">
        <f>COUNTIFS(angemeldet19,"&gt;0",statusKategorie,$B$31)</f>
        <v>0</v>
      </c>
      <c r="AK14" s="13">
        <f>COUNTIFS(angemeldet20,"&gt;0",statusKategorie,$B$31)</f>
        <v>0</v>
      </c>
      <c r="AL14" s="33">
        <f>SUMIFS(summeStundenMo,statusKategorie,$B$31)</f>
        <v>0</v>
      </c>
      <c r="AM14" s="23">
        <f>SUMIFS(summeVerpflegungMo,statusKategorie,$B$31)</f>
        <v>0</v>
      </c>
      <c r="AN14" s="13">
        <f>COUNTIFS(angemeldet21,"&gt;0",statusKategorie,$B$31)</f>
        <v>0</v>
      </c>
      <c r="AO14" s="13">
        <f>COUNTIFS(angemeldet22,"&gt;0",statusKategorie,$B$31)</f>
        <v>0</v>
      </c>
      <c r="AP14" s="13">
        <f>COUNTIFS(angemeldet23,"&gt;0",statusKategorie,$B$31)</f>
        <v>0</v>
      </c>
      <c r="AQ14" s="13">
        <f>COUNTIFS(angemeldet24,"&gt;0",statusKategorie,$B$31)</f>
        <v>0</v>
      </c>
      <c r="AR14" s="13">
        <f>COUNTIFS(angemeldet25,"&gt;0",statusKategorie,$B$31)</f>
        <v>0</v>
      </c>
      <c r="AS14" s="13">
        <f>COUNTIFS(angemeldet26,"&gt;0",statusKategorie,$B$31)</f>
        <v>0</v>
      </c>
      <c r="AT14" s="13">
        <f>COUNTIFS(angemeldet27,"&gt;0",statusKategorie,$B$31)</f>
        <v>0</v>
      </c>
      <c r="AU14" s="13">
        <f>COUNTIFS(angemeldet28,"&gt;0",statusKategorie,$B$31)</f>
        <v>0</v>
      </c>
      <c r="AV14" s="13">
        <f>COUNTIFS(angemeldet29,"&gt;0",statusKategorie,$B$31)</f>
        <v>0</v>
      </c>
      <c r="AW14" s="13">
        <f>COUNTIFS(angemeldet30,"&gt;0",statusKategorie,$B$31)</f>
        <v>0</v>
      </c>
      <c r="AX14" s="13">
        <f>COUNTIFS(angemeldet31,"&gt;0",statusKategorie,$B$31)</f>
        <v>0</v>
      </c>
      <c r="AY14" s="13">
        <f>COUNTIFS(angemeldet32,"&gt;0",statusKategorie,$B$31)</f>
        <v>0</v>
      </c>
      <c r="AZ14" s="13">
        <f>COUNTIFS(angemeldet33,"&gt;0",statusKategorie,$B$31)</f>
        <v>0</v>
      </c>
      <c r="BA14" s="13">
        <f>COUNTIFS(angemeldet34,"&gt;0",statusKategorie,$B$31)</f>
        <v>0</v>
      </c>
      <c r="BB14" s="13">
        <f>COUNTIFS(angemeldet35,"&gt;0",statusKategorie,$B$31)</f>
        <v>0</v>
      </c>
      <c r="BC14" s="13">
        <f>COUNTIFS(angemeldet36,"&gt;0",statusKategorie,$B$31)</f>
        <v>0</v>
      </c>
      <c r="BD14" s="13">
        <f>COUNTIFS(angemeldet37,"&gt;0",statusKategorie,$B$31)</f>
        <v>0</v>
      </c>
      <c r="BE14" s="13">
        <f>COUNTIFS(angemeldet38,"&gt;0",statusKategorie,$B$31)</f>
        <v>0</v>
      </c>
      <c r="BF14" s="13">
        <f>COUNTIFS(angemeldet39,"&gt;0",statusKategorie,$B$31)</f>
        <v>0</v>
      </c>
      <c r="BG14" s="13">
        <f>COUNTIFS(angemeldet40,"&gt;0",statusKategorie,$B$31)</f>
        <v>0</v>
      </c>
      <c r="BH14" s="33">
        <f>SUMIFS(summeStundenDi,statusKategorie,$B$31)</f>
        <v>0</v>
      </c>
      <c r="BI14" s="23">
        <f>SUMIFS(summeVerpflegungDi,statusKategorie,$B$31)</f>
        <v>0</v>
      </c>
      <c r="BJ14" s="13">
        <f>COUNTIFS(angemeldet41,"&gt;0",statusKategorie,$B$31)</f>
        <v>0</v>
      </c>
      <c r="BK14" s="13">
        <f>COUNTIFS(angemeldet42,"&gt;0",statusKategorie,$B$31)</f>
        <v>0</v>
      </c>
      <c r="BL14" s="13">
        <f>COUNTIFS(angemeldet43,"&gt;0",statusKategorie,$B$31)</f>
        <v>0</v>
      </c>
      <c r="BM14" s="13">
        <f>COUNTIFS(angemeldet44,"&gt;0",statusKategorie,$B$31)</f>
        <v>0</v>
      </c>
      <c r="BN14" s="13">
        <f>COUNTIFS(angemeldet45,"&gt;0",statusKategorie,$B$31)</f>
        <v>0</v>
      </c>
      <c r="BO14" s="13">
        <f>COUNTIFS(angemeldet46,"&gt;0",statusKategorie,$B$31)</f>
        <v>0</v>
      </c>
      <c r="BP14" s="13">
        <f>COUNTIFS(angemeldet47,"&gt;0",statusKategorie,$B$31)</f>
        <v>0</v>
      </c>
      <c r="BQ14" s="13">
        <f>COUNTIFS(angemeldet48,"&gt;0",statusKategorie,$B$31)</f>
        <v>0</v>
      </c>
      <c r="BR14" s="13">
        <f>COUNTIFS(angemeldet49,"&gt;0",statusKategorie,$B$31)</f>
        <v>0</v>
      </c>
      <c r="BS14" s="13">
        <f>COUNTIFS(angemeldet50,"&gt;0",statusKategorie,$B$31)</f>
        <v>0</v>
      </c>
      <c r="BT14" s="13">
        <f>COUNTIFS(angemeldet51,"&gt;0",statusKategorie,$B$31)</f>
        <v>0</v>
      </c>
      <c r="BU14" s="13">
        <f>COUNTIFS(angemeldet52,"&gt;0",statusKategorie,$B$31)</f>
        <v>0</v>
      </c>
      <c r="BV14" s="13">
        <f>COUNTIFS(angemeldet53,"&gt;0",statusKategorie,$B$31)</f>
        <v>0</v>
      </c>
      <c r="BW14" s="13">
        <f>COUNTIFS(angemeldet54,"&gt;0",statusKategorie,$B$31)</f>
        <v>0</v>
      </c>
      <c r="BX14" s="13">
        <f>COUNTIFS(angemeldet55,"&gt;0",statusKategorie,$B$31)</f>
        <v>0</v>
      </c>
      <c r="BY14" s="13">
        <f>COUNTIFS(angemeldet56,"&gt;0",statusKategorie,$B$31)</f>
        <v>0</v>
      </c>
      <c r="BZ14" s="13">
        <f>COUNTIFS(angemeldet57,"&gt;0",statusKategorie,$B$31)</f>
        <v>0</v>
      </c>
      <c r="CA14" s="13">
        <f>COUNTIFS(angemeldet58,"&gt;0",statusKategorie,$B$31)</f>
        <v>0</v>
      </c>
      <c r="CB14" s="13">
        <f>COUNTIFS(angemeldet59,"&gt;0",statusKategorie,$B$31)</f>
        <v>0</v>
      </c>
      <c r="CC14" s="13">
        <f>COUNTIFS(angemeldet60,"&gt;0",statusKategorie,$B$31)</f>
        <v>0</v>
      </c>
      <c r="CD14" s="33">
        <f>SUMIFS(summeStundenMi,statusKategorie,$B$31)</f>
        <v>0</v>
      </c>
      <c r="CE14" s="23">
        <f>SUMIFS(summeVerpflegungMi,statusKategorie,$B$31)</f>
        <v>0</v>
      </c>
      <c r="CF14" s="13">
        <f>COUNTIFS(angemeldet61,"&gt;0",statusKategorie,$B$31)</f>
        <v>0</v>
      </c>
      <c r="CG14" s="13">
        <f>COUNTIFS(angemeldet62,"&gt;0",statusKategorie,$B$31)</f>
        <v>0</v>
      </c>
      <c r="CH14" s="13">
        <f>COUNTIFS(angemeldet63,"&gt;0",statusKategorie,$B$31)</f>
        <v>0</v>
      </c>
      <c r="CI14" s="13">
        <f>COUNTIFS(angemeldet64,"&gt;0",statusKategorie,$B$31)</f>
        <v>0</v>
      </c>
      <c r="CJ14" s="13">
        <f>COUNTIFS(angemeldet65,"&gt;0",statusKategorie,$B$31)</f>
        <v>0</v>
      </c>
      <c r="CK14" s="13">
        <f>COUNTIFS(angemeldet66,"&gt;0",statusKategorie,$B$31)</f>
        <v>0</v>
      </c>
      <c r="CL14" s="13">
        <f>COUNTIFS(angemeldet67,"&gt;0",statusKategorie,$B$31)</f>
        <v>0</v>
      </c>
      <c r="CM14" s="13">
        <f>COUNTIFS(angemeldet68,"&gt;0",statusKategorie,$B$31)</f>
        <v>0</v>
      </c>
      <c r="CN14" s="13">
        <f>COUNTIFS(angemeldet69,"&gt;0",statusKategorie,$B$31)</f>
        <v>0</v>
      </c>
      <c r="CO14" s="13">
        <f>COUNTIFS(angemeldet70,"&gt;0",statusKategorie,$B$31)</f>
        <v>0</v>
      </c>
      <c r="CP14" s="13">
        <f>COUNTIFS(angemeldet71,"&gt;0",statusKategorie,$B$31)</f>
        <v>0</v>
      </c>
      <c r="CQ14" s="13">
        <f>COUNTIFS(angemeldet72,"&gt;0",statusKategorie,$B$31)</f>
        <v>0</v>
      </c>
      <c r="CR14" s="13">
        <f>COUNTIFS(angemeldet73,"&gt;0",statusKategorie,$B$31)</f>
        <v>0</v>
      </c>
      <c r="CS14" s="13">
        <f>COUNTIFS(angemeldet74,"&gt;0",statusKategorie,$B$31)</f>
        <v>0</v>
      </c>
      <c r="CT14" s="13">
        <f>COUNTIFS(angemeldet75,"&gt;0",statusKategorie,$B$31)</f>
        <v>0</v>
      </c>
      <c r="CU14" s="13">
        <f>COUNTIFS(angemeldet76,"&gt;0",statusKategorie,$B$31)</f>
        <v>0</v>
      </c>
      <c r="CV14" s="13">
        <f>COUNTIFS(angemeldet77,"&gt;0",statusKategorie,$B$31)</f>
        <v>0</v>
      </c>
      <c r="CW14" s="13">
        <f>COUNTIFS(angemeldet78,"&gt;0",statusKategorie,$B$31)</f>
        <v>0</v>
      </c>
      <c r="CX14" s="13">
        <f>COUNTIFS(angemeldet79,"&gt;0",statusKategorie,$B$31)</f>
        <v>0</v>
      </c>
      <c r="CY14" s="13">
        <f>COUNTIFS(angemeldet80,"&gt;0",statusKategorie,$B$31)</f>
        <v>0</v>
      </c>
      <c r="CZ14" s="33">
        <f>SUMIFS(summeStundenDo,statusKategorie,$B$31)</f>
        <v>0</v>
      </c>
      <c r="DA14" s="23">
        <f>SUMIFS(summeVerpflegungDo,statusKategorie,$B$31)</f>
        <v>0</v>
      </c>
      <c r="DB14" s="13">
        <f>COUNTIFS(angemeldet81,"&gt;0",statusKategorie,$B$31)</f>
        <v>0</v>
      </c>
      <c r="DC14" s="13">
        <f>COUNTIFS(angemeldet82,"&gt;0",statusKategorie,$B$31)</f>
        <v>0</v>
      </c>
      <c r="DD14" s="13">
        <f>COUNTIFS(angemeldet83,"&gt;0",statusKategorie,$B$31)</f>
        <v>0</v>
      </c>
      <c r="DE14" s="13">
        <f>COUNTIFS(angemeldet84,"&gt;0",statusKategorie,$B$31)</f>
        <v>0</v>
      </c>
      <c r="DF14" s="13">
        <f>COUNTIFS(angemeldet85,"&gt;0",statusKategorie,$B$31)</f>
        <v>0</v>
      </c>
      <c r="DG14" s="13">
        <f>COUNTIFS(angemeldet86,"&gt;0",statusKategorie,$B$31)</f>
        <v>0</v>
      </c>
      <c r="DH14" s="13">
        <f>COUNTIFS(angemeldet87,"&gt;0",statusKategorie,$B$31)</f>
        <v>0</v>
      </c>
      <c r="DI14" s="13">
        <f>COUNTIFS(angemeldet88,"&gt;0",statusKategorie,$B$31)</f>
        <v>0</v>
      </c>
      <c r="DJ14" s="13">
        <f>COUNTIFS(angemeldet89,"&gt;0",statusKategorie,$B$31)</f>
        <v>0</v>
      </c>
      <c r="DK14" s="13">
        <f>COUNTIFS(angemeldet90,"&gt;0",statusKategorie,$B$31)</f>
        <v>0</v>
      </c>
      <c r="DL14" s="13">
        <f>COUNTIFS(angemeldet91,"&gt;0",statusKategorie,$B$31)</f>
        <v>0</v>
      </c>
      <c r="DM14" s="13">
        <f>COUNTIFS(angemeldet92,"&gt;0",statusKategorie,$B$31)</f>
        <v>0</v>
      </c>
      <c r="DN14" s="13">
        <f>COUNTIFS(angemeldet93,"&gt;0",statusKategorie,$B$31)</f>
        <v>0</v>
      </c>
      <c r="DO14" s="13">
        <f>COUNTIFS(angemeldet94,"&gt;0",statusKategorie,$B$31)</f>
        <v>0</v>
      </c>
      <c r="DP14" s="13">
        <f>COUNTIFS(angemeldet95,"&gt;0",statusKategorie,$B$31)</f>
        <v>0</v>
      </c>
      <c r="DQ14" s="13">
        <f>COUNTIFS(angemeldet96,"&gt;0",statusKategorie,$B$31)</f>
        <v>0</v>
      </c>
      <c r="DR14" s="13">
        <f>COUNTIFS(angemeldet97,"&gt;0",statusKategorie,$B$31)</f>
        <v>0</v>
      </c>
      <c r="DS14" s="13">
        <f>COUNTIFS(angemeldet98,"&gt;0",statusKategorie,$B$31)</f>
        <v>0</v>
      </c>
      <c r="DT14" s="13">
        <f>COUNTIFS(angemeldet99,"&gt;0",statusKategorie,$B$31)</f>
        <v>0</v>
      </c>
      <c r="DU14" s="13">
        <f>COUNTIFS(angemeldet100,"&gt;0",statusKategorie,$B$31)</f>
        <v>0</v>
      </c>
      <c r="DV14" s="33">
        <f>SUMIFS(summeStundenFr,statusKategorie,$B$31)</f>
        <v>0</v>
      </c>
      <c r="DW14" s="23">
        <f>SUMIFS(summeVerpflegungFr,statusKategorie,$B$31)</f>
        <v>0</v>
      </c>
      <c r="DX14" s="33">
        <f>SUMIFS(summeStundenWoche,statusKategorie,$B$31)</f>
        <v>0</v>
      </c>
      <c r="DY14" s="43">
        <f>SUMIFS(summeVerpflegungWoche,statusKategorie,$B$31)</f>
        <v>0</v>
      </c>
      <c r="DZ14" s="47"/>
      <c r="EA14" s="38"/>
      <c r="EB14" s="36"/>
    </row>
    <row r="15" spans="1:133" x14ac:dyDescent="0.3">
      <c r="A15" s="6" t="s">
        <v>1</v>
      </c>
      <c r="B15" s="6" t="s">
        <v>2</v>
      </c>
      <c r="C15" s="12" t="s">
        <v>4</v>
      </c>
      <c r="D15" s="12" t="s">
        <v>64</v>
      </c>
      <c r="E15" s="12" t="s">
        <v>65</v>
      </c>
      <c r="F15" s="12" t="s">
        <v>66</v>
      </c>
      <c r="G15" s="12" t="s">
        <v>73</v>
      </c>
      <c r="H15" s="12" t="s">
        <v>74</v>
      </c>
      <c r="I15" s="12" t="s">
        <v>67</v>
      </c>
      <c r="J15" s="12" t="s">
        <v>68</v>
      </c>
      <c r="K15" s="12" t="s">
        <v>69</v>
      </c>
      <c r="L15" s="12" t="s">
        <v>75</v>
      </c>
      <c r="M15" s="12" t="s">
        <v>76</v>
      </c>
      <c r="N15" s="7" t="s">
        <v>3</v>
      </c>
      <c r="O15" s="7" t="s">
        <v>56</v>
      </c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4" t="s">
        <v>8</v>
      </c>
      <c r="AL15" s="26"/>
      <c r="AM15" s="27"/>
      <c r="AN15" s="24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4" t="s">
        <v>8</v>
      </c>
      <c r="BH15" s="26"/>
      <c r="BI15" s="27"/>
      <c r="BJ15" s="24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4" t="s">
        <v>8</v>
      </c>
      <c r="CD15" s="26"/>
      <c r="CE15" s="27"/>
      <c r="CF15" s="24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4" t="s">
        <v>8</v>
      </c>
      <c r="CZ15" s="26"/>
      <c r="DA15" s="27"/>
      <c r="DB15" s="24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4" t="s">
        <v>8</v>
      </c>
      <c r="DV15" s="26"/>
      <c r="DW15" s="27"/>
      <c r="DX15" s="30"/>
      <c r="DY15" s="37"/>
      <c r="DZ15" s="48" t="s">
        <v>80</v>
      </c>
      <c r="EA15" s="71" t="s">
        <v>77</v>
      </c>
      <c r="EB15" s="72"/>
      <c r="EC15" t="s">
        <v>42</v>
      </c>
    </row>
    <row r="16" spans="1:133" x14ac:dyDescent="0.3">
      <c r="A16" s="49" t="s">
        <v>84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1"/>
      <c r="P16" s="13">
        <f>COUNTIF(freigegebenKategorie,$B$34)</f>
        <v>0</v>
      </c>
      <c r="Q16" s="13"/>
      <c r="R16" s="13">
        <f>COUNTIF(nichtFreigegeben1,"&gt;0")</f>
        <v>0</v>
      </c>
      <c r="S16" s="13">
        <f>COUNTIF(nichtFreigegeben2,"&gt;0")</f>
        <v>0</v>
      </c>
      <c r="T16" s="13">
        <f>COUNTIF(nichtFreigegeben3,"&gt;0")</f>
        <v>0</v>
      </c>
      <c r="U16" s="13">
        <f>COUNTIF(nichtFreigegeben4,"&gt;0")</f>
        <v>0</v>
      </c>
      <c r="V16" s="13">
        <f>COUNTIF(nichtFreigegeben5,"&gt;0")</f>
        <v>0</v>
      </c>
      <c r="W16" s="13">
        <f>COUNTIF(nichtFreigegeben6,"&gt;0")</f>
        <v>0</v>
      </c>
      <c r="X16" s="13">
        <f>COUNTIF(nichtFreigegeben7,"&gt;0")</f>
        <v>0</v>
      </c>
      <c r="Y16" s="13">
        <f>COUNTIF(nichtFreigegeben8,"&gt;0")</f>
        <v>0</v>
      </c>
      <c r="Z16" s="13">
        <f>COUNTIF(nichtFreigegeben9,"&gt;0")</f>
        <v>0</v>
      </c>
      <c r="AA16" s="13">
        <f>COUNTIF(nichtFreigegeben10,"&gt;0")</f>
        <v>0</v>
      </c>
      <c r="AB16" s="13">
        <f>COUNTIF(nichtFreigegeben11,"&gt;0")</f>
        <v>0</v>
      </c>
      <c r="AC16" s="13">
        <f>COUNTIF(nichtFreigegeben12,"&gt;0")</f>
        <v>0</v>
      </c>
      <c r="AD16" s="13">
        <f>COUNTIF(nichtFreigegeben13,"&gt;0")</f>
        <v>0</v>
      </c>
      <c r="AE16" s="13">
        <f>COUNTIF(nichtFreigegeben14,"&gt;0")</f>
        <v>0</v>
      </c>
      <c r="AF16" s="13">
        <f>COUNTIF(nichtFreigegeben15,"&gt;0")</f>
        <v>0</v>
      </c>
      <c r="AG16" s="13">
        <f>COUNTIF(nichtFreigegeben16,"&gt;0")</f>
        <v>0</v>
      </c>
      <c r="AH16" s="13">
        <f>COUNTIF(nichtFreigegeben17,"&gt;0")</f>
        <v>0</v>
      </c>
      <c r="AI16" s="13">
        <f>COUNTIF(nichtFreigegeben18,"&gt;0")</f>
        <v>0</v>
      </c>
      <c r="AJ16" s="13">
        <f>COUNTIF(nichtFreigegeben19,"&gt;0")</f>
        <v>0</v>
      </c>
      <c r="AK16" s="13">
        <f>COUNTIF(nichtFreigegeben20,"&gt;0")</f>
        <v>0</v>
      </c>
      <c r="AL16" s="28"/>
      <c r="AM16" s="28"/>
      <c r="AN16" s="13">
        <f>COUNTIF(nichtFreigegeben21,"&gt;0")</f>
        <v>0</v>
      </c>
      <c r="AO16" s="13">
        <f>COUNTIF(nichtFreigegeben22,"&gt;0")</f>
        <v>0</v>
      </c>
      <c r="AP16" s="13">
        <f>COUNTIF(nichtFreigegeben23,"&gt;0")</f>
        <v>0</v>
      </c>
      <c r="AQ16" s="13">
        <f>COUNTIF(nichtFreigegeben24,"&gt;0")</f>
        <v>0</v>
      </c>
      <c r="AR16" s="13">
        <f>COUNTIF(nichtFreigegeben25,"&gt;0")</f>
        <v>0</v>
      </c>
      <c r="AS16" s="13">
        <f>COUNTIF(nichtFreigegeben26,"&gt;0")</f>
        <v>0</v>
      </c>
      <c r="AT16" s="13">
        <f>COUNTIF(nichtFreigegeben27,"&gt;0")</f>
        <v>0</v>
      </c>
      <c r="AU16" s="13">
        <f>COUNTIF(nichtFreigegeben28,"&gt;0")</f>
        <v>0</v>
      </c>
      <c r="AV16" s="13">
        <f>COUNTIF(nichtFreigegeben29,"&gt;0")</f>
        <v>0</v>
      </c>
      <c r="AW16" s="13">
        <f>COUNTIF(nichtFreigegeben30,"&gt;0")</f>
        <v>0</v>
      </c>
      <c r="AX16" s="13">
        <f>COUNTIF(nichtFreigegeben31,"&gt;0")</f>
        <v>0</v>
      </c>
      <c r="AY16" s="13">
        <f>COUNTIF(nichtFreigegeben32,"&gt;0")</f>
        <v>0</v>
      </c>
      <c r="AZ16" s="13">
        <f>COUNTIF(nichtFreigegeben33,"&gt;0")</f>
        <v>0</v>
      </c>
      <c r="BA16" s="13">
        <f>COUNTIF(nichtFreigegeben34,"&gt;0")</f>
        <v>0</v>
      </c>
      <c r="BB16" s="13">
        <f>COUNTIF(nichtFreigegeben35,"&gt;0")</f>
        <v>0</v>
      </c>
      <c r="BC16" s="13">
        <f>COUNTIF(nichtFreigegeben36,"&gt;0")</f>
        <v>0</v>
      </c>
      <c r="BD16" s="13">
        <f>COUNTIF(nichtFreigegeben37,"&gt;0")</f>
        <v>0</v>
      </c>
      <c r="BE16" s="13">
        <f>COUNTIF(nichtFreigegeben38,"&gt;0")</f>
        <v>0</v>
      </c>
      <c r="BF16" s="13">
        <f>COUNTIF(nichtFreigegeben39,"&gt;0")</f>
        <v>0</v>
      </c>
      <c r="BG16" s="13">
        <f>COUNTIF(nichtFreigegeben40,"&gt;0")</f>
        <v>0</v>
      </c>
      <c r="BH16" s="28"/>
      <c r="BI16" s="28"/>
      <c r="BJ16" s="13">
        <f>COUNTIF(nichtFreigegeben41,"&gt;0")</f>
        <v>0</v>
      </c>
      <c r="BK16" s="13">
        <f>COUNTIF(nichtFreigegeben42,"&gt;0")</f>
        <v>0</v>
      </c>
      <c r="BL16" s="13">
        <f>COUNTIF(nichtFreigegeben43,"&gt;0")</f>
        <v>0</v>
      </c>
      <c r="BM16" s="13">
        <f>COUNTIF(nichtFreigegeben44,"&gt;0")</f>
        <v>0</v>
      </c>
      <c r="BN16" s="13">
        <f>COUNTIF(nichtFreigegeben45,"&gt;0")</f>
        <v>0</v>
      </c>
      <c r="BO16" s="13">
        <f>COUNTIF(nichtFreigegeben46,"&gt;0")</f>
        <v>0</v>
      </c>
      <c r="BP16" s="13">
        <f>COUNTIF(nichtFreigegeben47,"&gt;0")</f>
        <v>0</v>
      </c>
      <c r="BQ16" s="13">
        <f>COUNTIF(nichtFreigegeben48,"&gt;0")</f>
        <v>0</v>
      </c>
      <c r="BR16" s="13">
        <f>COUNTIF(nichtFreigegeben49,"&gt;0")</f>
        <v>0</v>
      </c>
      <c r="BS16" s="13">
        <f>COUNTIF(nichtFreigegeben50,"&gt;0")</f>
        <v>0</v>
      </c>
      <c r="BT16" s="13">
        <f>COUNTIF(nichtFreigegeben51,"&gt;0")</f>
        <v>0</v>
      </c>
      <c r="BU16" s="13">
        <f>COUNTIF(nichtFreigegeben52,"&gt;0")</f>
        <v>0</v>
      </c>
      <c r="BV16" s="13">
        <f>COUNTIF(nichtFreigegeben53,"&gt;0")</f>
        <v>0</v>
      </c>
      <c r="BW16" s="13">
        <f>COUNTIF(nichtFreigegeben54,"&gt;0")</f>
        <v>0</v>
      </c>
      <c r="BX16" s="13">
        <f>COUNTIF(nichtFreigegeben55,"&gt;0")</f>
        <v>0</v>
      </c>
      <c r="BY16" s="13">
        <f>COUNTIF(nichtFreigegeben56,"&gt;0")</f>
        <v>0</v>
      </c>
      <c r="BZ16" s="13">
        <f>COUNTIF(nichtFreigegeben57,"&gt;0")</f>
        <v>0</v>
      </c>
      <c r="CA16" s="13">
        <f>COUNTIF(nichtFreigegeben58,"&gt;0")</f>
        <v>0</v>
      </c>
      <c r="CB16" s="13">
        <f>COUNTIF(nichtFreigegeben59,"&gt;0")</f>
        <v>0</v>
      </c>
      <c r="CC16" s="13">
        <f>COUNTIF(nichtFreigegeben60,"&gt;0")</f>
        <v>0</v>
      </c>
      <c r="CD16" s="28"/>
      <c r="CE16" s="28"/>
      <c r="CF16" s="13">
        <f>COUNTIF(nichtFreigegeben61,"&gt;0")</f>
        <v>0</v>
      </c>
      <c r="CG16" s="13">
        <f>COUNTIF(nichtFreigegeben62,"&gt;0")</f>
        <v>0</v>
      </c>
      <c r="CH16" s="13">
        <f>COUNTIF(nichtFreigegeben63,"&gt;0")</f>
        <v>0</v>
      </c>
      <c r="CI16" s="13">
        <f>COUNTIF(nichtFreigegeben64,"&gt;0")</f>
        <v>0</v>
      </c>
      <c r="CJ16" s="13">
        <f>COUNTIF(nichtFreigegeben65,"&gt;0")</f>
        <v>0</v>
      </c>
      <c r="CK16" s="13">
        <f>COUNTIF(nichtFreigegeben66,"&gt;0")</f>
        <v>0</v>
      </c>
      <c r="CL16" s="13">
        <f>COUNTIF(nichtFreigegeben67,"&gt;0")</f>
        <v>0</v>
      </c>
      <c r="CM16" s="13">
        <f>COUNTIF(nichtFreigegeben68,"&gt;0")</f>
        <v>0</v>
      </c>
      <c r="CN16" s="13">
        <f>COUNTIF(nichtFreigegeben69,"&gt;0")</f>
        <v>0</v>
      </c>
      <c r="CO16" s="13">
        <f>COUNTIF(nichtFreigegeben70,"&gt;0")</f>
        <v>0</v>
      </c>
      <c r="CP16" s="13">
        <f>COUNTIF(nichtFreigegeben71,"&gt;0")</f>
        <v>0</v>
      </c>
      <c r="CQ16" s="13">
        <f>COUNTIF(nichtFreigegeben72,"&gt;0")</f>
        <v>0</v>
      </c>
      <c r="CR16" s="13">
        <f>COUNTIF(nichtFreigegeben73,"&gt;0")</f>
        <v>0</v>
      </c>
      <c r="CS16" s="13">
        <f>COUNTIF(nichtFreigegeben74,"&gt;0")</f>
        <v>0</v>
      </c>
      <c r="CT16" s="13">
        <f>COUNTIF(nichtFreigegeben75,"&gt;0")</f>
        <v>0</v>
      </c>
      <c r="CU16" s="13">
        <f>COUNTIF(nichtFreigegeben76,"&gt;0")</f>
        <v>0</v>
      </c>
      <c r="CV16" s="13">
        <f>COUNTIF(nichtFreigegeben77,"&gt;0")</f>
        <v>0</v>
      </c>
      <c r="CW16" s="13">
        <f>COUNTIF(nichtFreigegeben78,"&gt;0")</f>
        <v>0</v>
      </c>
      <c r="CX16" s="13">
        <f>COUNTIF(nichtFreigegeben79,"&gt;0")</f>
        <v>0</v>
      </c>
      <c r="CY16" s="13">
        <f>COUNTIF(nichtFreigegeben80,"&gt;0")</f>
        <v>0</v>
      </c>
      <c r="CZ16" s="28"/>
      <c r="DA16" s="28"/>
      <c r="DB16" s="13">
        <f>COUNTIF(nichtFreigegeben81,"&gt;0")</f>
        <v>0</v>
      </c>
      <c r="DC16" s="13">
        <f>COUNTIF(nichtFreigegeben82,"&gt;0")</f>
        <v>0</v>
      </c>
      <c r="DD16" s="13">
        <f>COUNTIF(nichtFreigegeben83,"&gt;0")</f>
        <v>0</v>
      </c>
      <c r="DE16" s="13">
        <f>COUNTIF(nichtFreigegeben84,"&gt;0")</f>
        <v>0</v>
      </c>
      <c r="DF16" s="13">
        <f>COUNTIF(nichtFreigegeben85,"&gt;0")</f>
        <v>0</v>
      </c>
      <c r="DG16" s="13">
        <f>COUNTIF(nichtFreigegeben86,"&gt;0")</f>
        <v>0</v>
      </c>
      <c r="DH16" s="13">
        <f>COUNTIF(nichtFreigegeben87,"&gt;0")</f>
        <v>0</v>
      </c>
      <c r="DI16" s="13">
        <f>COUNTIF(nichtFreigegeben88,"&gt;0")</f>
        <v>0</v>
      </c>
      <c r="DJ16" s="13">
        <f>COUNTIF(nichtFreigegeben89,"&gt;0")</f>
        <v>0</v>
      </c>
      <c r="DK16" s="13">
        <f>COUNTIF(nichtFreigegeben90,"&gt;0")</f>
        <v>0</v>
      </c>
      <c r="DL16" s="13">
        <f>COUNTIF(nichtFreigegeben91,"&gt;0")</f>
        <v>0</v>
      </c>
      <c r="DM16" s="13">
        <f>COUNTIF(nichtFreigegeben92,"&gt;0")</f>
        <v>0</v>
      </c>
      <c r="DN16" s="13">
        <f>COUNTIF(nichtFreigegeben93,"&gt;0")</f>
        <v>0</v>
      </c>
      <c r="DO16" s="13">
        <f>COUNTIF(nichtFreigegeben94,"&gt;0")</f>
        <v>0</v>
      </c>
      <c r="DP16" s="13">
        <f>COUNTIF(nichtFreigegeben95,"&gt;0")</f>
        <v>0</v>
      </c>
      <c r="DQ16" s="13">
        <f>COUNTIF(nichtFreigegeben96,"&gt;0")</f>
        <v>0</v>
      </c>
      <c r="DR16" s="13">
        <f>COUNTIF(nichtFreigegeben97,"&gt;0")</f>
        <v>0</v>
      </c>
      <c r="DS16" s="13">
        <f>COUNTIF(nichtFreigegeben98,"&gt;0")</f>
        <v>0</v>
      </c>
      <c r="DT16" s="13">
        <f>COUNTIF(nichtFreigegeben99,"&gt;0")</f>
        <v>0</v>
      </c>
      <c r="DU16" s="13">
        <f>COUNTIF(nichtFreigegeben100,"&gt;0")</f>
        <v>0</v>
      </c>
      <c r="DV16" s="28"/>
      <c r="DW16" s="28"/>
      <c r="DX16" s="25"/>
      <c r="DY16" s="38"/>
      <c r="DZ16" s="25"/>
      <c r="EA16" s="38"/>
      <c r="EB16" s="36"/>
    </row>
    <row r="17" spans="1:129" x14ac:dyDescent="0.3">
      <c r="AL17" s="29"/>
      <c r="AM17" s="29"/>
      <c r="BH17" s="29"/>
      <c r="BI17" s="29"/>
      <c r="CD17" s="29"/>
      <c r="CE17" s="29"/>
      <c r="CZ17" s="29"/>
      <c r="DA17" s="29"/>
      <c r="DV17" s="29"/>
      <c r="DW17" s="29"/>
      <c r="DX17" s="29"/>
      <c r="DY17" s="29"/>
    </row>
    <row r="18" spans="1:129" ht="15" hidden="1" customHeight="1" x14ac:dyDescent="0.3">
      <c r="A18" t="s">
        <v>17</v>
      </c>
      <c r="B18" t="s">
        <v>41</v>
      </c>
    </row>
    <row r="19" spans="1:129" ht="15" hidden="1" customHeight="1" x14ac:dyDescent="0.3">
      <c r="A19" t="s">
        <v>18</v>
      </c>
      <c r="B19" t="str">
        <f>B31</f>
        <v>OFFEN</v>
      </c>
    </row>
    <row r="20" spans="1:129" ht="15" hidden="1" customHeight="1" x14ac:dyDescent="0.3">
      <c r="A20" t="s">
        <v>19</v>
      </c>
      <c r="B20" t="str">
        <f>B33</f>
        <v>BESTÄTIGT</v>
      </c>
    </row>
    <row r="21" spans="1:129" ht="15" hidden="1" customHeight="1" x14ac:dyDescent="0.3">
      <c r="A21" t="s">
        <v>20</v>
      </c>
      <c r="B21" t="str">
        <f>B32</f>
        <v>ABGELEHNT</v>
      </c>
    </row>
    <row r="22" spans="1:129" ht="15" hidden="1" customHeight="1" x14ac:dyDescent="0.3">
      <c r="A22" t="s">
        <v>21</v>
      </c>
      <c r="B22" t="str">
        <f>B31</f>
        <v>OFFEN</v>
      </c>
    </row>
    <row r="23" spans="1:129" ht="15" hidden="1" customHeight="1" x14ac:dyDescent="0.3">
      <c r="A23" t="s">
        <v>22</v>
      </c>
      <c r="B23" t="str">
        <f>B33</f>
        <v>BESTÄTIGT</v>
      </c>
    </row>
    <row r="24" spans="1:129" ht="15" hidden="1" customHeight="1" x14ac:dyDescent="0.3">
      <c r="A24" t="s">
        <v>23</v>
      </c>
      <c r="B24" t="str">
        <f>B31</f>
        <v>OFFEN</v>
      </c>
    </row>
    <row r="25" spans="1:129" ht="15" hidden="1" customHeight="1" x14ac:dyDescent="0.3">
      <c r="A25" t="s">
        <v>24</v>
      </c>
      <c r="B25" t="str">
        <f>B31</f>
        <v>OFFEN</v>
      </c>
    </row>
    <row r="26" spans="1:129" hidden="1" x14ac:dyDescent="0.3">
      <c r="A26" t="s">
        <v>25</v>
      </c>
      <c r="B26" t="str">
        <f>B33</f>
        <v>BESTÄTIGT</v>
      </c>
    </row>
    <row r="27" spans="1:129" hidden="1" x14ac:dyDescent="0.3">
      <c r="A27" t="s">
        <v>26</v>
      </c>
      <c r="B27" t="str">
        <f>B32</f>
        <v>ABGELEHNT</v>
      </c>
    </row>
    <row r="28" spans="1:129" hidden="1" x14ac:dyDescent="0.3">
      <c r="A28" t="s">
        <v>27</v>
      </c>
      <c r="B28" t="str">
        <f>B31</f>
        <v>OFFEN</v>
      </c>
    </row>
    <row r="29" spans="1:129" hidden="1" x14ac:dyDescent="0.3">
      <c r="A29" t="s">
        <v>28</v>
      </c>
      <c r="B29" t="str">
        <f>B33</f>
        <v>BESTÄTIGT</v>
      </c>
    </row>
    <row r="30" spans="1:129" hidden="1" x14ac:dyDescent="0.3"/>
    <row r="31" spans="1:129" hidden="1" x14ac:dyDescent="0.3">
      <c r="A31" t="s">
        <v>29</v>
      </c>
      <c r="B31" t="s">
        <v>30</v>
      </c>
    </row>
    <row r="32" spans="1:129" hidden="1" x14ac:dyDescent="0.3">
      <c r="A32" t="s">
        <v>31</v>
      </c>
      <c r="B32" t="s">
        <v>32</v>
      </c>
    </row>
    <row r="33" spans="1:13" hidden="1" x14ac:dyDescent="0.3">
      <c r="A33" t="s">
        <v>33</v>
      </c>
      <c r="B33" t="s">
        <v>34</v>
      </c>
    </row>
    <row r="34" spans="1:13" hidden="1" x14ac:dyDescent="0.3">
      <c r="A34" t="s">
        <v>40</v>
      </c>
      <c r="B34" t="s">
        <v>41</v>
      </c>
    </row>
    <row r="36" spans="1:13" x14ac:dyDescent="0.3">
      <c r="A36" s="49" t="s">
        <v>55</v>
      </c>
      <c r="B36" s="50"/>
      <c r="C36" s="51"/>
    </row>
    <row r="37" spans="1:13" x14ac:dyDescent="0.3">
      <c r="A37" s="22">
        <v>1</v>
      </c>
      <c r="B37" s="55" t="s">
        <v>53</v>
      </c>
      <c r="C37" s="55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x14ac:dyDescent="0.3">
      <c r="A38" s="22">
        <v>2</v>
      </c>
      <c r="B38" s="55" t="s">
        <v>58</v>
      </c>
      <c r="C38" s="55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x14ac:dyDescent="0.3">
      <c r="A39" s="22">
        <v>3</v>
      </c>
      <c r="B39" s="55" t="s">
        <v>54</v>
      </c>
      <c r="C39" s="55"/>
      <c r="D39" s="34"/>
      <c r="E39" s="34"/>
      <c r="F39" s="34"/>
      <c r="G39" s="34"/>
      <c r="H39" s="34"/>
      <c r="I39" s="34"/>
      <c r="J39" s="34"/>
      <c r="K39" s="34"/>
      <c r="L39" s="34"/>
      <c r="M39" s="34"/>
    </row>
  </sheetData>
  <mergeCells count="49">
    <mergeCell ref="EA15:EB15"/>
    <mergeCell ref="EA7:EB10"/>
    <mergeCell ref="DX7:DY7"/>
    <mergeCell ref="DX8:DX10"/>
    <mergeCell ref="DY8:DY10"/>
    <mergeCell ref="DZ7:DZ10"/>
    <mergeCell ref="EA11:EB11"/>
    <mergeCell ref="CZ8:CZ10"/>
    <mergeCell ref="DA8:DA10"/>
    <mergeCell ref="DV8:DV10"/>
    <mergeCell ref="DW8:DW10"/>
    <mergeCell ref="DB7:DW7"/>
    <mergeCell ref="CF7:DA7"/>
    <mergeCell ref="D7:H8"/>
    <mergeCell ref="G9:G10"/>
    <mergeCell ref="H9:H10"/>
    <mergeCell ref="I7:M8"/>
    <mergeCell ref="P7:P10"/>
    <mergeCell ref="N7:N10"/>
    <mergeCell ref="O7:O10"/>
    <mergeCell ref="K9:K10"/>
    <mergeCell ref="L9:L10"/>
    <mergeCell ref="M9:M10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  <mergeCell ref="A7:C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revision>4</cp:revision>
  <cp:lastPrinted>2016-07-13T06:09:28Z</cp:lastPrinted>
  <dcterms:created xsi:type="dcterms:W3CDTF">2016-06-28T14:27:29Z</dcterms:created>
  <dcterms:modified xsi:type="dcterms:W3CDTF">2022-09-20T12:52:36Z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