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ing\VTSMART\SMARTLIGHT\old\"/>
    </mc:Choice>
  </mc:AlternateContent>
  <bookViews>
    <workbookView xWindow="0" yWindow="0" windowWidth="28800" windowHeight="12435"/>
  </bookViews>
  <sheets>
    <sheet name="Du toan (6)" sheetId="17" r:id="rId1"/>
    <sheet name="BOM" sheetId="12" r:id="rId2"/>
  </sheets>
  <definedNames>
    <definedName name="_xlnm._FilterDatabase" localSheetId="1" hidden="1">BOM!$A$1:$N$85</definedName>
  </definedNames>
  <calcPr calcId="152511"/>
</workbook>
</file>

<file path=xl/calcChain.xml><?xml version="1.0" encoding="utf-8"?>
<calcChain xmlns="http://schemas.openxmlformats.org/spreadsheetml/2006/main">
  <c r="D5" i="17" l="1"/>
  <c r="M81" i="12"/>
  <c r="E3" i="12" l="1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G48" i="12" s="1"/>
  <c r="E49" i="12"/>
  <c r="G49" i="12" s="1"/>
  <c r="E50" i="12"/>
  <c r="G50" i="12" s="1"/>
  <c r="E51" i="12"/>
  <c r="G51" i="12" s="1"/>
  <c r="E52" i="12"/>
  <c r="G52" i="12" s="1"/>
  <c r="E53" i="12"/>
  <c r="G53" i="12" s="1"/>
  <c r="E54" i="12"/>
  <c r="G54" i="12" s="1"/>
  <c r="E55" i="12"/>
  <c r="G55" i="12" s="1"/>
  <c r="E56" i="12"/>
  <c r="G56" i="12" s="1"/>
  <c r="E57" i="12"/>
  <c r="G57" i="12" s="1"/>
  <c r="E58" i="12"/>
  <c r="G58" i="12" s="1"/>
  <c r="E59" i="12"/>
  <c r="G59" i="12" s="1"/>
  <c r="E60" i="12"/>
  <c r="G60" i="12" s="1"/>
  <c r="E61" i="12"/>
  <c r="G61" i="12" s="1"/>
  <c r="E62" i="12"/>
  <c r="G62" i="12" s="1"/>
  <c r="E63" i="12"/>
  <c r="G63" i="12" s="1"/>
  <c r="E64" i="12"/>
  <c r="G64" i="12" s="1"/>
  <c r="E65" i="12"/>
  <c r="G65" i="12" s="1"/>
  <c r="E66" i="12"/>
  <c r="G66" i="12" s="1"/>
  <c r="E67" i="12"/>
  <c r="G67" i="12" s="1"/>
  <c r="E68" i="12"/>
  <c r="G68" i="12" s="1"/>
  <c r="E69" i="12"/>
  <c r="G69" i="12" s="1"/>
  <c r="E70" i="12"/>
  <c r="G70" i="12" s="1"/>
  <c r="E71" i="12"/>
  <c r="G71" i="12" s="1"/>
  <c r="E2" i="12"/>
  <c r="G2" i="12" l="1"/>
  <c r="G21" i="12" l="1"/>
  <c r="D85" i="12"/>
  <c r="G74" i="12"/>
  <c r="G73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C22" i="17"/>
  <c r="E17" i="17"/>
  <c r="C21" i="17"/>
  <c r="C19" i="17"/>
  <c r="C18" i="17"/>
  <c r="C11" i="17"/>
  <c r="E11" i="17" s="1"/>
  <c r="E9" i="17"/>
  <c r="E8" i="17"/>
  <c r="E7" i="17" s="1"/>
  <c r="C6" i="17"/>
  <c r="E6" i="17" s="1"/>
  <c r="C5" i="17"/>
  <c r="C4" i="17"/>
  <c r="G75" i="12" l="1"/>
  <c r="G76" i="12" l="1"/>
  <c r="H11" i="12" s="1"/>
  <c r="H53" i="12" l="1"/>
  <c r="H54" i="12"/>
  <c r="H68" i="12"/>
  <c r="H63" i="12"/>
  <c r="H50" i="12"/>
  <c r="H61" i="12"/>
  <c r="H52" i="12"/>
  <c r="H59" i="12"/>
  <c r="H70" i="12"/>
  <c r="H56" i="12"/>
  <c r="H62" i="12"/>
  <c r="H69" i="12"/>
  <c r="H51" i="12"/>
  <c r="H48" i="12"/>
  <c r="H49" i="12"/>
  <c r="H57" i="12"/>
  <c r="H58" i="12"/>
  <c r="H65" i="12"/>
  <c r="H67" i="12"/>
  <c r="H60" i="12"/>
  <c r="H71" i="12"/>
  <c r="H55" i="12"/>
  <c r="H66" i="12"/>
  <c r="H64" i="12"/>
  <c r="H2" i="12"/>
  <c r="J2" i="12" s="1"/>
  <c r="K2" i="12" s="1"/>
  <c r="M2" i="12" s="1"/>
  <c r="H31" i="12"/>
  <c r="J31" i="12" s="1"/>
  <c r="K31" i="12" s="1"/>
  <c r="L31" i="12" s="1"/>
  <c r="M31" i="12" s="1"/>
  <c r="H26" i="12"/>
  <c r="J26" i="12" s="1"/>
  <c r="K26" i="12" s="1"/>
  <c r="L26" i="12" s="1"/>
  <c r="M26" i="12" s="1"/>
  <c r="H73" i="12"/>
  <c r="J73" i="12" s="1"/>
  <c r="K73" i="12" s="1"/>
  <c r="L73" i="12" s="1"/>
  <c r="M73" i="12" s="1"/>
  <c r="H37" i="12"/>
  <c r="J37" i="12" s="1"/>
  <c r="K37" i="12" s="1"/>
  <c r="M37" i="12" s="1"/>
  <c r="H34" i="12"/>
  <c r="J34" i="12" s="1"/>
  <c r="K34" i="12" s="1"/>
  <c r="L34" i="12" s="1"/>
  <c r="M34" i="12" s="1"/>
  <c r="H38" i="12"/>
  <c r="J38" i="12" s="1"/>
  <c r="K38" i="12" s="1"/>
  <c r="M38" i="12" s="1"/>
  <c r="H47" i="12"/>
  <c r="J47" i="12" s="1"/>
  <c r="K47" i="12" s="1"/>
  <c r="L47" i="12" s="1"/>
  <c r="M47" i="12" s="1"/>
  <c r="H41" i="12"/>
  <c r="J41" i="12" s="1"/>
  <c r="K41" i="12" s="1"/>
  <c r="M41" i="12" s="1"/>
  <c r="H16" i="12"/>
  <c r="J16" i="12" s="1"/>
  <c r="H36" i="12"/>
  <c r="J36" i="12" s="1"/>
  <c r="K36" i="12" s="1"/>
  <c r="L36" i="12" s="1"/>
  <c r="M36" i="12" s="1"/>
  <c r="J11" i="12"/>
  <c r="K11" i="12" s="1"/>
  <c r="L11" i="12" s="1"/>
  <c r="M11" i="12" s="1"/>
  <c r="H43" i="12"/>
  <c r="H28" i="12"/>
  <c r="H35" i="12"/>
  <c r="H6" i="12"/>
  <c r="H21" i="12"/>
  <c r="H32" i="12"/>
  <c r="H45" i="12"/>
  <c r="H12" i="12"/>
  <c r="H40" i="12"/>
  <c r="H74" i="12"/>
  <c r="H25" i="12"/>
  <c r="H18" i="12"/>
  <c r="H42" i="12"/>
  <c r="H8" i="12"/>
  <c r="H23" i="12"/>
  <c r="H14" i="12"/>
  <c r="H4" i="12"/>
  <c r="H7" i="12"/>
  <c r="H15" i="12"/>
  <c r="H20" i="12"/>
  <c r="H46" i="12"/>
  <c r="H27" i="12"/>
  <c r="H10" i="12"/>
  <c r="H5" i="12"/>
  <c r="H22" i="12"/>
  <c r="H24" i="12"/>
  <c r="H30" i="12"/>
  <c r="H19" i="12"/>
  <c r="H13" i="12"/>
  <c r="H17" i="12"/>
  <c r="H39" i="12"/>
  <c r="H33" i="12"/>
  <c r="H29" i="12"/>
  <c r="H9" i="12"/>
  <c r="H44" i="12"/>
  <c r="H3" i="12"/>
  <c r="J70" i="12" l="1"/>
  <c r="K70" i="12" s="1"/>
  <c r="L70" i="12" s="1"/>
  <c r="M70" i="12" s="1"/>
  <c r="J64" i="12"/>
  <c r="K64" i="12" s="1"/>
  <c r="L64" i="12" s="1"/>
  <c r="M64" i="12" s="1"/>
  <c r="J57" i="12"/>
  <c r="K57" i="12" s="1"/>
  <c r="L57" i="12" s="1"/>
  <c r="M57" i="12" s="1"/>
  <c r="J59" i="12"/>
  <c r="K59" i="12" s="1"/>
  <c r="L59" i="12" s="1"/>
  <c r="M59" i="12" s="1"/>
  <c r="J66" i="12"/>
  <c r="K66" i="12" s="1"/>
  <c r="L66" i="12" s="1"/>
  <c r="M66" i="12" s="1"/>
  <c r="J49" i="12"/>
  <c r="K49" i="12" s="1"/>
  <c r="L49" i="12" s="1"/>
  <c r="M49" i="12" s="1"/>
  <c r="J52" i="12"/>
  <c r="K52" i="12" s="1"/>
  <c r="L52" i="12" s="1"/>
  <c r="M52" i="12" s="1"/>
  <c r="J58" i="12"/>
  <c r="K58" i="12" s="1"/>
  <c r="L58" i="12" s="1"/>
  <c r="M58" i="12" s="1"/>
  <c r="J53" i="12"/>
  <c r="K53" i="12" s="1"/>
  <c r="L53" i="12" s="1"/>
  <c r="M53" i="12" s="1"/>
  <c r="J55" i="12"/>
  <c r="K55" i="12" s="1"/>
  <c r="L55" i="12" s="1"/>
  <c r="M55" i="12" s="1"/>
  <c r="J48" i="12"/>
  <c r="K48" i="12" s="1"/>
  <c r="L48" i="12" s="1"/>
  <c r="M48" i="12" s="1"/>
  <c r="J61" i="12"/>
  <c r="K61" i="12" s="1"/>
  <c r="L61" i="12" s="1"/>
  <c r="M61" i="12" s="1"/>
  <c r="J60" i="12"/>
  <c r="K60" i="12" s="1"/>
  <c r="L60" i="12" s="1"/>
  <c r="M60" i="12" s="1"/>
  <c r="J69" i="12"/>
  <c r="K69" i="12" s="1"/>
  <c r="L69" i="12" s="1"/>
  <c r="M69" i="12" s="1"/>
  <c r="J63" i="12"/>
  <c r="K63" i="12" s="1"/>
  <c r="L63" i="12" s="1"/>
  <c r="M63" i="12" s="1"/>
  <c r="J71" i="12"/>
  <c r="K71" i="12" s="1"/>
  <c r="L71" i="12" s="1"/>
  <c r="M71" i="12" s="1"/>
  <c r="J50" i="12"/>
  <c r="K50" i="12" s="1"/>
  <c r="L50" i="12" s="1"/>
  <c r="M50" i="12" s="1"/>
  <c r="J67" i="12"/>
  <c r="K67" i="12" s="1"/>
  <c r="L67" i="12" s="1"/>
  <c r="M67" i="12" s="1"/>
  <c r="J62" i="12"/>
  <c r="K62" i="12" s="1"/>
  <c r="L62" i="12" s="1"/>
  <c r="M62" i="12" s="1"/>
  <c r="J68" i="12"/>
  <c r="K68" i="12" s="1"/>
  <c r="L68" i="12" s="1"/>
  <c r="M68" i="12" s="1"/>
  <c r="J51" i="12"/>
  <c r="K51" i="12" s="1"/>
  <c r="L51" i="12" s="1"/>
  <c r="M51" i="12" s="1"/>
  <c r="J65" i="12"/>
  <c r="K65" i="12" s="1"/>
  <c r="L65" i="12" s="1"/>
  <c r="M65" i="12" s="1"/>
  <c r="J56" i="12"/>
  <c r="K56" i="12" s="1"/>
  <c r="L56" i="12" s="1"/>
  <c r="M56" i="12" s="1"/>
  <c r="J54" i="12"/>
  <c r="K54" i="12" s="1"/>
  <c r="L54" i="12" s="1"/>
  <c r="M54" i="12" s="1"/>
  <c r="K16" i="12"/>
  <c r="L16" i="12" s="1"/>
  <c r="M16" i="12" s="1"/>
  <c r="J39" i="12"/>
  <c r="K39" i="12" s="1"/>
  <c r="L39" i="12" s="1"/>
  <c r="M39" i="12" s="1"/>
  <c r="J10" i="12"/>
  <c r="K10" i="12" s="1"/>
  <c r="L10" i="12" s="1"/>
  <c r="M10" i="12" s="1"/>
  <c r="J23" i="12"/>
  <c r="K23" i="12" s="1"/>
  <c r="L23" i="12" s="1"/>
  <c r="M23" i="12" s="1"/>
  <c r="J45" i="12"/>
  <c r="K45" i="12" s="1"/>
  <c r="L45" i="12" s="1"/>
  <c r="M45" i="12" s="1"/>
  <c r="J33" i="12"/>
  <c r="K33" i="12" s="1"/>
  <c r="L33" i="12" s="1"/>
  <c r="M33" i="12" s="1"/>
  <c r="J14" i="12"/>
  <c r="K14" i="12" s="1"/>
  <c r="L14" i="12" s="1"/>
  <c r="M14" i="12" s="1"/>
  <c r="J6" i="12"/>
  <c r="K6" i="12" s="1"/>
  <c r="L6" i="12" s="1"/>
  <c r="M6" i="12" s="1"/>
  <c r="J27" i="12"/>
  <c r="K27" i="12" s="1"/>
  <c r="L27" i="12" s="1"/>
  <c r="M27" i="12" s="1"/>
  <c r="J8" i="12"/>
  <c r="K8" i="12" s="1"/>
  <c r="L8" i="12" s="1"/>
  <c r="M8" i="12" s="1"/>
  <c r="J25" i="12"/>
  <c r="K25" i="12" s="1"/>
  <c r="L25" i="12" s="1"/>
  <c r="M25" i="12" s="1"/>
  <c r="J35" i="12"/>
  <c r="K35" i="12" s="1"/>
  <c r="L35" i="12" s="1"/>
  <c r="M35" i="12" s="1"/>
  <c r="J17" i="12"/>
  <c r="K17" i="12" s="1"/>
  <c r="L17" i="12" s="1"/>
  <c r="M17" i="12" s="1"/>
  <c r="J3" i="12"/>
  <c r="K3" i="12" s="1"/>
  <c r="L3" i="12" s="1"/>
  <c r="M3" i="12" s="1"/>
  <c r="J13" i="12"/>
  <c r="K13" i="12" s="1"/>
  <c r="L13" i="12" s="1"/>
  <c r="M13" i="12" s="1"/>
  <c r="J46" i="12"/>
  <c r="K46" i="12" s="1"/>
  <c r="J42" i="12"/>
  <c r="K42" i="12" s="1"/>
  <c r="L42" i="12" s="1"/>
  <c r="M42" i="12" s="1"/>
  <c r="J74" i="12"/>
  <c r="K74" i="12" s="1"/>
  <c r="L74" i="12" s="1"/>
  <c r="M74" i="12" s="1"/>
  <c r="J19" i="12"/>
  <c r="K19" i="12" s="1"/>
  <c r="L19" i="12" s="1"/>
  <c r="M19" i="12" s="1"/>
  <c r="J20" i="12"/>
  <c r="K20" i="12" s="1"/>
  <c r="L20" i="12" s="1"/>
  <c r="M20" i="12" s="1"/>
  <c r="J18" i="12"/>
  <c r="K18" i="12" s="1"/>
  <c r="L18" i="12" s="1"/>
  <c r="M18" i="12" s="1"/>
  <c r="J28" i="12"/>
  <c r="K28" i="12" s="1"/>
  <c r="L28" i="12" s="1"/>
  <c r="M28" i="12" s="1"/>
  <c r="J40" i="12"/>
  <c r="K40" i="12" s="1"/>
  <c r="L40" i="12" s="1"/>
  <c r="M40" i="12" s="1"/>
  <c r="J32" i="12"/>
  <c r="K32" i="12" s="1"/>
  <c r="L32" i="12" s="1"/>
  <c r="M32" i="12" s="1"/>
  <c r="J43" i="12"/>
  <c r="K43" i="12" s="1"/>
  <c r="L43" i="12" s="1"/>
  <c r="M43" i="12" s="1"/>
  <c r="J44" i="12"/>
  <c r="K44" i="12" s="1"/>
  <c r="L44" i="12" s="1"/>
  <c r="M44" i="12" s="1"/>
  <c r="J30" i="12"/>
  <c r="K30" i="12" s="1"/>
  <c r="L30" i="12" s="1"/>
  <c r="M30" i="12" s="1"/>
  <c r="J15" i="12"/>
  <c r="K15" i="12" s="1"/>
  <c r="L15" i="12" s="1"/>
  <c r="M15" i="12" s="1"/>
  <c r="J9" i="12"/>
  <c r="K9" i="12" s="1"/>
  <c r="L9" i="12" s="1"/>
  <c r="M9" i="12" s="1"/>
  <c r="J24" i="12"/>
  <c r="K24" i="12" s="1"/>
  <c r="L24" i="12" s="1"/>
  <c r="M24" i="12" s="1"/>
  <c r="J7" i="12"/>
  <c r="K7" i="12" s="1"/>
  <c r="L7" i="12" s="1"/>
  <c r="M7" i="12" s="1"/>
  <c r="J12" i="12"/>
  <c r="K12" i="12" s="1"/>
  <c r="L12" i="12" s="1"/>
  <c r="M12" i="12" s="1"/>
  <c r="J21" i="12"/>
  <c r="K21" i="12" s="1"/>
  <c r="L21" i="12" s="1"/>
  <c r="M21" i="12" s="1"/>
  <c r="J5" i="12"/>
  <c r="K5" i="12" s="1"/>
  <c r="L5" i="12" s="1"/>
  <c r="M5" i="12" s="1"/>
  <c r="J29" i="12"/>
  <c r="K29" i="12" s="1"/>
  <c r="L29" i="12" s="1"/>
  <c r="M29" i="12" s="1"/>
  <c r="J22" i="12"/>
  <c r="K22" i="12" s="1"/>
  <c r="L22" i="12" s="1"/>
  <c r="M22" i="12" s="1"/>
  <c r="J4" i="12"/>
  <c r="K4" i="12" s="1"/>
  <c r="L4" i="12" s="1"/>
  <c r="M4" i="12" s="1"/>
  <c r="M77" i="12" l="1"/>
  <c r="M80" i="12" s="1"/>
  <c r="E5" i="17" l="1"/>
  <c r="E4" i="17" s="1"/>
  <c r="D4" i="17" s="1"/>
  <c r="M78" i="12"/>
  <c r="M79" i="12" s="1"/>
  <c r="E12" i="17" l="1"/>
  <c r="E10" i="17" s="1"/>
  <c r="E3" i="17" s="1"/>
  <c r="E15" i="17" l="1"/>
  <c r="D3" i="17"/>
  <c r="E18" i="17"/>
  <c r="D18" i="17" s="1"/>
  <c r="E16" i="17"/>
  <c r="E19" i="17" l="1"/>
  <c r="D19" i="17" s="1"/>
  <c r="H19" i="17" s="1"/>
  <c r="D21" i="17" l="1"/>
  <c r="E21" i="17" s="1"/>
  <c r="E20" i="17" s="1"/>
  <c r="E22" i="17" s="1"/>
  <c r="H21" i="17" l="1"/>
  <c r="E23" i="17"/>
  <c r="D22" i="17"/>
  <c r="C26" i="17" s="1"/>
</calcChain>
</file>

<file path=xl/sharedStrings.xml><?xml version="1.0" encoding="utf-8"?>
<sst xmlns="http://schemas.openxmlformats.org/spreadsheetml/2006/main" count="341" uniqueCount="260">
  <si>
    <t>STT</t>
  </si>
  <si>
    <t>Số lượng</t>
  </si>
  <si>
    <t>Danh mục chi phí</t>
  </si>
  <si>
    <t>Chi phí nguyên vật liệu trực tiếp</t>
  </si>
  <si>
    <t>I</t>
  </si>
  <si>
    <t>II</t>
  </si>
  <si>
    <t>III</t>
  </si>
  <si>
    <t>Thẻ cào kiểm tra tính năng phần mềm</t>
  </si>
  <si>
    <t>Chi phí quản lý</t>
  </si>
  <si>
    <t>IV</t>
  </si>
  <si>
    <t>V</t>
  </si>
  <si>
    <t>Lợi nhuận trước thuế</t>
  </si>
  <si>
    <t>Đơn giá
(VNĐ)</t>
  </si>
  <si>
    <t>Thành tiền
(VNĐ)</t>
  </si>
  <si>
    <t>Ghi chú</t>
  </si>
  <si>
    <t>Chi phí đào tạo lắp đặt, hướng dẫn sử dụng</t>
  </si>
  <si>
    <t>VI</t>
  </si>
  <si>
    <t>VII</t>
  </si>
  <si>
    <t>Tỉ suất lợi nhuận trước thuế/doanh thu</t>
  </si>
  <si>
    <t>VIII</t>
  </si>
  <si>
    <t>Phụ kiện</t>
  </si>
  <si>
    <t>Chi phí nhân công</t>
  </si>
  <si>
    <t>Nhân công trực tiếp</t>
  </si>
  <si>
    <t>Nhân công gián tiếp</t>
  </si>
  <si>
    <t>Chi phí sản xuất chung</t>
  </si>
  <si>
    <t>Chi phí gia công lắp ráp</t>
  </si>
  <si>
    <t>Chi phí bán hàng</t>
  </si>
  <si>
    <t>Bảo hành, thay thế</t>
  </si>
  <si>
    <t>IX</t>
  </si>
  <si>
    <t>X</t>
  </si>
  <si>
    <t>Linh kiện điện tử, vật liệu cơ khí, nguyên vật liệu khác</t>
  </si>
  <si>
    <t>Giá thành sản xuất thiết bị</t>
  </si>
  <si>
    <t>Tổng chi phí dự án</t>
  </si>
  <si>
    <t>Tổng doanh thu dự án</t>
  </si>
  <si>
    <t>Chi phí nghiên cứu, chế thử phân bổ</t>
  </si>
  <si>
    <t>Hộp đựng, tem nhãn và hướng dẫn sử dụng</t>
  </si>
  <si>
    <t>ước tính 10% chi phí sản xuất</t>
  </si>
  <si>
    <t>Giá VAT</t>
  </si>
  <si>
    <t>3 người (1 PM, 1 hỗ trợ mua sắm, 1 hỗ trợ tài chính) x 0.25 tháng. Mức lương 30 triệu/người/tháng</t>
  </si>
  <si>
    <t>4 kỹ sư kiểm soát chất lượng (1HW, 1SW, 1KTSX, 1KCS: 0.5 tháng). Mức lương 30 triệu/người/tháng</t>
  </si>
  <si>
    <t>3.3</t>
  </si>
  <si>
    <t>3.4</t>
  </si>
  <si>
    <t>Chi phi hop quy</t>
  </si>
  <si>
    <t>Chi phí nguyên vật liệu tiêu hao 3%</t>
  </si>
  <si>
    <t>1 kỹ sư công tác đào tạo lắp đặt, hướng dẫn trong 7 ngày</t>
  </si>
  <si>
    <t>Description</t>
  </si>
  <si>
    <t>Manufacturer</t>
  </si>
  <si>
    <t>Manufacturer Part Number</t>
  </si>
  <si>
    <t>Quantity</t>
  </si>
  <si>
    <t>Unit Price (USD)</t>
  </si>
  <si>
    <t>Total EXW</t>
  </si>
  <si>
    <t>CP nhập hàng phân bổ</t>
  </si>
  <si>
    <t>Thuế NK (%)</t>
  </si>
  <si>
    <t>Thuế NK (USD)</t>
  </si>
  <si>
    <t>Tổng tiền trước thuế (USD)</t>
  </si>
  <si>
    <t>Đơn giá (VND)</t>
  </si>
  <si>
    <t>Thành tiền (VND)</t>
  </si>
  <si>
    <t>Taiyo Yuden</t>
  </si>
  <si>
    <t>AO3401A</t>
  </si>
  <si>
    <t>BSS138</t>
  </si>
  <si>
    <t>ON Semiconductor</t>
  </si>
  <si>
    <t>Linh kiện:</t>
  </si>
  <si>
    <t>PCB:</t>
  </si>
  <si>
    <t>Hộp giftbox + tem nhãn</t>
  </si>
  <si>
    <t>TOTAL :</t>
  </si>
  <si>
    <t>Tổng tiền trước thuế</t>
  </si>
  <si>
    <t>Thuế VAT 10%</t>
  </si>
  <si>
    <t>Tổng tiền thanh toán</t>
  </si>
  <si>
    <t>Bắn lazer vỏ hộp:</t>
  </si>
  <si>
    <t>Phủ chống ẩm cho board mạch:</t>
  </si>
  <si>
    <t>SMT, lắp ráp:</t>
  </si>
  <si>
    <t>Vật tư phụ + công cụ dụng cụ cho SMT + lắp ráp</t>
  </si>
  <si>
    <t>Đơn giá TQ Com:</t>
  </si>
  <si>
    <t>Đơn giá thành phẩm:</t>
  </si>
  <si>
    <t>Điểm hòa vốn</t>
  </si>
  <si>
    <t>ước tính 3% chi phí sản xuất</t>
  </si>
  <si>
    <t>CAP-CER,SMD;0.47uF,10%,0603,16V,X7R</t>
  </si>
  <si>
    <t>CAP-CER,SMD;4.7uF,10%,X5R,6.3V,0603</t>
  </si>
  <si>
    <t>CAP-CER,SMD;0.1uF,10%,0603,25V,X7R</t>
  </si>
  <si>
    <t>CAP-ALUM,SMD;2200uF,20%,10MX10M,6.3V</t>
  </si>
  <si>
    <t xml:space="preserve">CAP-CER,SMD;33pF,5%,0603,50V,C0G </t>
  </si>
  <si>
    <t xml:space="preserve">CAP-CER,SMD;10pF,5%,0603,50V,C0G </t>
  </si>
  <si>
    <t>CAP-CER,SMD;4.7uF,20%,0603,16V,X5R</t>
  </si>
  <si>
    <t>CAP-CER,SMD;10uF,20%,0603,25V,X5R</t>
  </si>
  <si>
    <t>CAP-CER,SMD;47uF,20%,1206,10V,X5R</t>
  </si>
  <si>
    <t>CAP-CER,SMD;0.01uF,10%,0603,25V,X7R</t>
  </si>
  <si>
    <t xml:space="preserve">CAP-CER,SMD;2nF,5%,0603,50V,C0G </t>
  </si>
  <si>
    <t>CAP-CER,SMD;2.2uF,10%,0603,25V,X5R</t>
  </si>
  <si>
    <t>CAP-CER,SMD;10nF,20%,1812,250VAC,X7R</t>
  </si>
  <si>
    <t>CAP-CER,SMD;10nF,10%,1210,1KV,X7R</t>
  </si>
  <si>
    <t>LED-TH;2V,10mA,RED,TH</t>
  </si>
  <si>
    <t>DIODE;Zener Diode 5.1V 500mW ±5% Surface Mount SOD-123</t>
  </si>
  <si>
    <t>LED-SMD;2.1V,20mA,0805,GREEN</t>
  </si>
  <si>
    <t>DIODE;1000V,1A,DO-214AC,MRA4007T3G</t>
  </si>
  <si>
    <t>FB;1000@100MHz,0.45A,0603</t>
  </si>
  <si>
    <t>AC Filter CMC 2.2MH 500MA 2LN SMD</t>
  </si>
  <si>
    <t>Filter CMC 1.5A 2LN 1 KOHM SMD</t>
  </si>
  <si>
    <t>FUSE; 250V 1A</t>
  </si>
  <si>
    <t>CONN-DIP;HEADER 1X4,PITCH 2M54,DIP</t>
  </si>
  <si>
    <t>CONN-DIP;HEADER SHROUDED 1X2,PITCH 2MM,DIP</t>
  </si>
  <si>
    <t>CONN-DIP;HEADER 1X3,PITCH 2M54,DIP</t>
  </si>
  <si>
    <t>CONN-DIP;HEADER SHROUDED 1X3,PITCH 2MM,DIP</t>
  </si>
  <si>
    <t>CONN-DIP;HEADER SHROUDED 1X6,PITCH 2MM,DIP</t>
  </si>
  <si>
    <t>CONN-DIP;HEADER SHROUDED 1X7,PITCH 2MM,DIP</t>
  </si>
  <si>
    <t>IC;Photocoupler,PC817X,SOP4 6M5X4M58</t>
  </si>
  <si>
    <t>IC;OPTOISOLATOR 5KV TRIAC 6SMD</t>
  </si>
  <si>
    <t>CONN MICRO SIM CARD HINGED TYPE</t>
  </si>
  <si>
    <t>CONN B2B ANT JACK STR 50 OHM SMD</t>
  </si>
  <si>
    <t xml:space="preserve">MODULE PWR; OUTPUT 12V 830mA </t>
  </si>
  <si>
    <t>MOSFET N-CH 50V 0.22A SOT-23</t>
  </si>
  <si>
    <t>MOS-FET;P-Channel,30V,4A,SOT23</t>
  </si>
  <si>
    <t>RELAY; 12V COIL 40A LOAD</t>
  </si>
  <si>
    <t>RES-SMD;1KOHM,5%,1/10W,0603</t>
  </si>
  <si>
    <t>RES-SMD;0OHM,5%,1/10W,0603</t>
  </si>
  <si>
    <t>RES-SMD;5.6KOHM,5%,1/10W,0603</t>
  </si>
  <si>
    <t>RES-SMD;47KOHM,5%,1/10W,0603</t>
  </si>
  <si>
    <t>RES-SMD;2.2KOHM,5%,1/10W,0603</t>
  </si>
  <si>
    <t>RES-SMD;1MOHM,5%,1/10W,0603</t>
  </si>
  <si>
    <t>RES-SMD;10KOHM,5%,1/10W,0603</t>
  </si>
  <si>
    <t>RES-SMD;470OHM,5%,1/10W,0603</t>
  </si>
  <si>
    <t>RES-SMD;51OHM,5%,1/10W,0603</t>
  </si>
  <si>
    <t>RES-SMD;100KOHM,1%,1/10W,0603</t>
  </si>
  <si>
    <t>RES-SMD;3.16KOHM,1%,1/10W,0603</t>
  </si>
  <si>
    <t>RES-SMD;10KOHM,1%,1/10W,0603</t>
  </si>
  <si>
    <t>RES-SMD;4.7OHM,5%,2W,2011</t>
  </si>
  <si>
    <t>RES-SMD;200OHM,5%,1/10W,0603</t>
  </si>
  <si>
    <t>RES-SMD;10OHM,5%,1/10W,0603</t>
  </si>
  <si>
    <t>RES-SMD;10OHM,1%,2W,2512</t>
  </si>
  <si>
    <t>RES-SMD;330OHM,5%,1/10W,0603</t>
  </si>
  <si>
    <t>PUSH-BUTTON;EVQ-PF304R</t>
  </si>
  <si>
    <t>TRIAC ALTERNISTOR 800V TO220AB</t>
  </si>
  <si>
    <t>IC; Mixed-Signal Microcontrollers 128KB Flash 8KB SRAM</t>
  </si>
  <si>
    <t>MODULE SIM800C;15M7X17M6X2M4</t>
  </si>
  <si>
    <t>IC;Single Cell Li-Ion and Li-Pol Battery Charger</t>
  </si>
  <si>
    <t>IC;REG,TPS7A4501DCQT,SOT-23</t>
  </si>
  <si>
    <t>IC-POSI.FIXED REG,LP2985-33DBVRG4</t>
  </si>
  <si>
    <t>IC-Buffer; Non-Inverting 1 Element</t>
  </si>
  <si>
    <t>IC-POSI.FIXED REG,LP2985-50DBVRG4</t>
  </si>
  <si>
    <t>VARISTOR 470V 4.5KA DISC 14MM</t>
  </si>
  <si>
    <t>Hộp nhựa trắng có tai 115*90*55 (mm)</t>
  </si>
  <si>
    <t>Domino nhựa 4 cổng</t>
  </si>
  <si>
    <t>Vít và ốc nhựa</t>
  </si>
  <si>
    <t>Li polymer Battery 3.7V 1200mAh</t>
  </si>
  <si>
    <t>Antenna GSM GPRS TCP IP</t>
  </si>
  <si>
    <t>Dây điện Cadivi VCmd 1.0 100m</t>
  </si>
  <si>
    <t>Dây rút nhựa 30cm 250sợi/bịch</t>
  </si>
  <si>
    <t>GRM188R71C474KA88D</t>
  </si>
  <si>
    <t>GRM188R60J475KE19D</t>
  </si>
  <si>
    <t>GRM188R71E104KA01D</t>
  </si>
  <si>
    <t>EEE-FT0J222AP</t>
  </si>
  <si>
    <t>GRM1885C1H330JA01D</t>
  </si>
  <si>
    <t>GRM1885C1H100JA01D</t>
  </si>
  <si>
    <t>GRM188R61C475MAAJD</t>
  </si>
  <si>
    <t>GRM188R61E106MA73D</t>
  </si>
  <si>
    <t>GRM31CR61A476ME15L</t>
  </si>
  <si>
    <t>GRM188R71E103KA01D</t>
  </si>
  <si>
    <t>GRM1885C1H202JA01D</t>
  </si>
  <si>
    <t>TMK107BBJ225KAHT</t>
  </si>
  <si>
    <t>GA243QR7E2103MW01L</t>
  </si>
  <si>
    <t>GRM32QR73A103KW01L</t>
  </si>
  <si>
    <t>LTL-4221N</t>
  </si>
  <si>
    <t>MMSZ5231BT1G</t>
  </si>
  <si>
    <t>LTST-C170GKT</t>
  </si>
  <si>
    <t>MRA4007T3G</t>
  </si>
  <si>
    <t>BLM18AG102BH1D</t>
  </si>
  <si>
    <t>50225C</t>
  </si>
  <si>
    <t>DLW5BSM102SQ2L</t>
  </si>
  <si>
    <t>68000-404HLF</t>
  </si>
  <si>
    <t>B2B-PH-K-S(LF)(SN)</t>
  </si>
  <si>
    <t>68000-403HLF</t>
  </si>
  <si>
    <t>B3B-PH-K-S(LF)(SN)</t>
  </si>
  <si>
    <t>B6B-PH-K-S(LF)(SN)</t>
  </si>
  <si>
    <t>B7B-PH-K-S(LF)(SN)</t>
  </si>
  <si>
    <t>LTV-816S</t>
  </si>
  <si>
    <t>MOC3021S-TA1</t>
  </si>
  <si>
    <t>U.FL-R-SMT(01)</t>
  </si>
  <si>
    <t>LRB10-220S12A</t>
  </si>
  <si>
    <t>YL-224-A-S-12VDC</t>
  </si>
  <si>
    <t>ERJ-3GEYJ102V</t>
  </si>
  <si>
    <t>ERJ-3GEY0R00V</t>
  </si>
  <si>
    <t>ERJ-3GEYJ562V</t>
  </si>
  <si>
    <t>RC0603JR-0747KL</t>
  </si>
  <si>
    <t>ERJ-3GEYJ222V</t>
  </si>
  <si>
    <t>ERJ-3GEYJ105V</t>
  </si>
  <si>
    <t>ERJ-3GEYJ103V</t>
  </si>
  <si>
    <t>ERJ-3GEYJ471V</t>
  </si>
  <si>
    <t>ERJ-3GEYJ510V</t>
  </si>
  <si>
    <t>ERJ-3EKF1003V</t>
  </si>
  <si>
    <t>ERJ-3EKF3161V</t>
  </si>
  <si>
    <t>ERJ-3EKF1002V</t>
  </si>
  <si>
    <t>ERJ-B1BJ4R7U</t>
  </si>
  <si>
    <t>ERJ-3GEYJ201V</t>
  </si>
  <si>
    <t>ERJ-3GEYJ100V</t>
  </si>
  <si>
    <t>CRM2512-FX-10R0ELF</t>
  </si>
  <si>
    <t>ERJ-3GEYJ331V</t>
  </si>
  <si>
    <t>EVQ-PF304R</t>
  </si>
  <si>
    <t>T435-800T</t>
  </si>
  <si>
    <t>MSP430F5244IRGZT</t>
  </si>
  <si>
    <t>SIM800C</t>
  </si>
  <si>
    <t>BQ21040DBVT</t>
  </si>
  <si>
    <t>TPS7A4501DCQT</t>
  </si>
  <si>
    <t>LP2985-33DBVRG4</t>
  </si>
  <si>
    <t>SN74LVC1G17DBVR</t>
  </si>
  <si>
    <t>LP2985-50DBVRG4</t>
  </si>
  <si>
    <t>MOV-14D471KTR</t>
  </si>
  <si>
    <t>LP-503562</t>
  </si>
  <si>
    <t>MURATA</t>
  </si>
  <si>
    <t>Panasonic</t>
  </si>
  <si>
    <t>Murata</t>
  </si>
  <si>
    <t>Lite-On</t>
  </si>
  <si>
    <t>Lite-On Inc</t>
  </si>
  <si>
    <t>Littelfuse Inc.</t>
  </si>
  <si>
    <t>FCI</t>
  </si>
  <si>
    <t>JST</t>
  </si>
  <si>
    <t>Lite-On Inc.</t>
  </si>
  <si>
    <t>MOLEX</t>
  </si>
  <si>
    <t>HIROSE</t>
  </si>
  <si>
    <t>HUIHAI</t>
  </si>
  <si>
    <t>Fairchild</t>
  </si>
  <si>
    <t>AO Semicon</t>
  </si>
  <si>
    <t>YLE</t>
  </si>
  <si>
    <t>PANASONIC</t>
  </si>
  <si>
    <t>YAGEO</t>
  </si>
  <si>
    <t>Bourns</t>
  </si>
  <si>
    <t>STMicroelectronics</t>
  </si>
  <si>
    <t>TI</t>
  </si>
  <si>
    <t>SIMCOM</t>
  </si>
  <si>
    <t>Bourns Inc.</t>
  </si>
  <si>
    <t>EWT</t>
  </si>
  <si>
    <t>Qty 1k</t>
  </si>
  <si>
    <t>0.01</t>
  </si>
  <si>
    <t>0.008</t>
  </si>
  <si>
    <t>0.2</t>
  </si>
  <si>
    <t>0.03</t>
  </si>
  <si>
    <t>0.1</t>
  </si>
  <si>
    <t>0.04</t>
  </si>
  <si>
    <t>0.02</t>
  </si>
  <si>
    <t>0.015</t>
  </si>
  <si>
    <t>0.5</t>
  </si>
  <si>
    <t>0.15</t>
  </si>
  <si>
    <t>0.005</t>
  </si>
  <si>
    <t>0.08</t>
  </si>
  <si>
    <t>0.05</t>
  </si>
  <si>
    <t>0.12</t>
  </si>
  <si>
    <t>0.4</t>
  </si>
  <si>
    <t>3.5</t>
  </si>
  <si>
    <t>0.004</t>
  </si>
  <si>
    <t>2.5</t>
  </si>
  <si>
    <t>0.38</t>
  </si>
  <si>
    <t>1.3</t>
  </si>
  <si>
    <t>0.18</t>
  </si>
  <si>
    <t>0.06</t>
  </si>
  <si>
    <t>2.4</t>
  </si>
  <si>
    <t>0.21</t>
  </si>
  <si>
    <t>0.14</t>
  </si>
  <si>
    <t>1.8</t>
  </si>
  <si>
    <t>15.8</t>
  </si>
  <si>
    <t>2.6</t>
  </si>
  <si>
    <t>Giá bán cho Khách hàng</t>
  </si>
  <si>
    <t xml:space="preserve">Giá bán thiết bị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</si>
</sst>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\ _₫_-;\-* #,##0.00\ _₫_-;_-* &quot;-&quot;??\ _₫_-;_-@_-"/>
    <numFmt numFmtId="165" formatCode="0.0%"/>
    <numFmt numFmtId="166" formatCode="_(* #,##0_);_(* \(#,##0\);_(* &quot;-&quot;??_);_(@_)"/>
    <numFmt numFmtId="167" formatCode="#,##0;[Red]#,##0"/>
    <numFmt numFmtId="168" formatCode="_-* #,##0\ _₫_-;\-* #,##0\ _₫_-;_-* &quot;-&quot;??\ _₫_-;_-@_-"/>
  </numFmts>
  <fonts count="44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b/>
      <sz val="18"/>
      <color theme="3"/>
      <name val="Cambria"/>
      <family val="2"/>
      <charset val="163"/>
      <scheme val="major"/>
    </font>
    <font>
      <b/>
      <sz val="15"/>
      <color theme="3"/>
      <name val="Calibri"/>
      <family val="2"/>
      <charset val="163"/>
      <scheme val="minor"/>
    </font>
    <font>
      <b/>
      <sz val="13"/>
      <color theme="3"/>
      <name val="Calibri"/>
      <family val="2"/>
      <charset val="163"/>
      <scheme val="minor"/>
    </font>
    <font>
      <b/>
      <sz val="11"/>
      <color theme="3"/>
      <name val="Calibri"/>
      <family val="2"/>
      <charset val="163"/>
      <scheme val="minor"/>
    </font>
    <font>
      <sz val="11"/>
      <color rgb="FF006100"/>
      <name val="Calibri"/>
      <family val="2"/>
      <charset val="163"/>
      <scheme val="minor"/>
    </font>
    <font>
      <sz val="11"/>
      <color rgb="FF9C0006"/>
      <name val="Calibri"/>
      <family val="2"/>
      <charset val="163"/>
      <scheme val="minor"/>
    </font>
    <font>
      <sz val="11"/>
      <color rgb="FF9C6500"/>
      <name val="Calibri"/>
      <family val="2"/>
      <charset val="163"/>
      <scheme val="minor"/>
    </font>
    <font>
      <sz val="11"/>
      <color rgb="FF3F3F76"/>
      <name val="Calibri"/>
      <family val="2"/>
      <charset val="163"/>
      <scheme val="minor"/>
    </font>
    <font>
      <b/>
      <sz val="11"/>
      <color rgb="FF3F3F3F"/>
      <name val="Calibri"/>
      <family val="2"/>
      <charset val="163"/>
      <scheme val="minor"/>
    </font>
    <font>
      <b/>
      <sz val="11"/>
      <color rgb="FFFA7D00"/>
      <name val="Calibri"/>
      <family val="2"/>
      <charset val="163"/>
      <scheme val="minor"/>
    </font>
    <font>
      <sz val="11"/>
      <color rgb="FFFA7D00"/>
      <name val="Calibri"/>
      <family val="2"/>
      <charset val="163"/>
      <scheme val="minor"/>
    </font>
    <font>
      <b/>
      <sz val="11"/>
      <color theme="0"/>
      <name val="Calibri"/>
      <family val="2"/>
      <charset val="163"/>
      <scheme val="minor"/>
    </font>
    <font>
      <sz val="11"/>
      <color rgb="FFFF0000"/>
      <name val="Calibri"/>
      <family val="2"/>
      <charset val="163"/>
      <scheme val="minor"/>
    </font>
    <font>
      <i/>
      <sz val="11"/>
      <color rgb="FF7F7F7F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  <font>
      <sz val="10"/>
      <name val="Arial"/>
      <family val="2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sz val="12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  <font>
      <sz val="12"/>
      <name val="Cambria"/>
      <family val="1"/>
      <charset val="163"/>
    </font>
    <font>
      <strike/>
      <sz val="12"/>
      <name val="Cambria"/>
      <family val="1"/>
      <charset val="163"/>
    </font>
    <font>
      <sz val="12"/>
      <color theme="1"/>
      <name val="Cambria"/>
      <family val="1"/>
    </font>
    <font>
      <strike/>
      <sz val="12"/>
      <color theme="1"/>
      <name val="Cambria"/>
      <family val="1"/>
      <charset val="163"/>
    </font>
    <font>
      <sz val="12"/>
      <name val="Cambria"/>
      <family val="1"/>
    </font>
    <font>
      <sz val="12"/>
      <color rgb="FF000000"/>
      <name val="Segoe UI"/>
      <family val="2"/>
    </font>
    <font>
      <sz val="12"/>
      <color theme="1"/>
      <name val="Calibri"/>
      <family val="2"/>
      <charset val="163"/>
      <scheme val="minor"/>
    </font>
    <font>
      <sz val="12"/>
      <color rgb="FFFF0000"/>
      <name val="Segoe UI"/>
      <family val="2"/>
    </font>
    <font>
      <sz val="12"/>
      <color rgb="FFFF0000"/>
      <name val="Calibri"/>
      <family val="2"/>
      <scheme val="minor"/>
    </font>
    <font>
      <sz val="12"/>
      <color theme="1"/>
      <name val="Segoe UI"/>
      <family val="2"/>
    </font>
    <font>
      <sz val="12"/>
      <color rgb="FF006100"/>
      <name val="Calibri"/>
      <family val="2"/>
      <charset val="163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4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0" borderId="0"/>
    <xf numFmtId="9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0" fontId="26" fillId="0" borderId="0"/>
    <xf numFmtId="9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9" fillId="0" borderId="0"/>
    <xf numFmtId="43" fontId="1" fillId="0" borderId="0" applyFont="0" applyFill="0" applyBorder="0" applyAlignment="0" applyProtection="0"/>
  </cellStyleXfs>
  <cellXfs count="10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3" fontId="21" fillId="0" borderId="10" xfId="0" applyNumberFormat="1" applyFont="1" applyBorder="1" applyAlignment="1">
      <alignment horizontal="right" vertical="center" wrapText="1"/>
    </xf>
    <xf numFmtId="0" fontId="23" fillId="0" borderId="10" xfId="0" applyFont="1" applyBorder="1" applyAlignment="1">
      <alignment vertical="center" wrapText="1"/>
    </xf>
    <xf numFmtId="0" fontId="23" fillId="0" borderId="10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right" vertical="center" wrapText="1"/>
    </xf>
    <xf numFmtId="3" fontId="22" fillId="0" borderId="10" xfId="0" applyNumberFormat="1" applyFont="1" applyBorder="1" applyAlignment="1">
      <alignment horizontal="right" vertical="center" wrapText="1"/>
    </xf>
    <xf numFmtId="3" fontId="23" fillId="0" borderId="10" xfId="0" applyNumberFormat="1" applyFont="1" applyBorder="1" applyAlignment="1">
      <alignment horizontal="right" vertical="center" wrapText="1"/>
    </xf>
    <xf numFmtId="0" fontId="23" fillId="0" borderId="10" xfId="0" applyFont="1" applyBorder="1" applyAlignment="1">
      <alignment horizontal="right" vertical="center" wrapText="1"/>
    </xf>
    <xf numFmtId="0" fontId="20" fillId="0" borderId="10" xfId="0" applyFont="1" applyBorder="1" applyAlignment="1">
      <alignment vertical="center" wrapText="1"/>
    </xf>
    <xf numFmtId="0" fontId="22" fillId="0" borderId="10" xfId="0" applyFont="1" applyBorder="1" applyAlignment="1">
      <alignment wrapText="1"/>
    </xf>
    <xf numFmtId="0" fontId="24" fillId="0" borderId="10" xfId="0" applyFont="1" applyFill="1" applyBorder="1" applyAlignment="1">
      <alignment vertical="center" wrapText="1"/>
    </xf>
    <xf numFmtId="3" fontId="23" fillId="0" borderId="10" xfId="0" applyNumberFormat="1" applyFont="1" applyBorder="1" applyAlignment="1">
      <alignment vertical="center" wrapText="1"/>
    </xf>
    <xf numFmtId="0" fontId="24" fillId="0" borderId="10" xfId="0" applyFont="1" applyFill="1" applyBorder="1" applyAlignment="1">
      <alignment wrapText="1"/>
    </xf>
    <xf numFmtId="0" fontId="24" fillId="0" borderId="10" xfId="0" applyFont="1" applyBorder="1" applyAlignment="1">
      <alignment wrapText="1"/>
    </xf>
    <xf numFmtId="165" fontId="24" fillId="0" borderId="10" xfId="43" applyNumberFormat="1" applyFont="1" applyFill="1" applyBorder="1" applyAlignment="1">
      <alignment horizontal="right" vertical="center" wrapText="1"/>
    </xf>
    <xf numFmtId="3" fontId="0" fillId="0" borderId="0" xfId="0" applyNumberFormat="1"/>
    <xf numFmtId="0" fontId="22" fillId="0" borderId="10" xfId="0" applyFont="1" applyBorder="1" applyAlignment="1">
      <alignment horizontal="center" vertical="center" wrapText="1"/>
    </xf>
    <xf numFmtId="0" fontId="22" fillId="0" borderId="10" xfId="0" applyFont="1" applyBorder="1" applyAlignment="1">
      <alignment vertical="center" wrapText="1"/>
    </xf>
    <xf numFmtId="3" fontId="20" fillId="0" borderId="10" xfId="0" applyNumberFormat="1" applyFont="1" applyBorder="1" applyAlignment="1">
      <alignment horizontal="right" vertical="center" wrapText="1"/>
    </xf>
    <xf numFmtId="3" fontId="21" fillId="0" borderId="10" xfId="0" applyNumberFormat="1" applyFont="1" applyBorder="1" applyAlignment="1">
      <alignment horizontal="center" vertical="center" wrapText="1"/>
    </xf>
    <xf numFmtId="167" fontId="24" fillId="0" borderId="10" xfId="46" applyNumberFormat="1" applyFont="1" applyFill="1" applyBorder="1" applyAlignment="1">
      <alignment horizontal="left" wrapText="1"/>
    </xf>
    <xf numFmtId="167" fontId="27" fillId="0" borderId="10" xfId="46" applyNumberFormat="1" applyFont="1" applyFill="1" applyBorder="1" applyAlignment="1">
      <alignment horizontal="left" wrapText="1"/>
    </xf>
    <xf numFmtId="9" fontId="22" fillId="0" borderId="10" xfId="0" applyNumberFormat="1" applyFont="1" applyBorder="1" applyAlignment="1">
      <alignment horizontal="center" vertical="center" wrapText="1"/>
    </xf>
    <xf numFmtId="0" fontId="28" fillId="33" borderId="0" xfId="0" applyFont="1" applyFill="1"/>
    <xf numFmtId="4" fontId="28" fillId="33" borderId="0" xfId="0" applyNumberFormat="1" applyFont="1" applyFill="1"/>
    <xf numFmtId="0" fontId="28" fillId="0" borderId="0" xfId="0" applyFont="1" applyFill="1"/>
    <xf numFmtId="3" fontId="30" fillId="0" borderId="10" xfId="0" applyNumberFormat="1" applyFont="1" applyBorder="1" applyAlignment="1">
      <alignment horizontal="right" vertical="center" wrapText="1"/>
    </xf>
    <xf numFmtId="0" fontId="30" fillId="0" borderId="10" xfId="0" applyFont="1" applyBorder="1" applyAlignment="1">
      <alignment vertical="center" wrapText="1"/>
    </xf>
    <xf numFmtId="0" fontId="22" fillId="34" borderId="10" xfId="0" applyFont="1" applyFill="1" applyBorder="1" applyAlignment="1">
      <alignment wrapText="1"/>
    </xf>
    <xf numFmtId="0" fontId="23" fillId="34" borderId="10" xfId="0" applyFont="1" applyFill="1" applyBorder="1" applyAlignment="1">
      <alignment horizontal="center" vertical="center" wrapText="1"/>
    </xf>
    <xf numFmtId="0" fontId="24" fillId="34" borderId="10" xfId="0" applyFont="1" applyFill="1" applyBorder="1" applyAlignment="1">
      <alignment vertical="center" wrapText="1"/>
    </xf>
    <xf numFmtId="0" fontId="25" fillId="34" borderId="10" xfId="0" applyFont="1" applyFill="1" applyBorder="1" applyAlignment="1">
      <alignment vertical="center" wrapText="1"/>
    </xf>
    <xf numFmtId="3" fontId="22" fillId="34" borderId="10" xfId="0" applyNumberFormat="1" applyFont="1" applyFill="1" applyBorder="1" applyAlignment="1">
      <alignment vertical="center" wrapText="1"/>
    </xf>
    <xf numFmtId="3" fontId="23" fillId="34" borderId="10" xfId="0" applyNumberFormat="1" applyFont="1" applyFill="1" applyBorder="1" applyAlignment="1">
      <alignment vertical="center" wrapText="1"/>
    </xf>
    <xf numFmtId="0" fontId="23" fillId="34" borderId="10" xfId="0" applyFont="1" applyFill="1" applyBorder="1" applyAlignment="1">
      <alignment vertical="center" wrapText="1"/>
    </xf>
    <xf numFmtId="3" fontId="29" fillId="34" borderId="10" xfId="0" applyNumberFormat="1" applyFont="1" applyFill="1" applyBorder="1" applyAlignment="1">
      <alignment horizontal="right" vertical="center" wrapText="1"/>
    </xf>
    <xf numFmtId="3" fontId="23" fillId="34" borderId="10" xfId="0" applyNumberFormat="1" applyFont="1" applyFill="1" applyBorder="1" applyAlignment="1">
      <alignment horizontal="right" vertical="center" wrapText="1"/>
    </xf>
    <xf numFmtId="0" fontId="22" fillId="34" borderId="10" xfId="0" quotePrefix="1" applyFont="1" applyFill="1" applyBorder="1" applyAlignment="1">
      <alignment wrapText="1"/>
    </xf>
    <xf numFmtId="167" fontId="27" fillId="0" borderId="10" xfId="46" applyNumberFormat="1" applyFont="1" applyFill="1" applyBorder="1" applyAlignment="1">
      <alignment horizontal="left" vertical="center" wrapText="1"/>
    </xf>
    <xf numFmtId="0" fontId="27" fillId="0" borderId="10" xfId="46" applyFont="1" applyBorder="1" applyAlignment="1">
      <alignment vertical="center" wrapText="1"/>
    </xf>
    <xf numFmtId="168" fontId="0" fillId="0" borderId="0" xfId="50" applyNumberFormat="1" applyFont="1"/>
    <xf numFmtId="0" fontId="23" fillId="0" borderId="0" xfId="0" applyFont="1" applyBorder="1" applyAlignment="1">
      <alignment horizontal="center" vertical="center" wrapText="1"/>
    </xf>
    <xf numFmtId="0" fontId="24" fillId="0" borderId="0" xfId="0" applyFont="1" applyFill="1" applyBorder="1" applyAlignment="1">
      <alignment vertical="center" wrapText="1"/>
    </xf>
    <xf numFmtId="3" fontId="22" fillId="0" borderId="0" xfId="0" applyNumberFormat="1" applyFont="1" applyBorder="1" applyAlignment="1">
      <alignment horizontal="right" vertical="center" wrapText="1"/>
    </xf>
    <xf numFmtId="3" fontId="23" fillId="0" borderId="0" xfId="0" applyNumberFormat="1" applyFont="1" applyBorder="1" applyAlignment="1">
      <alignment vertical="center" wrapText="1"/>
    </xf>
    <xf numFmtId="0" fontId="22" fillId="0" borderId="0" xfId="0" applyFont="1" applyBorder="1" applyAlignment="1">
      <alignment vertical="center" wrapText="1"/>
    </xf>
    <xf numFmtId="9" fontId="0" fillId="0" borderId="0" xfId="51" applyFont="1"/>
    <xf numFmtId="164" fontId="0" fillId="0" borderId="0" xfId="50" applyFont="1"/>
    <xf numFmtId="168" fontId="22" fillId="0" borderId="0" xfId="50" applyNumberFormat="1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31" fillId="0" borderId="10" xfId="52" applyFont="1" applyBorder="1" applyAlignment="1">
      <alignment horizontal="left" vertical="center" wrapText="1"/>
    </xf>
    <xf numFmtId="0" fontId="32" fillId="0" borderId="10" xfId="52" applyFont="1" applyBorder="1" applyAlignment="1">
      <alignment horizontal="left" vertical="center" wrapText="1"/>
    </xf>
    <xf numFmtId="0" fontId="31" fillId="0" borderId="10" xfId="52" applyFont="1" applyBorder="1" applyAlignment="1">
      <alignment vertical="center" wrapText="1"/>
    </xf>
    <xf numFmtId="0" fontId="32" fillId="0" borderId="10" xfId="52" applyFont="1" applyBorder="1" applyAlignment="1">
      <alignment vertical="center" wrapText="1"/>
    </xf>
    <xf numFmtId="0" fontId="33" fillId="0" borderId="10" xfId="0" applyFont="1" applyBorder="1" applyAlignment="1">
      <alignment horizontal="center" vertical="center"/>
    </xf>
    <xf numFmtId="0" fontId="34" fillId="33" borderId="10" xfId="0" applyFont="1" applyFill="1" applyBorder="1" applyAlignment="1">
      <alignment horizontal="center" vertical="center"/>
    </xf>
    <xf numFmtId="0" fontId="33" fillId="33" borderId="10" xfId="0" applyFont="1" applyFill="1" applyBorder="1" applyAlignment="1">
      <alignment horizontal="center" vertical="center"/>
    </xf>
    <xf numFmtId="0" fontId="35" fillId="0" borderId="10" xfId="52" applyFont="1" applyBorder="1" applyAlignment="1">
      <alignment horizontal="center" vertical="center"/>
    </xf>
    <xf numFmtId="166" fontId="31" fillId="0" borderId="10" xfId="53" quotePrefix="1" applyNumberFormat="1" applyFont="1" applyBorder="1" applyAlignment="1">
      <alignment horizontal="justify" vertical="center"/>
    </xf>
    <xf numFmtId="166" fontId="32" fillId="0" borderId="10" xfId="53" applyNumberFormat="1" applyFont="1" applyBorder="1" applyAlignment="1">
      <alignment horizontal="justify" vertical="center"/>
    </xf>
    <xf numFmtId="0" fontId="36" fillId="35" borderId="10" xfId="0" quotePrefix="1" applyFont="1" applyFill="1" applyBorder="1" applyAlignment="1">
      <alignment horizontal="center"/>
    </xf>
    <xf numFmtId="0" fontId="36" fillId="35" borderId="11" xfId="0" quotePrefix="1" applyFont="1" applyFill="1" applyBorder="1" applyAlignment="1">
      <alignment horizontal="center"/>
    </xf>
    <xf numFmtId="0" fontId="36" fillId="35" borderId="0" xfId="0" applyFont="1" applyFill="1" applyBorder="1" applyAlignment="1">
      <alignment horizontal="center"/>
    </xf>
    <xf numFmtId="0" fontId="36" fillId="35" borderId="10" xfId="0" quotePrefix="1" applyFont="1" applyFill="1" applyBorder="1" applyAlignment="1">
      <alignment horizontal="center" wrapText="1"/>
    </xf>
    <xf numFmtId="9" fontId="36" fillId="35" borderId="10" xfId="51" quotePrefix="1" applyFont="1" applyFill="1" applyBorder="1" applyAlignment="1">
      <alignment horizontal="center" wrapText="1"/>
    </xf>
    <xf numFmtId="166" fontId="36" fillId="35" borderId="10" xfId="50" quotePrefix="1" applyNumberFormat="1" applyFont="1" applyFill="1" applyBorder="1" applyAlignment="1">
      <alignment horizontal="center" wrapText="1"/>
    </xf>
    <xf numFmtId="0" fontId="37" fillId="0" borderId="0" xfId="0" applyFont="1" applyAlignment="1">
      <alignment wrapText="1"/>
    </xf>
    <xf numFmtId="0" fontId="37" fillId="0" borderId="0" xfId="0" applyFont="1"/>
    <xf numFmtId="0" fontId="38" fillId="0" borderId="10" xfId="0" quotePrefix="1" applyFont="1" applyBorder="1" applyAlignment="1">
      <alignment horizontal="right"/>
    </xf>
    <xf numFmtId="0" fontId="38" fillId="0" borderId="10" xfId="0" quotePrefix="1" applyFont="1" applyBorder="1"/>
    <xf numFmtId="9" fontId="38" fillId="0" borderId="10" xfId="51" quotePrefix="1" applyFont="1" applyBorder="1"/>
    <xf numFmtId="166" fontId="38" fillId="0" borderId="10" xfId="50" quotePrefix="1" applyNumberFormat="1" applyFont="1" applyBorder="1" applyAlignment="1">
      <alignment horizontal="right"/>
    </xf>
    <xf numFmtId="0" fontId="38" fillId="0" borderId="0" xfId="0" quotePrefix="1" applyFont="1" applyBorder="1"/>
    <xf numFmtId="0" fontId="39" fillId="0" borderId="0" xfId="0" applyFont="1"/>
    <xf numFmtId="0" fontId="38" fillId="0" borderId="10" xfId="0" quotePrefix="1" applyFont="1" applyBorder="1" applyAlignment="1">
      <alignment horizontal="right" vertical="center"/>
    </xf>
    <xf numFmtId="0" fontId="40" fillId="0" borderId="0" xfId="0" applyFont="1"/>
    <xf numFmtId="0" fontId="41" fillId="2" borderId="13" xfId="6" applyFont="1" applyBorder="1" applyAlignment="1">
      <alignment horizontal="right"/>
    </xf>
    <xf numFmtId="0" fontId="38" fillId="0" borderId="14" xfId="0" quotePrefix="1" applyFont="1" applyBorder="1" applyAlignment="1">
      <alignment horizontal="right"/>
    </xf>
    <xf numFmtId="0" fontId="41" fillId="2" borderId="10" xfId="6" applyFont="1" applyBorder="1" applyAlignment="1">
      <alignment horizontal="right"/>
    </xf>
    <xf numFmtId="0" fontId="37" fillId="0" borderId="10" xfId="0" applyFont="1" applyBorder="1"/>
    <xf numFmtId="0" fontId="41" fillId="2" borderId="10" xfId="6" applyFont="1" applyBorder="1"/>
    <xf numFmtId="0" fontId="42" fillId="2" borderId="10" xfId="6" applyFont="1" applyBorder="1" applyAlignment="1">
      <alignment horizontal="right"/>
    </xf>
    <xf numFmtId="0" fontId="42" fillId="2" borderId="10" xfId="6" applyFont="1" applyBorder="1" applyAlignment="1">
      <alignment horizontal="right"/>
    </xf>
    <xf numFmtId="0" fontId="42" fillId="2" borderId="10" xfId="6" applyFont="1" applyBorder="1"/>
    <xf numFmtId="9" fontId="42" fillId="2" borderId="10" xfId="51" applyFont="1" applyFill="1" applyBorder="1"/>
    <xf numFmtId="166" fontId="42" fillId="2" borderId="10" xfId="50" applyNumberFormat="1" applyFont="1" applyFill="1" applyBorder="1" applyAlignment="1">
      <alignment horizontal="right"/>
    </xf>
    <xf numFmtId="0" fontId="37" fillId="0" borderId="10" xfId="0" applyFont="1" applyBorder="1" applyAlignment="1">
      <alignment wrapText="1"/>
    </xf>
    <xf numFmtId="0" fontId="38" fillId="0" borderId="10" xfId="0" applyFont="1" applyFill="1" applyBorder="1" applyAlignment="1">
      <alignment horizontal="right"/>
    </xf>
    <xf numFmtId="9" fontId="37" fillId="0" borderId="10" xfId="51" applyFont="1" applyBorder="1"/>
    <xf numFmtId="9" fontId="38" fillId="0" borderId="10" xfId="0" applyNumberFormat="1" applyFont="1" applyFill="1" applyBorder="1" applyAlignment="1">
      <alignment horizontal="right"/>
    </xf>
    <xf numFmtId="166" fontId="38" fillId="0" borderId="10" xfId="50" applyNumberFormat="1" applyFont="1" applyFill="1" applyBorder="1" applyAlignment="1">
      <alignment horizontal="right"/>
    </xf>
    <xf numFmtId="0" fontId="43" fillId="0" borderId="10" xfId="0" applyFont="1" applyBorder="1" applyAlignment="1">
      <alignment wrapText="1"/>
    </xf>
    <xf numFmtId="0" fontId="43" fillId="0" borderId="10" xfId="0" applyFont="1" applyBorder="1"/>
    <xf numFmtId="9" fontId="43" fillId="0" borderId="10" xfId="51" applyFont="1" applyBorder="1"/>
    <xf numFmtId="166" fontId="43" fillId="0" borderId="10" xfId="50" applyNumberFormat="1" applyFont="1" applyBorder="1"/>
    <xf numFmtId="0" fontId="43" fillId="0" borderId="0" xfId="0" applyFont="1"/>
    <xf numFmtId="0" fontId="43" fillId="0" borderId="11" xfId="0" applyFont="1" applyBorder="1"/>
    <xf numFmtId="166" fontId="43" fillId="0" borderId="11" xfId="50" applyNumberFormat="1" applyFont="1" applyBorder="1"/>
    <xf numFmtId="9" fontId="37" fillId="0" borderId="0" xfId="51" applyFont="1"/>
    <xf numFmtId="166" fontId="37" fillId="0" borderId="10" xfId="50" applyNumberFormat="1" applyFont="1" applyBorder="1"/>
    <xf numFmtId="166" fontId="42" fillId="0" borderId="10" xfId="50" applyNumberFormat="1" applyFont="1" applyBorder="1"/>
    <xf numFmtId="0" fontId="41" fillId="2" borderId="12" xfId="6" applyFont="1" applyBorder="1" applyAlignment="1">
      <alignment horizontal="right"/>
    </xf>
    <xf numFmtId="166" fontId="37" fillId="0" borderId="0" xfId="50" applyNumberFormat="1" applyFont="1"/>
    <xf numFmtId="0" fontId="41" fillId="2" borderId="10" xfId="6" applyFont="1" applyBorder="1" applyAlignment="1">
      <alignment horizontal="right"/>
    </xf>
    <xf numFmtId="0" fontId="41" fillId="2" borderId="12" xfId="6" applyFont="1" applyBorder="1" applyAlignment="1">
      <alignment horizontal="left"/>
    </xf>
    <xf numFmtId="166" fontId="42" fillId="33" borderId="10" xfId="50" applyNumberFormat="1" applyFont="1" applyFill="1" applyBorder="1"/>
  </cellXfs>
  <cellStyles count="5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50" builtinId="3"/>
    <cellStyle name="Comma 2" xfId="44"/>
    <cellStyle name="Comma 3" xfId="48"/>
    <cellStyle name="Comma 4 3 3 2" xfId="53"/>
    <cellStyle name="Currency 2" xfId="45"/>
    <cellStyle name="Currency 3" xfId="49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6"/>
    <cellStyle name="Normal 5 2" xfId="52"/>
    <cellStyle name="Note" xfId="15" builtinId="10" customBuiltin="1"/>
    <cellStyle name="Output" xfId="10" builtinId="21" customBuiltin="1"/>
    <cellStyle name="Percent" xfId="51" builtinId="5"/>
    <cellStyle name="Percent 2" xfId="43"/>
    <cellStyle name="Percent 3" xfId="47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zoomScale="85" zoomScaleNormal="85" workbookViewId="0">
      <pane ySplit="3" topLeftCell="A13" activePane="bottomLeft" state="frozen"/>
      <selection pane="bottomLeft" activeCell="Q23" sqref="Q23"/>
    </sheetView>
  </sheetViews>
  <sheetFormatPr defaultRowHeight="15" x14ac:dyDescent="0.25"/>
  <cols>
    <col min="1" max="1" width="6.5703125" customWidth="1"/>
    <col min="2" max="2" width="29" style="2" customWidth="1"/>
    <col min="3" max="3" width="11.5703125" bestFit="1" customWidth="1"/>
    <col min="4" max="4" width="13.140625" bestFit="1" customWidth="1"/>
    <col min="5" max="5" width="17.5703125" customWidth="1"/>
    <col min="6" max="6" width="30.5703125" style="2" customWidth="1"/>
    <col min="7" max="7" width="7.85546875" customWidth="1"/>
    <col min="8" max="8" width="11.7109375" customWidth="1"/>
  </cols>
  <sheetData>
    <row r="1" spans="1:8" ht="28.5" customHeight="1" x14ac:dyDescent="0.25">
      <c r="A1" s="51" t="s">
        <v>0</v>
      </c>
      <c r="B1" s="51" t="s">
        <v>2</v>
      </c>
      <c r="C1" s="51" t="s">
        <v>1</v>
      </c>
      <c r="D1" s="51" t="s">
        <v>12</v>
      </c>
      <c r="E1" s="51" t="s">
        <v>13</v>
      </c>
      <c r="F1" s="51" t="s">
        <v>14</v>
      </c>
    </row>
    <row r="2" spans="1:8" x14ac:dyDescent="0.25">
      <c r="A2" s="51"/>
      <c r="B2" s="51"/>
      <c r="C2" s="51"/>
      <c r="D2" s="51"/>
      <c r="E2" s="51"/>
      <c r="F2" s="51"/>
    </row>
    <row r="3" spans="1:8" ht="15.75" x14ac:dyDescent="0.25">
      <c r="A3" s="5" t="s">
        <v>4</v>
      </c>
      <c r="B3" s="4" t="s">
        <v>31</v>
      </c>
      <c r="C3" s="5">
        <v>1000</v>
      </c>
      <c r="D3" s="3">
        <f>E3/C3</f>
        <v>750385.47103999997</v>
      </c>
      <c r="E3" s="3">
        <f>E4+E7+E10</f>
        <v>750385471.03999996</v>
      </c>
      <c r="F3" s="11"/>
    </row>
    <row r="4" spans="1:8" ht="31.5" x14ac:dyDescent="0.25">
      <c r="A4" s="5">
        <v>1</v>
      </c>
      <c r="B4" s="4" t="s">
        <v>3</v>
      </c>
      <c r="C4" s="21">
        <f>+$C$3</f>
        <v>1000</v>
      </c>
      <c r="D4" s="3">
        <f>E4/C4</f>
        <v>630956.76800000004</v>
      </c>
      <c r="E4" s="3">
        <f>SUM(E5:E6)</f>
        <v>630956768</v>
      </c>
      <c r="F4" s="11"/>
      <c r="H4" s="17"/>
    </row>
    <row r="5" spans="1:8" ht="31.5" x14ac:dyDescent="0.25">
      <c r="A5" s="18">
        <v>1.1000000000000001</v>
      </c>
      <c r="B5" s="19" t="s">
        <v>30</v>
      </c>
      <c r="C5" s="18">
        <f>+$C$3</f>
        <v>1000</v>
      </c>
      <c r="D5" s="20">
        <f>BOM!M81</f>
        <v>630956.76800000004</v>
      </c>
      <c r="E5" s="7">
        <f>+D5*C5</f>
        <v>630956768</v>
      </c>
      <c r="F5" s="11"/>
    </row>
    <row r="6" spans="1:8" ht="31.5" x14ac:dyDescent="0.25">
      <c r="A6" s="18">
        <v>1.2</v>
      </c>
      <c r="B6" s="19" t="s">
        <v>20</v>
      </c>
      <c r="C6" s="18">
        <f>+$C$3</f>
        <v>1000</v>
      </c>
      <c r="D6" s="7"/>
      <c r="E6" s="7">
        <f>+D6*C6</f>
        <v>0</v>
      </c>
      <c r="F6" s="11" t="s">
        <v>35</v>
      </c>
    </row>
    <row r="7" spans="1:8" ht="15" customHeight="1" x14ac:dyDescent="0.25">
      <c r="A7" s="5">
        <v>2</v>
      </c>
      <c r="B7" s="22" t="s">
        <v>21</v>
      </c>
      <c r="C7" s="5"/>
      <c r="D7" s="3"/>
      <c r="E7" s="3">
        <f>E8+E9</f>
        <v>82500000</v>
      </c>
      <c r="F7" s="11"/>
    </row>
    <row r="8" spans="1:8" ht="63" x14ac:dyDescent="0.25">
      <c r="A8" s="18">
        <v>2.1</v>
      </c>
      <c r="B8" s="40" t="s">
        <v>22</v>
      </c>
      <c r="C8" s="18">
        <v>2</v>
      </c>
      <c r="D8" s="20">
        <v>30000000</v>
      </c>
      <c r="E8" s="20">
        <f>C8*D8</f>
        <v>60000000</v>
      </c>
      <c r="F8" s="23" t="s">
        <v>39</v>
      </c>
    </row>
    <row r="9" spans="1:8" ht="63" x14ac:dyDescent="0.25">
      <c r="A9" s="18">
        <v>2.2000000000000002</v>
      </c>
      <c r="B9" s="41" t="s">
        <v>23</v>
      </c>
      <c r="C9" s="18">
        <v>0.75</v>
      </c>
      <c r="D9" s="20">
        <v>30000000</v>
      </c>
      <c r="E9" s="20">
        <f>C9*D9</f>
        <v>22500000</v>
      </c>
      <c r="F9" s="23" t="s">
        <v>38</v>
      </c>
    </row>
    <row r="10" spans="1:8" ht="15" customHeight="1" x14ac:dyDescent="0.25">
      <c r="A10" s="5">
        <v>3</v>
      </c>
      <c r="B10" s="22" t="s">
        <v>24</v>
      </c>
      <c r="C10" s="5"/>
      <c r="D10" s="3"/>
      <c r="E10" s="3">
        <f>SUM(E11:E14)</f>
        <v>36928703.039999999</v>
      </c>
      <c r="F10" s="11"/>
    </row>
    <row r="11" spans="1:8" ht="15.75" x14ac:dyDescent="0.25">
      <c r="A11" s="18">
        <v>3.1</v>
      </c>
      <c r="B11" s="19" t="s">
        <v>25</v>
      </c>
      <c r="C11" s="18">
        <f>+$C$3</f>
        <v>1000</v>
      </c>
      <c r="D11" s="7"/>
      <c r="E11" s="7">
        <f>+D11*C11</f>
        <v>0</v>
      </c>
      <c r="F11" s="11"/>
      <c r="H11" s="17"/>
    </row>
    <row r="12" spans="1:8" ht="31.5" x14ac:dyDescent="0.25">
      <c r="A12" s="18">
        <v>3.2</v>
      </c>
      <c r="B12" s="19" t="s">
        <v>43</v>
      </c>
      <c r="C12" s="18"/>
      <c r="D12" s="7"/>
      <c r="E12" s="7">
        <f>E4*0.03</f>
        <v>18928703.039999999</v>
      </c>
      <c r="F12" s="11"/>
      <c r="H12" s="17"/>
    </row>
    <row r="13" spans="1:8" ht="15.75" x14ac:dyDescent="0.25">
      <c r="A13" s="18" t="s">
        <v>40</v>
      </c>
      <c r="B13" s="19" t="s">
        <v>42</v>
      </c>
      <c r="C13" s="18"/>
      <c r="D13" s="7"/>
      <c r="E13" s="7">
        <v>15000000</v>
      </c>
      <c r="F13" s="11"/>
      <c r="H13" s="17"/>
    </row>
    <row r="14" spans="1:8" ht="31.5" x14ac:dyDescent="0.25">
      <c r="A14" s="18" t="s">
        <v>41</v>
      </c>
      <c r="B14" s="19" t="s">
        <v>7</v>
      </c>
      <c r="C14" s="18"/>
      <c r="D14" s="7"/>
      <c r="E14" s="7">
        <v>3000000</v>
      </c>
      <c r="F14" s="11"/>
    </row>
    <row r="15" spans="1:8" s="1" customFormat="1" ht="15.75" x14ac:dyDescent="0.25">
      <c r="A15" s="31" t="s">
        <v>5</v>
      </c>
      <c r="B15" s="32" t="s">
        <v>26</v>
      </c>
      <c r="C15" s="33"/>
      <c r="D15" s="34"/>
      <c r="E15" s="35">
        <f>E3*0.085</f>
        <v>63782765.038400002</v>
      </c>
      <c r="F15" s="30" t="s">
        <v>36</v>
      </c>
    </row>
    <row r="16" spans="1:8" ht="15.75" x14ac:dyDescent="0.25">
      <c r="A16" s="5" t="s">
        <v>6</v>
      </c>
      <c r="B16" s="4" t="s">
        <v>8</v>
      </c>
      <c r="C16" s="19"/>
      <c r="D16" s="6"/>
      <c r="E16" s="8">
        <f>E3*0.03</f>
        <v>22511564.131199997</v>
      </c>
      <c r="F16" s="11" t="s">
        <v>75</v>
      </c>
    </row>
    <row r="17" spans="1:8" s="1" customFormat="1" ht="31.5" x14ac:dyDescent="0.25">
      <c r="A17" s="5" t="s">
        <v>9</v>
      </c>
      <c r="B17" s="12" t="s">
        <v>15</v>
      </c>
      <c r="C17" s="18"/>
      <c r="D17" s="7"/>
      <c r="E17" s="13">
        <f>10000000+4000000+700000</f>
        <v>14700000</v>
      </c>
      <c r="F17" s="19" t="s">
        <v>44</v>
      </c>
    </row>
    <row r="18" spans="1:8" s="1" customFormat="1" ht="15.75" x14ac:dyDescent="0.25">
      <c r="A18" s="5" t="s">
        <v>16</v>
      </c>
      <c r="B18" s="12" t="s">
        <v>27</v>
      </c>
      <c r="C18" s="5">
        <f>C3*0.05</f>
        <v>50</v>
      </c>
      <c r="D18" s="8">
        <f>E18/C18</f>
        <v>750385.47103999997</v>
      </c>
      <c r="E18" s="13">
        <f>E3*0.05</f>
        <v>37519273.552000001</v>
      </c>
      <c r="F18" s="24">
        <v>0.05</v>
      </c>
    </row>
    <row r="19" spans="1:8" ht="15.75" x14ac:dyDescent="0.25">
      <c r="A19" s="31" t="s">
        <v>17</v>
      </c>
      <c r="B19" s="36" t="s">
        <v>32</v>
      </c>
      <c r="C19" s="31">
        <f>+$C$3</f>
        <v>1000</v>
      </c>
      <c r="D19" s="37">
        <f>E19/C19</f>
        <v>888899.07376160007</v>
      </c>
      <c r="E19" s="38">
        <f>E3+E16+E15+E17+E18</f>
        <v>888899073.76160002</v>
      </c>
      <c r="F19" s="39"/>
      <c r="G19" s="25" t="s">
        <v>37</v>
      </c>
      <c r="H19" s="26">
        <f>D19*1.1</f>
        <v>977788.9811377601</v>
      </c>
    </row>
    <row r="20" spans="1:8" ht="15.75" x14ac:dyDescent="0.25">
      <c r="A20" s="5" t="s">
        <v>19</v>
      </c>
      <c r="B20" s="4" t="s">
        <v>33</v>
      </c>
      <c r="C20" s="18"/>
      <c r="D20" s="10"/>
      <c r="E20" s="3">
        <f>E21</f>
        <v>1066678888.5139202</v>
      </c>
      <c r="F20" s="11"/>
      <c r="H20" s="27"/>
    </row>
    <row r="21" spans="1:8" ht="15.75" x14ac:dyDescent="0.25">
      <c r="A21" s="18">
        <v>1</v>
      </c>
      <c r="B21" s="19" t="s">
        <v>259</v>
      </c>
      <c r="C21" s="18">
        <f>+$C$3</f>
        <v>1000</v>
      </c>
      <c r="D21" s="28">
        <f>D19*1.2</f>
        <v>1066678.8885139201</v>
      </c>
      <c r="E21" s="7">
        <f>C21*D21</f>
        <v>1066678888.5139202</v>
      </c>
      <c r="F21" s="29" t="s">
        <v>258</v>
      </c>
      <c r="G21" s="25" t="s">
        <v>37</v>
      </c>
      <c r="H21" s="26">
        <f>D21*1.1</f>
        <v>1173346.7773653122</v>
      </c>
    </row>
    <row r="22" spans="1:8" ht="15.75" x14ac:dyDescent="0.25">
      <c r="A22" s="5" t="s">
        <v>28</v>
      </c>
      <c r="B22" s="14" t="s">
        <v>11</v>
      </c>
      <c r="C22" s="19">
        <f>+C3</f>
        <v>1000</v>
      </c>
      <c r="D22" s="7">
        <f>+E22/C22</f>
        <v>177779.81475232018</v>
      </c>
      <c r="E22" s="8">
        <f>E20-E19</f>
        <v>177779814.75232017</v>
      </c>
      <c r="F22" s="11"/>
    </row>
    <row r="23" spans="1:8" ht="31.5" x14ac:dyDescent="0.25">
      <c r="A23" s="5" t="s">
        <v>29</v>
      </c>
      <c r="B23" s="15" t="s">
        <v>18</v>
      </c>
      <c r="C23" s="9"/>
      <c r="D23" s="3"/>
      <c r="E23" s="16">
        <f>E22/E20</f>
        <v>0.1666666666666668</v>
      </c>
      <c r="F23" s="11"/>
    </row>
    <row r="24" spans="1:8" ht="15.75" x14ac:dyDescent="0.25">
      <c r="A24" s="5"/>
      <c r="B24" s="15"/>
      <c r="C24" s="9"/>
      <c r="D24" s="3"/>
      <c r="E24" s="16"/>
      <c r="F24" s="11"/>
    </row>
    <row r="25" spans="1:8" s="1" customFormat="1" ht="31.5" x14ac:dyDescent="0.25">
      <c r="A25" s="5" t="s">
        <v>10</v>
      </c>
      <c r="B25" s="12" t="s">
        <v>34</v>
      </c>
      <c r="C25" s="18"/>
      <c r="D25" s="7"/>
      <c r="E25" s="13">
        <v>100000000</v>
      </c>
      <c r="F25" s="19"/>
    </row>
    <row r="26" spans="1:8" s="1" customFormat="1" ht="15.75" x14ac:dyDescent="0.25">
      <c r="A26" s="43"/>
      <c r="B26" s="44" t="s">
        <v>74</v>
      </c>
      <c r="C26" s="50">
        <f>+E25/D22</f>
        <v>562.49355495908412</v>
      </c>
      <c r="D26" s="45"/>
      <c r="E26" s="46"/>
      <c r="F26" s="47"/>
    </row>
    <row r="28" spans="1:8" x14ac:dyDescent="0.25">
      <c r="C28" s="42"/>
      <c r="D28" s="17"/>
      <c r="E28" s="49"/>
      <c r="F28"/>
      <c r="G28" s="2"/>
      <c r="H28" s="48"/>
    </row>
  </sheetData>
  <mergeCells count="6"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opLeftCell="A52" zoomScale="70" zoomScaleNormal="70" workbookViewId="0">
      <selection activeCell="M81" sqref="M81"/>
    </sheetView>
  </sheetViews>
  <sheetFormatPr defaultRowHeight="15.75" x14ac:dyDescent="0.25"/>
  <cols>
    <col min="1" max="1" width="47.140625" style="69" bestFit="1" customWidth="1"/>
    <col min="2" max="2" width="24.85546875" style="68" customWidth="1"/>
    <col min="3" max="3" width="26.85546875" style="69" bestFit="1" customWidth="1"/>
    <col min="4" max="4" width="8.85546875" style="69" customWidth="1"/>
    <col min="5" max="5" width="10.5703125" style="69" bestFit="1" customWidth="1"/>
    <col min="6" max="6" width="10.42578125" style="69" customWidth="1"/>
    <col min="7" max="7" width="13" style="69" customWidth="1"/>
    <col min="8" max="8" width="9.85546875" style="69" customWidth="1"/>
    <col min="9" max="9" width="11.7109375" style="100" customWidth="1"/>
    <col min="10" max="10" width="14.7109375" style="69" customWidth="1"/>
    <col min="11" max="11" width="13.42578125" style="69" customWidth="1"/>
    <col min="12" max="12" width="23.5703125" style="104" bestFit="1" customWidth="1"/>
    <col min="13" max="13" width="15.42578125" style="104" customWidth="1"/>
    <col min="14" max="16384" width="9.140625" style="69"/>
  </cols>
  <sheetData>
    <row r="1" spans="1:13" s="68" customFormat="1" ht="51.75" x14ac:dyDescent="0.3">
      <c r="A1" s="62" t="s">
        <v>45</v>
      </c>
      <c r="B1" s="62" t="s">
        <v>46</v>
      </c>
      <c r="C1" s="62" t="s">
        <v>47</v>
      </c>
      <c r="D1" s="63" t="s">
        <v>48</v>
      </c>
      <c r="E1" s="64" t="s">
        <v>229</v>
      </c>
      <c r="F1" s="65" t="s">
        <v>49</v>
      </c>
      <c r="G1" s="65" t="s">
        <v>50</v>
      </c>
      <c r="H1" s="65" t="s">
        <v>51</v>
      </c>
      <c r="I1" s="66" t="s">
        <v>52</v>
      </c>
      <c r="J1" s="65" t="s">
        <v>53</v>
      </c>
      <c r="K1" s="65" t="s">
        <v>54</v>
      </c>
      <c r="L1" s="67" t="s">
        <v>55</v>
      </c>
      <c r="M1" s="67" t="s">
        <v>56</v>
      </c>
    </row>
    <row r="2" spans="1:13" s="75" customFormat="1" ht="17.25" x14ac:dyDescent="0.3">
      <c r="A2" s="52" t="s">
        <v>76</v>
      </c>
      <c r="B2" s="54" t="s">
        <v>206</v>
      </c>
      <c r="C2" s="52" t="s">
        <v>146</v>
      </c>
      <c r="D2" s="56">
        <v>1</v>
      </c>
      <c r="E2" s="69">
        <f>D2*1000</f>
        <v>1000</v>
      </c>
      <c r="F2" s="60" t="s">
        <v>230</v>
      </c>
      <c r="G2" s="70">
        <f>F2*E2</f>
        <v>10</v>
      </c>
      <c r="H2" s="71">
        <f>G2/$G$75*$G$76</f>
        <v>0.2903965602263191</v>
      </c>
      <c r="I2" s="72">
        <v>0</v>
      </c>
      <c r="J2" s="70">
        <f>(G2+H2)*I2</f>
        <v>0</v>
      </c>
      <c r="K2" s="70">
        <f>(G2+H2+J2)*(1+$K$76)</f>
        <v>11.319436216248953</v>
      </c>
      <c r="L2" s="73">
        <v>0</v>
      </c>
      <c r="M2" s="73">
        <f>L2*E2</f>
        <v>0</v>
      </c>
    </row>
    <row r="3" spans="1:13" s="77" customFormat="1" ht="15.75" customHeight="1" x14ac:dyDescent="0.3">
      <c r="A3" s="52" t="s">
        <v>77</v>
      </c>
      <c r="B3" s="54" t="s">
        <v>206</v>
      </c>
      <c r="C3" s="52" t="s">
        <v>147</v>
      </c>
      <c r="D3" s="56">
        <v>7</v>
      </c>
      <c r="E3" s="69">
        <f t="shared" ref="E3:E66" si="0">D3*1000</f>
        <v>7000</v>
      </c>
      <c r="F3" s="60" t="s">
        <v>231</v>
      </c>
      <c r="G3" s="76">
        <f t="shared" ref="G3:G71" si="1">F3*E3</f>
        <v>56</v>
      </c>
      <c r="H3" s="76">
        <f>G3/$G$75*$G$76</f>
        <v>1.6262207372673871</v>
      </c>
      <c r="I3" s="72">
        <v>0</v>
      </c>
      <c r="J3" s="76">
        <f t="shared" ref="J3:J66" si="2">(G3+H3)*I3</f>
        <v>0</v>
      </c>
      <c r="K3" s="76">
        <f>(G3+H3+J3)*(1+$K$76)</f>
        <v>63.388842810994134</v>
      </c>
      <c r="L3" s="76">
        <f>ROUND(K3/E3*$L$76,0)</f>
        <v>207</v>
      </c>
      <c r="M3" s="76">
        <f t="shared" ref="M3:M66" si="3">L3*E3</f>
        <v>1449000</v>
      </c>
    </row>
    <row r="4" spans="1:13" ht="17.25" x14ac:dyDescent="0.3">
      <c r="A4" s="52" t="s">
        <v>78</v>
      </c>
      <c r="B4" s="54" t="s">
        <v>206</v>
      </c>
      <c r="C4" s="52" t="s">
        <v>148</v>
      </c>
      <c r="D4" s="56">
        <v>11</v>
      </c>
      <c r="E4" s="69">
        <f t="shared" si="0"/>
        <v>11000</v>
      </c>
      <c r="F4" s="60" t="s">
        <v>231</v>
      </c>
      <c r="G4" s="70">
        <f t="shared" si="1"/>
        <v>88</v>
      </c>
      <c r="H4" s="71">
        <f>G4/$G$75*$G$76</f>
        <v>2.5554897299916082</v>
      </c>
      <c r="I4" s="72">
        <v>0</v>
      </c>
      <c r="J4" s="70">
        <f t="shared" si="2"/>
        <v>0</v>
      </c>
      <c r="K4" s="70">
        <f>(G4+H4+J4)*(1+$K$76)</f>
        <v>99.611038702990768</v>
      </c>
      <c r="L4" s="73">
        <f>ROUND(K4/E4*$L$76,0)</f>
        <v>207</v>
      </c>
      <c r="M4" s="73">
        <f t="shared" si="3"/>
        <v>2277000</v>
      </c>
    </row>
    <row r="5" spans="1:13" ht="31.5" x14ac:dyDescent="0.3">
      <c r="A5" s="52" t="s">
        <v>79</v>
      </c>
      <c r="B5" s="54" t="s">
        <v>207</v>
      </c>
      <c r="C5" s="52" t="s">
        <v>149</v>
      </c>
      <c r="D5" s="56">
        <v>1</v>
      </c>
      <c r="E5" s="69">
        <f t="shared" si="0"/>
        <v>1000</v>
      </c>
      <c r="F5" s="60" t="s">
        <v>232</v>
      </c>
      <c r="G5" s="70">
        <f t="shared" si="1"/>
        <v>200</v>
      </c>
      <c r="H5" s="71">
        <f>G5/$G$75*$G$76</f>
        <v>5.8079312045263825</v>
      </c>
      <c r="I5" s="72">
        <v>0</v>
      </c>
      <c r="J5" s="70">
        <f t="shared" si="2"/>
        <v>0</v>
      </c>
      <c r="K5" s="70">
        <f>(G5+H5+J5)*(1+$K$76)</f>
        <v>226.38872432497902</v>
      </c>
      <c r="L5" s="73">
        <f>ROUND(K5/E5*$L$76,0)</f>
        <v>5184</v>
      </c>
      <c r="M5" s="73">
        <f t="shared" si="3"/>
        <v>5184000</v>
      </c>
    </row>
    <row r="6" spans="1:13" ht="17.25" x14ac:dyDescent="0.3">
      <c r="A6" s="52" t="s">
        <v>80</v>
      </c>
      <c r="B6" s="54" t="s">
        <v>208</v>
      </c>
      <c r="C6" s="52" t="s">
        <v>150</v>
      </c>
      <c r="D6" s="56">
        <v>1</v>
      </c>
      <c r="E6" s="69">
        <f t="shared" si="0"/>
        <v>1000</v>
      </c>
      <c r="F6" s="60" t="s">
        <v>231</v>
      </c>
      <c r="G6" s="70">
        <f t="shared" si="1"/>
        <v>8</v>
      </c>
      <c r="H6" s="71">
        <f>G6/$G$75*$G$76</f>
        <v>0.23231724818105529</v>
      </c>
      <c r="I6" s="72">
        <v>0</v>
      </c>
      <c r="J6" s="70">
        <f t="shared" si="2"/>
        <v>0</v>
      </c>
      <c r="K6" s="70">
        <f>(G6+H6+J6)*(1+$K$76)</f>
        <v>9.0555489729991603</v>
      </c>
      <c r="L6" s="73">
        <f>ROUND(K6/E6*$L$76,0)</f>
        <v>207</v>
      </c>
      <c r="M6" s="73">
        <f t="shared" si="3"/>
        <v>207000</v>
      </c>
    </row>
    <row r="7" spans="1:13" ht="17.25" x14ac:dyDescent="0.3">
      <c r="A7" s="52" t="s">
        <v>81</v>
      </c>
      <c r="B7" s="54" t="s">
        <v>208</v>
      </c>
      <c r="C7" s="52" t="s">
        <v>151</v>
      </c>
      <c r="D7" s="56">
        <v>1</v>
      </c>
      <c r="E7" s="69">
        <f t="shared" si="0"/>
        <v>1000</v>
      </c>
      <c r="F7" s="60" t="s">
        <v>231</v>
      </c>
      <c r="G7" s="70">
        <f t="shared" si="1"/>
        <v>8</v>
      </c>
      <c r="H7" s="71">
        <f>G7/$G$75*$G$76</f>
        <v>0.23231724818105529</v>
      </c>
      <c r="I7" s="72">
        <v>0</v>
      </c>
      <c r="J7" s="70">
        <f t="shared" si="2"/>
        <v>0</v>
      </c>
      <c r="K7" s="70">
        <f>(G7+H7+J7)*(1+$K$76)</f>
        <v>9.0555489729991603</v>
      </c>
      <c r="L7" s="73">
        <f>ROUND(K7/E7*$L$76,0)</f>
        <v>207</v>
      </c>
      <c r="M7" s="73">
        <f t="shared" si="3"/>
        <v>207000</v>
      </c>
    </row>
    <row r="8" spans="1:13" ht="17.25" x14ac:dyDescent="0.3">
      <c r="A8" s="52" t="s">
        <v>82</v>
      </c>
      <c r="B8" s="54" t="s">
        <v>206</v>
      </c>
      <c r="C8" s="52" t="s">
        <v>152</v>
      </c>
      <c r="D8" s="56">
        <v>1</v>
      </c>
      <c r="E8" s="69">
        <f t="shared" si="0"/>
        <v>1000</v>
      </c>
      <c r="F8" s="60" t="s">
        <v>233</v>
      </c>
      <c r="G8" s="70">
        <f t="shared" si="1"/>
        <v>30</v>
      </c>
      <c r="H8" s="71">
        <f>G8/$G$75*$G$76</f>
        <v>0.8711896806789573</v>
      </c>
      <c r="I8" s="72">
        <v>0</v>
      </c>
      <c r="J8" s="70">
        <f t="shared" si="2"/>
        <v>0</v>
      </c>
      <c r="K8" s="70">
        <f>(G8+H8+J8)*(1+$K$76)</f>
        <v>33.958308648746858</v>
      </c>
      <c r="L8" s="73">
        <f>ROUND(K8/E8*$L$76,0)</f>
        <v>778</v>
      </c>
      <c r="M8" s="73">
        <f t="shared" si="3"/>
        <v>778000</v>
      </c>
    </row>
    <row r="9" spans="1:13" ht="31.5" x14ac:dyDescent="0.3">
      <c r="A9" s="52" t="s">
        <v>83</v>
      </c>
      <c r="B9" s="54" t="s">
        <v>206</v>
      </c>
      <c r="C9" s="52" t="s">
        <v>153</v>
      </c>
      <c r="D9" s="56">
        <v>1</v>
      </c>
      <c r="E9" s="69">
        <f t="shared" si="0"/>
        <v>1000</v>
      </c>
      <c r="F9" s="60" t="s">
        <v>233</v>
      </c>
      <c r="G9" s="70">
        <f t="shared" si="1"/>
        <v>30</v>
      </c>
      <c r="H9" s="71">
        <f>G9/$G$75*$G$76</f>
        <v>0.8711896806789573</v>
      </c>
      <c r="I9" s="72">
        <v>0</v>
      </c>
      <c r="J9" s="70">
        <f t="shared" si="2"/>
        <v>0</v>
      </c>
      <c r="K9" s="70">
        <f>(G9+H9+J9)*(1+$K$76)</f>
        <v>33.958308648746858</v>
      </c>
      <c r="L9" s="73">
        <f>ROUND(K9/E9*$L$76,0)</f>
        <v>778</v>
      </c>
      <c r="M9" s="73">
        <f t="shared" si="3"/>
        <v>778000</v>
      </c>
    </row>
    <row r="10" spans="1:13" ht="31.5" x14ac:dyDescent="0.3">
      <c r="A10" s="52" t="s">
        <v>84</v>
      </c>
      <c r="B10" s="54" t="s">
        <v>206</v>
      </c>
      <c r="C10" s="52" t="s">
        <v>154</v>
      </c>
      <c r="D10" s="56">
        <v>1</v>
      </c>
      <c r="E10" s="69">
        <f t="shared" si="0"/>
        <v>1000</v>
      </c>
      <c r="F10" s="60" t="s">
        <v>234</v>
      </c>
      <c r="G10" s="70">
        <f t="shared" si="1"/>
        <v>100</v>
      </c>
      <c r="H10" s="71">
        <f>G10/$G$75*$G$76</f>
        <v>2.9039656022631912</v>
      </c>
      <c r="I10" s="72">
        <v>0</v>
      </c>
      <c r="J10" s="70">
        <f t="shared" si="2"/>
        <v>0</v>
      </c>
      <c r="K10" s="70">
        <f>(G10+H10+J10)*(1+$K$76)</f>
        <v>113.19436216248951</v>
      </c>
      <c r="L10" s="73">
        <f>ROUND(K10/E10*$L$76,0)</f>
        <v>2592</v>
      </c>
      <c r="M10" s="73">
        <f t="shared" si="3"/>
        <v>2592000</v>
      </c>
    </row>
    <row r="11" spans="1:13" ht="17.25" x14ac:dyDescent="0.3">
      <c r="A11" s="52" t="s">
        <v>85</v>
      </c>
      <c r="B11" s="54" t="s">
        <v>206</v>
      </c>
      <c r="C11" s="52" t="s">
        <v>155</v>
      </c>
      <c r="D11" s="56">
        <v>7</v>
      </c>
      <c r="E11" s="69">
        <f t="shared" si="0"/>
        <v>7000</v>
      </c>
      <c r="F11" s="60" t="s">
        <v>231</v>
      </c>
      <c r="G11" s="70">
        <f t="shared" si="1"/>
        <v>56</v>
      </c>
      <c r="H11" s="71">
        <f>G11/$G$75*$G$76</f>
        <v>1.6262207372673871</v>
      </c>
      <c r="I11" s="72">
        <v>0</v>
      </c>
      <c r="J11" s="70">
        <f t="shared" si="2"/>
        <v>0</v>
      </c>
      <c r="K11" s="70">
        <f>(G11+H11+J11)*(1+$K$76)</f>
        <v>63.388842810994134</v>
      </c>
      <c r="L11" s="73">
        <f>ROUND(K11/E11*$L$76,0)</f>
        <v>207</v>
      </c>
      <c r="M11" s="73">
        <f t="shared" si="3"/>
        <v>1449000</v>
      </c>
    </row>
    <row r="12" spans="1:13" ht="17.25" x14ac:dyDescent="0.3">
      <c r="A12" s="52" t="s">
        <v>86</v>
      </c>
      <c r="B12" s="54" t="s">
        <v>208</v>
      </c>
      <c r="C12" s="52" t="s">
        <v>156</v>
      </c>
      <c r="D12" s="56">
        <v>3</v>
      </c>
      <c r="E12" s="69">
        <f t="shared" si="0"/>
        <v>3000</v>
      </c>
      <c r="F12" s="60" t="s">
        <v>231</v>
      </c>
      <c r="G12" s="70">
        <f t="shared" si="1"/>
        <v>24</v>
      </c>
      <c r="H12" s="71">
        <f>G12/$G$75*$G$76</f>
        <v>0.69695174454316577</v>
      </c>
      <c r="I12" s="72">
        <v>0</v>
      </c>
      <c r="J12" s="70">
        <f t="shared" si="2"/>
        <v>0</v>
      </c>
      <c r="K12" s="70">
        <f>(G12+H12+J12)*(1+$K$76)</f>
        <v>27.166646918997486</v>
      </c>
      <c r="L12" s="73">
        <f>ROUND(K12/E12*$L$76,0)</f>
        <v>207</v>
      </c>
      <c r="M12" s="73">
        <f t="shared" si="3"/>
        <v>621000</v>
      </c>
    </row>
    <row r="13" spans="1:13" ht="17.25" x14ac:dyDescent="0.3">
      <c r="A13" s="52" t="s">
        <v>87</v>
      </c>
      <c r="B13" s="54" t="s">
        <v>57</v>
      </c>
      <c r="C13" s="52" t="s">
        <v>157</v>
      </c>
      <c r="D13" s="56">
        <v>2</v>
      </c>
      <c r="E13" s="69">
        <f t="shared" si="0"/>
        <v>2000</v>
      </c>
      <c r="F13" s="60" t="s">
        <v>231</v>
      </c>
      <c r="G13" s="70">
        <f t="shared" si="1"/>
        <v>16</v>
      </c>
      <c r="H13" s="71">
        <f>G13/$G$75*$G$76</f>
        <v>0.46463449636211057</v>
      </c>
      <c r="I13" s="72">
        <v>0</v>
      </c>
      <c r="J13" s="70">
        <f t="shared" si="2"/>
        <v>0</v>
      </c>
      <c r="K13" s="70">
        <f>(G13+H13+J13)*(1+$K$76)</f>
        <v>18.111097945998321</v>
      </c>
      <c r="L13" s="73">
        <f>ROUND(K13/E13*$L$76,0)</f>
        <v>207</v>
      </c>
      <c r="M13" s="73">
        <f t="shared" si="3"/>
        <v>414000</v>
      </c>
    </row>
    <row r="14" spans="1:13" ht="31.5" x14ac:dyDescent="0.3">
      <c r="A14" s="52" t="s">
        <v>88</v>
      </c>
      <c r="B14" s="54" t="s">
        <v>206</v>
      </c>
      <c r="C14" s="52" t="s">
        <v>158</v>
      </c>
      <c r="D14" s="56">
        <v>2</v>
      </c>
      <c r="E14" s="69">
        <f t="shared" si="0"/>
        <v>2000</v>
      </c>
      <c r="F14" s="60" t="s">
        <v>231</v>
      </c>
      <c r="G14" s="70">
        <f t="shared" si="1"/>
        <v>16</v>
      </c>
      <c r="H14" s="71">
        <f>G14/$G$75*$G$76</f>
        <v>0.46463449636211057</v>
      </c>
      <c r="I14" s="72">
        <v>0</v>
      </c>
      <c r="J14" s="70">
        <f t="shared" si="2"/>
        <v>0</v>
      </c>
      <c r="K14" s="70">
        <f>(G14+H14+J14)*(1+$K$76)</f>
        <v>18.111097945998321</v>
      </c>
      <c r="L14" s="73">
        <f>ROUND(K14/E14*$L$76,0)</f>
        <v>207</v>
      </c>
      <c r="M14" s="73">
        <f t="shared" si="3"/>
        <v>414000</v>
      </c>
    </row>
    <row r="15" spans="1:13" ht="31.5" x14ac:dyDescent="0.3">
      <c r="A15" s="52" t="s">
        <v>89</v>
      </c>
      <c r="B15" s="54" t="s">
        <v>208</v>
      </c>
      <c r="C15" s="52" t="s">
        <v>159</v>
      </c>
      <c r="D15" s="56">
        <v>2</v>
      </c>
      <c r="E15" s="69">
        <f t="shared" si="0"/>
        <v>2000</v>
      </c>
      <c r="F15" s="60" t="s">
        <v>231</v>
      </c>
      <c r="G15" s="70">
        <f t="shared" si="1"/>
        <v>16</v>
      </c>
      <c r="H15" s="71">
        <f>G15/$G$75*$G$76</f>
        <v>0.46463449636211057</v>
      </c>
      <c r="I15" s="72">
        <v>0</v>
      </c>
      <c r="J15" s="70">
        <f t="shared" si="2"/>
        <v>0</v>
      </c>
      <c r="K15" s="70">
        <f>(G15+H15+J15)*(1+$K$76)</f>
        <v>18.111097945998321</v>
      </c>
      <c r="L15" s="73">
        <f>ROUND(K15/E15*$L$76,0)</f>
        <v>207</v>
      </c>
      <c r="M15" s="73">
        <f t="shared" si="3"/>
        <v>414000</v>
      </c>
    </row>
    <row r="16" spans="1:13" ht="17.25" x14ac:dyDescent="0.3">
      <c r="A16" s="52" t="s">
        <v>90</v>
      </c>
      <c r="B16" s="54" t="s">
        <v>209</v>
      </c>
      <c r="C16" s="52" t="s">
        <v>160</v>
      </c>
      <c r="D16" s="56">
        <v>2</v>
      </c>
      <c r="E16" s="69">
        <f t="shared" si="0"/>
        <v>2000</v>
      </c>
      <c r="F16" s="60" t="s">
        <v>233</v>
      </c>
      <c r="G16" s="70">
        <f t="shared" si="1"/>
        <v>60</v>
      </c>
      <c r="H16" s="71">
        <f>G16/$G$75*$G$76</f>
        <v>1.7423793613579146</v>
      </c>
      <c r="I16" s="72">
        <v>0</v>
      </c>
      <c r="J16" s="70">
        <f t="shared" si="2"/>
        <v>0</v>
      </c>
      <c r="K16" s="70">
        <f>(G16+H16+J16)*(1+$K$76)</f>
        <v>67.916617297493715</v>
      </c>
      <c r="L16" s="73">
        <f>ROUND(K16/E16*$L$76,0)</f>
        <v>778</v>
      </c>
      <c r="M16" s="73">
        <f t="shared" si="3"/>
        <v>1556000</v>
      </c>
    </row>
    <row r="17" spans="1:13" ht="31.5" x14ac:dyDescent="0.3">
      <c r="A17" s="52" t="s">
        <v>91</v>
      </c>
      <c r="B17" s="54" t="s">
        <v>60</v>
      </c>
      <c r="C17" s="52" t="s">
        <v>161</v>
      </c>
      <c r="D17" s="56">
        <v>1</v>
      </c>
      <c r="E17" s="69">
        <f t="shared" si="0"/>
        <v>1000</v>
      </c>
      <c r="F17" s="60" t="s">
        <v>235</v>
      </c>
      <c r="G17" s="70">
        <f t="shared" si="1"/>
        <v>40</v>
      </c>
      <c r="H17" s="71">
        <f>G17/$G$75*$G$76</f>
        <v>1.1615862409052764</v>
      </c>
      <c r="I17" s="72">
        <v>0</v>
      </c>
      <c r="J17" s="70">
        <f t="shared" si="2"/>
        <v>0</v>
      </c>
      <c r="K17" s="70">
        <f>(G17+H17+J17)*(1+$K$76)</f>
        <v>45.27774486499581</v>
      </c>
      <c r="L17" s="73">
        <f>ROUND(K17/E17*$L$76,0)</f>
        <v>1037</v>
      </c>
      <c r="M17" s="73">
        <f t="shared" si="3"/>
        <v>1037000</v>
      </c>
    </row>
    <row r="18" spans="1:13" ht="17.25" x14ac:dyDescent="0.3">
      <c r="A18" s="52" t="s">
        <v>92</v>
      </c>
      <c r="B18" s="54" t="s">
        <v>210</v>
      </c>
      <c r="C18" s="52" t="s">
        <v>162</v>
      </c>
      <c r="D18" s="56">
        <v>1</v>
      </c>
      <c r="E18" s="69">
        <f t="shared" si="0"/>
        <v>1000</v>
      </c>
      <c r="F18" s="60" t="s">
        <v>235</v>
      </c>
      <c r="G18" s="70">
        <f t="shared" si="1"/>
        <v>40</v>
      </c>
      <c r="H18" s="71">
        <f>G18/$G$75*$G$76</f>
        <v>1.1615862409052764</v>
      </c>
      <c r="I18" s="72">
        <v>0</v>
      </c>
      <c r="J18" s="70">
        <f t="shared" si="2"/>
        <v>0</v>
      </c>
      <c r="K18" s="70">
        <f>(G18+H18+J18)*(1+$K$76)</f>
        <v>45.27774486499581</v>
      </c>
      <c r="L18" s="73">
        <f>ROUND(K18/E18*$L$76,0)</f>
        <v>1037</v>
      </c>
      <c r="M18" s="73">
        <f t="shared" si="3"/>
        <v>1037000</v>
      </c>
    </row>
    <row r="19" spans="1:13" ht="17.25" x14ac:dyDescent="0.3">
      <c r="A19" s="52" t="s">
        <v>93</v>
      </c>
      <c r="B19" s="54" t="s">
        <v>60</v>
      </c>
      <c r="C19" s="52" t="s">
        <v>163</v>
      </c>
      <c r="D19" s="56">
        <v>1</v>
      </c>
      <c r="E19" s="69">
        <f t="shared" si="0"/>
        <v>1000</v>
      </c>
      <c r="F19" s="60" t="s">
        <v>236</v>
      </c>
      <c r="G19" s="70">
        <f t="shared" si="1"/>
        <v>20</v>
      </c>
      <c r="H19" s="71">
        <f>G19/$G$75*$G$76</f>
        <v>0.5807931204526382</v>
      </c>
      <c r="I19" s="72">
        <v>0</v>
      </c>
      <c r="J19" s="70">
        <f t="shared" si="2"/>
        <v>0</v>
      </c>
      <c r="K19" s="70">
        <f>(G19+H19+J19)*(1+$K$76)</f>
        <v>22.638872432497905</v>
      </c>
      <c r="L19" s="73">
        <f>ROUND(K19/E19*$L$76,0)</f>
        <v>518</v>
      </c>
      <c r="M19" s="73">
        <f t="shared" si="3"/>
        <v>518000</v>
      </c>
    </row>
    <row r="20" spans="1:13" ht="17.25" x14ac:dyDescent="0.3">
      <c r="A20" s="52" t="s">
        <v>94</v>
      </c>
      <c r="B20" s="54" t="s">
        <v>208</v>
      </c>
      <c r="C20" s="52" t="s">
        <v>164</v>
      </c>
      <c r="D20" s="56">
        <v>1</v>
      </c>
      <c r="E20" s="69">
        <f t="shared" si="0"/>
        <v>1000</v>
      </c>
      <c r="F20" s="60" t="s">
        <v>237</v>
      </c>
      <c r="G20" s="70">
        <f t="shared" si="1"/>
        <v>15</v>
      </c>
      <c r="H20" s="71">
        <f>G20/$G$75*$G$76</f>
        <v>0.43559484033947865</v>
      </c>
      <c r="I20" s="72">
        <v>0</v>
      </c>
      <c r="J20" s="70">
        <f t="shared" si="2"/>
        <v>0</v>
      </c>
      <c r="K20" s="70">
        <f>(G20+H20+J20)*(1+$K$76)</f>
        <v>16.979154324373429</v>
      </c>
      <c r="L20" s="73">
        <f>ROUND(K20/E20*$L$76,0)</f>
        <v>389</v>
      </c>
      <c r="M20" s="73">
        <f t="shared" si="3"/>
        <v>389000</v>
      </c>
    </row>
    <row r="21" spans="1:13" ht="17.25" x14ac:dyDescent="0.3">
      <c r="A21" s="52" t="s">
        <v>95</v>
      </c>
      <c r="B21" s="54" t="s">
        <v>208</v>
      </c>
      <c r="C21" s="52" t="s">
        <v>165</v>
      </c>
      <c r="D21" s="56">
        <v>1</v>
      </c>
      <c r="E21" s="69">
        <f t="shared" si="0"/>
        <v>1000</v>
      </c>
      <c r="F21" s="60" t="s">
        <v>238</v>
      </c>
      <c r="G21" s="70">
        <f t="shared" ref="G21" si="4">F21*E21</f>
        <v>500</v>
      </c>
      <c r="H21" s="71">
        <f>G21/$G$75*$G$76</f>
        <v>14.519828011315955</v>
      </c>
      <c r="I21" s="72">
        <v>0</v>
      </c>
      <c r="J21" s="70">
        <f t="shared" ref="J21" si="5">(G21+H21)*I21</f>
        <v>0</v>
      </c>
      <c r="K21" s="70">
        <f>(G21+H21+J21)*(1+$K$76)</f>
        <v>565.97181081244764</v>
      </c>
      <c r="L21" s="73">
        <f>ROUND(K21/E21*$L$76,0)</f>
        <v>12961</v>
      </c>
      <c r="M21" s="73">
        <f t="shared" ref="M21" si="6">L21*E21</f>
        <v>12961000</v>
      </c>
    </row>
    <row r="22" spans="1:13" ht="17.25" x14ac:dyDescent="0.3">
      <c r="A22" s="52" t="s">
        <v>96</v>
      </c>
      <c r="B22" s="54" t="s">
        <v>208</v>
      </c>
      <c r="C22" s="52" t="s">
        <v>166</v>
      </c>
      <c r="D22" s="56">
        <v>1</v>
      </c>
      <c r="E22" s="69">
        <f t="shared" si="0"/>
        <v>1000</v>
      </c>
      <c r="F22" s="60" t="s">
        <v>238</v>
      </c>
      <c r="G22" s="70">
        <f t="shared" si="1"/>
        <v>500</v>
      </c>
      <c r="H22" s="71">
        <f>G22/$G$75*$G$76</f>
        <v>14.519828011315955</v>
      </c>
      <c r="I22" s="72">
        <v>0.15</v>
      </c>
      <c r="J22" s="70">
        <f t="shared" si="2"/>
        <v>77.177974201697396</v>
      </c>
      <c r="K22" s="70">
        <f>(G22+H22+J22)*(1+$K$76)</f>
        <v>650.86758243431473</v>
      </c>
      <c r="L22" s="73">
        <f>ROUND(K22/E22*$L$76,0)</f>
        <v>14905</v>
      </c>
      <c r="M22" s="73">
        <f t="shared" si="3"/>
        <v>14905000</v>
      </c>
    </row>
    <row r="23" spans="1:13" ht="17.25" x14ac:dyDescent="0.3">
      <c r="A23" s="52" t="s">
        <v>97</v>
      </c>
      <c r="B23" s="54" t="s">
        <v>211</v>
      </c>
      <c r="C23" s="52">
        <v>39211000000</v>
      </c>
      <c r="D23" s="56">
        <v>1</v>
      </c>
      <c r="E23" s="69">
        <f t="shared" si="0"/>
        <v>1000</v>
      </c>
      <c r="F23" s="60" t="s">
        <v>239</v>
      </c>
      <c r="G23" s="70">
        <f t="shared" si="1"/>
        <v>150</v>
      </c>
      <c r="H23" s="71">
        <f>G23/$G$75*$G$76</f>
        <v>4.3559484033947866</v>
      </c>
      <c r="I23" s="72">
        <v>0</v>
      </c>
      <c r="J23" s="70">
        <f t="shared" si="2"/>
        <v>0</v>
      </c>
      <c r="K23" s="70">
        <f>(G23+H23+J23)*(1+$K$76)</f>
        <v>169.79154324373428</v>
      </c>
      <c r="L23" s="73">
        <f>ROUND(K23/E23*$L$76,0)</f>
        <v>3888</v>
      </c>
      <c r="M23" s="73">
        <f t="shared" si="3"/>
        <v>3888000</v>
      </c>
    </row>
    <row r="24" spans="1:13" ht="17.25" x14ac:dyDescent="0.3">
      <c r="A24" s="52" t="s">
        <v>98</v>
      </c>
      <c r="B24" s="54" t="s">
        <v>212</v>
      </c>
      <c r="C24" s="52" t="s">
        <v>167</v>
      </c>
      <c r="D24" s="56">
        <v>1</v>
      </c>
      <c r="E24" s="69">
        <f t="shared" si="0"/>
        <v>1000</v>
      </c>
      <c r="F24" s="60" t="s">
        <v>240</v>
      </c>
      <c r="G24" s="70">
        <f t="shared" si="1"/>
        <v>5</v>
      </c>
      <c r="H24" s="71">
        <f>G24/$G$75*$G$76</f>
        <v>0.14519828011315955</v>
      </c>
      <c r="I24" s="72">
        <v>0</v>
      </c>
      <c r="J24" s="70">
        <f t="shared" si="2"/>
        <v>0</v>
      </c>
      <c r="K24" s="70">
        <f>(G24+H24+J24)*(1+$K$76)</f>
        <v>5.6597181081244763</v>
      </c>
      <c r="L24" s="73">
        <f>ROUND(K24/E24*$L$76,0)</f>
        <v>130</v>
      </c>
      <c r="M24" s="73">
        <f t="shared" si="3"/>
        <v>130000</v>
      </c>
    </row>
    <row r="25" spans="1:13" ht="31.5" x14ac:dyDescent="0.3">
      <c r="A25" s="52" t="s">
        <v>99</v>
      </c>
      <c r="B25" s="54" t="s">
        <v>213</v>
      </c>
      <c r="C25" s="52" t="s">
        <v>168</v>
      </c>
      <c r="D25" s="56">
        <v>3</v>
      </c>
      <c r="E25" s="69">
        <f t="shared" si="0"/>
        <v>3000</v>
      </c>
      <c r="F25" s="60" t="s">
        <v>235</v>
      </c>
      <c r="G25" s="70">
        <f t="shared" si="1"/>
        <v>120</v>
      </c>
      <c r="H25" s="71">
        <f>G25/$G$75*$G$76</f>
        <v>3.4847587227158292</v>
      </c>
      <c r="I25" s="72">
        <v>0</v>
      </c>
      <c r="J25" s="70">
        <f t="shared" si="2"/>
        <v>0</v>
      </c>
      <c r="K25" s="70">
        <f>(G25+H25+J25)*(1+$K$76)</f>
        <v>135.83323459498743</v>
      </c>
      <c r="L25" s="73">
        <f>ROUND(K25/E25*$L$76,0)</f>
        <v>1037</v>
      </c>
      <c r="M25" s="73">
        <f t="shared" si="3"/>
        <v>3111000</v>
      </c>
    </row>
    <row r="26" spans="1:13" ht="17.25" x14ac:dyDescent="0.3">
      <c r="A26" s="52" t="s">
        <v>100</v>
      </c>
      <c r="B26" s="54" t="s">
        <v>212</v>
      </c>
      <c r="C26" s="52" t="s">
        <v>169</v>
      </c>
      <c r="D26" s="56">
        <v>1</v>
      </c>
      <c r="E26" s="69">
        <f t="shared" si="0"/>
        <v>1000</v>
      </c>
      <c r="F26" s="60" t="s">
        <v>240</v>
      </c>
      <c r="G26" s="70">
        <f t="shared" si="1"/>
        <v>5</v>
      </c>
      <c r="H26" s="71">
        <f>G26/$G$75*$G$76</f>
        <v>0.14519828011315955</v>
      </c>
      <c r="I26" s="72">
        <v>0</v>
      </c>
      <c r="J26" s="70">
        <f t="shared" si="2"/>
        <v>0</v>
      </c>
      <c r="K26" s="70">
        <f>(G26+H26+J26)*(1+$K$76)</f>
        <v>5.6597181081244763</v>
      </c>
      <c r="L26" s="73">
        <f>ROUND(K26/E26*$L$76,0)</f>
        <v>130</v>
      </c>
      <c r="M26" s="73">
        <f t="shared" si="3"/>
        <v>130000</v>
      </c>
    </row>
    <row r="27" spans="1:13" ht="31.5" x14ac:dyDescent="0.3">
      <c r="A27" s="52" t="s">
        <v>101</v>
      </c>
      <c r="B27" s="54" t="s">
        <v>213</v>
      </c>
      <c r="C27" s="52" t="s">
        <v>170</v>
      </c>
      <c r="D27" s="56">
        <v>2</v>
      </c>
      <c r="E27" s="69">
        <f t="shared" si="0"/>
        <v>2000</v>
      </c>
      <c r="F27" s="60" t="s">
        <v>235</v>
      </c>
      <c r="G27" s="70">
        <f t="shared" si="1"/>
        <v>80</v>
      </c>
      <c r="H27" s="71">
        <f>G27/$G$75*$G$76</f>
        <v>2.3231724818105528</v>
      </c>
      <c r="I27" s="72">
        <v>0</v>
      </c>
      <c r="J27" s="70">
        <f t="shared" si="2"/>
        <v>0</v>
      </c>
      <c r="K27" s="70">
        <f>(G27+H27+J27)*(1+$K$76)</f>
        <v>90.555489729991621</v>
      </c>
      <c r="L27" s="73">
        <f>ROUND(K27/E27*$L$76,0)</f>
        <v>1037</v>
      </c>
      <c r="M27" s="73">
        <f t="shared" si="3"/>
        <v>2074000</v>
      </c>
    </row>
    <row r="28" spans="1:13" ht="31.5" x14ac:dyDescent="0.3">
      <c r="A28" s="52" t="s">
        <v>102</v>
      </c>
      <c r="B28" s="54" t="s">
        <v>213</v>
      </c>
      <c r="C28" s="52" t="s">
        <v>171</v>
      </c>
      <c r="D28" s="56">
        <v>1</v>
      </c>
      <c r="E28" s="69">
        <f t="shared" si="0"/>
        <v>1000</v>
      </c>
      <c r="F28" s="60" t="s">
        <v>241</v>
      </c>
      <c r="G28" s="70">
        <f t="shared" si="1"/>
        <v>80</v>
      </c>
      <c r="H28" s="71">
        <f>G28/$G$75*$G$76</f>
        <v>2.3231724818105528</v>
      </c>
      <c r="I28" s="72">
        <v>0</v>
      </c>
      <c r="J28" s="70">
        <f t="shared" si="2"/>
        <v>0</v>
      </c>
      <c r="K28" s="70">
        <f>(G28+H28+J28)*(1+$K$76)</f>
        <v>90.555489729991621</v>
      </c>
      <c r="L28" s="73">
        <f>ROUND(K28/E28*$L$76,0)</f>
        <v>2074</v>
      </c>
      <c r="M28" s="73">
        <f t="shared" si="3"/>
        <v>2074000</v>
      </c>
    </row>
    <row r="29" spans="1:13" ht="31.5" x14ac:dyDescent="0.3">
      <c r="A29" s="52" t="s">
        <v>103</v>
      </c>
      <c r="B29" s="54" t="s">
        <v>213</v>
      </c>
      <c r="C29" s="52" t="s">
        <v>172</v>
      </c>
      <c r="D29" s="56">
        <v>2</v>
      </c>
      <c r="E29" s="69">
        <f t="shared" si="0"/>
        <v>2000</v>
      </c>
      <c r="F29" s="60" t="s">
        <v>234</v>
      </c>
      <c r="G29" s="70">
        <f t="shared" si="1"/>
        <v>200</v>
      </c>
      <c r="H29" s="71">
        <f>G29/$G$75*$G$76</f>
        <v>5.8079312045263825</v>
      </c>
      <c r="I29" s="72">
        <v>0</v>
      </c>
      <c r="J29" s="70">
        <f t="shared" si="2"/>
        <v>0</v>
      </c>
      <c r="K29" s="70">
        <f>(G29+H29+J29)*(1+$K$76)</f>
        <v>226.38872432497902</v>
      </c>
      <c r="L29" s="73">
        <f>ROUND(K29/E29*$L$76,0)</f>
        <v>2592</v>
      </c>
      <c r="M29" s="73">
        <f t="shared" si="3"/>
        <v>5184000</v>
      </c>
    </row>
    <row r="30" spans="1:13" ht="17.25" x14ac:dyDescent="0.3">
      <c r="A30" s="52" t="s">
        <v>104</v>
      </c>
      <c r="B30" s="54" t="s">
        <v>214</v>
      </c>
      <c r="C30" s="52" t="s">
        <v>173</v>
      </c>
      <c r="D30" s="56">
        <v>3</v>
      </c>
      <c r="E30" s="69">
        <f t="shared" si="0"/>
        <v>3000</v>
      </c>
      <c r="F30" s="60" t="s">
        <v>242</v>
      </c>
      <c r="G30" s="70">
        <f t="shared" si="1"/>
        <v>150</v>
      </c>
      <c r="H30" s="71">
        <f>G30/$G$75*$G$76</f>
        <v>4.3559484033947866</v>
      </c>
      <c r="I30" s="72">
        <v>0</v>
      </c>
      <c r="J30" s="70">
        <f t="shared" si="2"/>
        <v>0</v>
      </c>
      <c r="K30" s="70">
        <f>(G30+H30+J30)*(1+$K$76)</f>
        <v>169.79154324373428</v>
      </c>
      <c r="L30" s="73">
        <f>ROUND(K30/E30*$L$76,0)</f>
        <v>1296</v>
      </c>
      <c r="M30" s="73">
        <f t="shared" si="3"/>
        <v>3888000</v>
      </c>
    </row>
    <row r="31" spans="1:13" ht="17.25" x14ac:dyDescent="0.3">
      <c r="A31" s="52" t="s">
        <v>105</v>
      </c>
      <c r="B31" s="54" t="s">
        <v>209</v>
      </c>
      <c r="C31" s="52" t="s">
        <v>174</v>
      </c>
      <c r="D31" s="56">
        <v>1</v>
      </c>
      <c r="E31" s="69">
        <f t="shared" si="0"/>
        <v>1000</v>
      </c>
      <c r="F31" s="60" t="s">
        <v>243</v>
      </c>
      <c r="G31" s="70">
        <f t="shared" si="1"/>
        <v>120</v>
      </c>
      <c r="H31" s="71">
        <f>G31/$G$75*$G$76</f>
        <v>3.4847587227158292</v>
      </c>
      <c r="I31" s="72">
        <v>0</v>
      </c>
      <c r="J31" s="70">
        <f t="shared" si="2"/>
        <v>0</v>
      </c>
      <c r="K31" s="70">
        <f>(G31+H31+J31)*(1+$K$76)</f>
        <v>135.83323459498743</v>
      </c>
      <c r="L31" s="73">
        <f>ROUND(K31/E31*$L$76,0)</f>
        <v>3111</v>
      </c>
      <c r="M31" s="73">
        <f t="shared" si="3"/>
        <v>3111000</v>
      </c>
    </row>
    <row r="32" spans="1:13" ht="17.25" x14ac:dyDescent="0.3">
      <c r="A32" s="52" t="s">
        <v>106</v>
      </c>
      <c r="B32" s="54" t="s">
        <v>215</v>
      </c>
      <c r="C32" s="52">
        <v>788000001</v>
      </c>
      <c r="D32" s="56">
        <v>1</v>
      </c>
      <c r="E32" s="69">
        <f t="shared" si="0"/>
        <v>1000</v>
      </c>
      <c r="F32" s="60" t="s">
        <v>238</v>
      </c>
      <c r="G32" s="70">
        <f t="shared" si="1"/>
        <v>500</v>
      </c>
      <c r="H32" s="71">
        <f>G32/$G$75*$G$76</f>
        <v>14.519828011315955</v>
      </c>
      <c r="I32" s="72">
        <v>0</v>
      </c>
      <c r="J32" s="70">
        <f t="shared" si="2"/>
        <v>0</v>
      </c>
      <c r="K32" s="70">
        <f>(G32+H32+J32)*(1+$K$76)</f>
        <v>565.97181081244764</v>
      </c>
      <c r="L32" s="73">
        <f>ROUND(K32/E32*$L$76,0)</f>
        <v>12961</v>
      </c>
      <c r="M32" s="73">
        <f t="shared" si="3"/>
        <v>12961000</v>
      </c>
    </row>
    <row r="33" spans="1:13" ht="17.25" x14ac:dyDescent="0.3">
      <c r="A33" s="52" t="s">
        <v>107</v>
      </c>
      <c r="B33" s="54" t="s">
        <v>216</v>
      </c>
      <c r="C33" s="52" t="s">
        <v>175</v>
      </c>
      <c r="D33" s="56">
        <v>1</v>
      </c>
      <c r="E33" s="69">
        <f t="shared" si="0"/>
        <v>1000</v>
      </c>
      <c r="F33" s="60" t="s">
        <v>244</v>
      </c>
      <c r="G33" s="70">
        <f t="shared" si="1"/>
        <v>400</v>
      </c>
      <c r="H33" s="71">
        <f>G33/$G$75*$G$76</f>
        <v>11.615862409052765</v>
      </c>
      <c r="I33" s="72">
        <v>0</v>
      </c>
      <c r="J33" s="70">
        <f t="shared" si="2"/>
        <v>0</v>
      </c>
      <c r="K33" s="70">
        <f>(G33+H33+J33)*(1+$K$76)</f>
        <v>452.77744864995805</v>
      </c>
      <c r="L33" s="73">
        <f>ROUND(K33/E33*$L$76,0)</f>
        <v>10369</v>
      </c>
      <c r="M33" s="73">
        <f t="shared" si="3"/>
        <v>10369000</v>
      </c>
    </row>
    <row r="34" spans="1:13" ht="17.25" x14ac:dyDescent="0.3">
      <c r="A34" s="52" t="s">
        <v>108</v>
      </c>
      <c r="B34" s="54" t="s">
        <v>217</v>
      </c>
      <c r="C34" s="52" t="s">
        <v>176</v>
      </c>
      <c r="D34" s="56">
        <v>1</v>
      </c>
      <c r="E34" s="69">
        <f t="shared" si="0"/>
        <v>1000</v>
      </c>
      <c r="F34" s="60" t="s">
        <v>245</v>
      </c>
      <c r="G34" s="70">
        <f t="shared" si="1"/>
        <v>3500</v>
      </c>
      <c r="H34" s="71">
        <f>G34/$G$75*$G$76</f>
        <v>101.63879607921169</v>
      </c>
      <c r="I34" s="72">
        <v>0</v>
      </c>
      <c r="J34" s="70">
        <f t="shared" si="2"/>
        <v>0</v>
      </c>
      <c r="K34" s="70">
        <f>(G34+H34+J34)*(1+$K$76)</f>
        <v>3961.8026756871332</v>
      </c>
      <c r="L34" s="73">
        <f>ROUND(K34/E34*$L$76,0)</f>
        <v>90725</v>
      </c>
      <c r="M34" s="73">
        <f t="shared" si="3"/>
        <v>90725000</v>
      </c>
    </row>
    <row r="35" spans="1:13" ht="17.25" x14ac:dyDescent="0.3">
      <c r="A35" s="52" t="s">
        <v>109</v>
      </c>
      <c r="B35" s="54" t="s">
        <v>218</v>
      </c>
      <c r="C35" s="52" t="s">
        <v>59</v>
      </c>
      <c r="D35" s="56">
        <v>5</v>
      </c>
      <c r="E35" s="69">
        <f t="shared" si="0"/>
        <v>5000</v>
      </c>
      <c r="F35" s="60" t="s">
        <v>235</v>
      </c>
      <c r="G35" s="70">
        <f t="shared" si="1"/>
        <v>200</v>
      </c>
      <c r="H35" s="71">
        <f>G35/$G$75*$G$76</f>
        <v>5.8079312045263825</v>
      </c>
      <c r="I35" s="72">
        <v>0</v>
      </c>
      <c r="J35" s="70">
        <f t="shared" si="2"/>
        <v>0</v>
      </c>
      <c r="K35" s="70">
        <f>(G35+H35+J35)*(1+$K$76)</f>
        <v>226.38872432497902</v>
      </c>
      <c r="L35" s="73">
        <f>ROUND(K35/E35*$L$76,0)</f>
        <v>1037</v>
      </c>
      <c r="M35" s="73">
        <f t="shared" si="3"/>
        <v>5185000</v>
      </c>
    </row>
    <row r="36" spans="1:13" ht="17.25" x14ac:dyDescent="0.3">
      <c r="A36" s="52" t="s">
        <v>110</v>
      </c>
      <c r="B36" s="54" t="s">
        <v>219</v>
      </c>
      <c r="C36" s="52" t="s">
        <v>58</v>
      </c>
      <c r="D36" s="56">
        <v>1</v>
      </c>
      <c r="E36" s="69">
        <f t="shared" si="0"/>
        <v>1000</v>
      </c>
      <c r="F36" s="60" t="s">
        <v>234</v>
      </c>
      <c r="G36" s="70">
        <f t="shared" si="1"/>
        <v>100</v>
      </c>
      <c r="H36" s="71">
        <f>G36/$G$75*$G$76</f>
        <v>2.9039656022631912</v>
      </c>
      <c r="I36" s="72">
        <v>0</v>
      </c>
      <c r="J36" s="70">
        <f t="shared" si="2"/>
        <v>0</v>
      </c>
      <c r="K36" s="70">
        <f>(G36+H36+J36)*(1+$K$76)</f>
        <v>113.19436216248951</v>
      </c>
      <c r="L36" s="73">
        <f>ROUND(K36/E36*$L$76,0)</f>
        <v>2592</v>
      </c>
      <c r="M36" s="73">
        <f t="shared" si="3"/>
        <v>2592000</v>
      </c>
    </row>
    <row r="37" spans="1:13" ht="17.25" x14ac:dyDescent="0.3">
      <c r="A37" s="53" t="s">
        <v>111</v>
      </c>
      <c r="B37" s="55" t="s">
        <v>220</v>
      </c>
      <c r="C37" s="53" t="s">
        <v>177</v>
      </c>
      <c r="D37" s="57">
        <v>0</v>
      </c>
      <c r="E37" s="69">
        <f t="shared" si="0"/>
        <v>0</v>
      </c>
      <c r="F37" s="61"/>
      <c r="G37" s="70">
        <f t="shared" si="1"/>
        <v>0</v>
      </c>
      <c r="H37" s="71">
        <f>G37/$G$75*$G$76</f>
        <v>0</v>
      </c>
      <c r="I37" s="72">
        <v>0</v>
      </c>
      <c r="J37" s="70">
        <f t="shared" si="2"/>
        <v>0</v>
      </c>
      <c r="K37" s="70">
        <f>(G37+H37+J37)*(1+$K$76)</f>
        <v>0</v>
      </c>
      <c r="L37" s="73">
        <v>0</v>
      </c>
      <c r="M37" s="73">
        <f t="shared" si="3"/>
        <v>0</v>
      </c>
    </row>
    <row r="38" spans="1:13" ht="17.25" x14ac:dyDescent="0.3">
      <c r="A38" s="52" t="s">
        <v>112</v>
      </c>
      <c r="B38" s="54" t="s">
        <v>221</v>
      </c>
      <c r="C38" s="52" t="s">
        <v>178</v>
      </c>
      <c r="D38" s="56">
        <v>8</v>
      </c>
      <c r="E38" s="69">
        <f t="shared" si="0"/>
        <v>8000</v>
      </c>
      <c r="F38" s="60" t="s">
        <v>246</v>
      </c>
      <c r="G38" s="70">
        <f t="shared" si="1"/>
        <v>32</v>
      </c>
      <c r="H38" s="71">
        <f>G38/$G$75*$G$76</f>
        <v>0.92926899272422114</v>
      </c>
      <c r="I38" s="72">
        <v>0</v>
      </c>
      <c r="J38" s="70">
        <f t="shared" si="2"/>
        <v>0</v>
      </c>
      <c r="K38" s="70">
        <f>(G38+H38+J38)*(1+$K$76)</f>
        <v>36.222195891996641</v>
      </c>
      <c r="L38" s="73">
        <v>0</v>
      </c>
      <c r="M38" s="73">
        <f t="shared" si="3"/>
        <v>0</v>
      </c>
    </row>
    <row r="39" spans="1:13" ht="17.25" x14ac:dyDescent="0.3">
      <c r="A39" s="52" t="s">
        <v>113</v>
      </c>
      <c r="B39" s="54" t="s">
        <v>221</v>
      </c>
      <c r="C39" s="52" t="s">
        <v>179</v>
      </c>
      <c r="D39" s="56">
        <v>6</v>
      </c>
      <c r="E39" s="69">
        <f t="shared" si="0"/>
        <v>6000</v>
      </c>
      <c r="F39" s="60" t="s">
        <v>246</v>
      </c>
      <c r="G39" s="70">
        <f t="shared" si="1"/>
        <v>24</v>
      </c>
      <c r="H39" s="71">
        <f>G39/$G$75*$G$76</f>
        <v>0.69695174454316577</v>
      </c>
      <c r="I39" s="72">
        <v>0</v>
      </c>
      <c r="J39" s="70">
        <f t="shared" si="2"/>
        <v>0</v>
      </c>
      <c r="K39" s="70">
        <f>(G39+H39+J39)*(1+$K$76)</f>
        <v>27.166646918997486</v>
      </c>
      <c r="L39" s="73">
        <f>ROUND(K39/E39*$L$76,0)</f>
        <v>104</v>
      </c>
      <c r="M39" s="73">
        <f t="shared" si="3"/>
        <v>624000</v>
      </c>
    </row>
    <row r="40" spans="1:13" ht="17.25" x14ac:dyDescent="0.3">
      <c r="A40" s="52" t="s">
        <v>114</v>
      </c>
      <c r="B40" s="54" t="s">
        <v>221</v>
      </c>
      <c r="C40" s="52" t="s">
        <v>180</v>
      </c>
      <c r="D40" s="56">
        <v>1</v>
      </c>
      <c r="E40" s="69">
        <f t="shared" si="0"/>
        <v>1000</v>
      </c>
      <c r="F40" s="60" t="s">
        <v>246</v>
      </c>
      <c r="G40" s="70">
        <f t="shared" si="1"/>
        <v>4</v>
      </c>
      <c r="H40" s="71">
        <f>G40/$G$75*$G$76</f>
        <v>0.11615862409052764</v>
      </c>
      <c r="I40" s="72">
        <v>0</v>
      </c>
      <c r="J40" s="70">
        <f t="shared" si="2"/>
        <v>0</v>
      </c>
      <c r="K40" s="70">
        <f>(G40+H40+J40)*(1+$K$76)</f>
        <v>4.5277744864995801</v>
      </c>
      <c r="L40" s="73">
        <f>ROUND(K40/E40*$L$76,0)</f>
        <v>104</v>
      </c>
      <c r="M40" s="73">
        <f t="shared" si="3"/>
        <v>104000</v>
      </c>
    </row>
    <row r="41" spans="1:13" ht="17.25" x14ac:dyDescent="0.3">
      <c r="A41" s="52" t="s">
        <v>115</v>
      </c>
      <c r="B41" s="54" t="s">
        <v>222</v>
      </c>
      <c r="C41" s="52" t="s">
        <v>181</v>
      </c>
      <c r="D41" s="56">
        <v>10</v>
      </c>
      <c r="E41" s="69">
        <f t="shared" si="0"/>
        <v>10000</v>
      </c>
      <c r="F41" s="60" t="s">
        <v>246</v>
      </c>
      <c r="G41" s="70">
        <f t="shared" si="1"/>
        <v>40</v>
      </c>
      <c r="H41" s="71">
        <f>G41/$G$75*$G$76</f>
        <v>1.1615862409052764</v>
      </c>
      <c r="I41" s="72">
        <v>0</v>
      </c>
      <c r="J41" s="70">
        <f t="shared" si="2"/>
        <v>0</v>
      </c>
      <c r="K41" s="70">
        <f>(G41+H41+J41)*(1+$K$76)</f>
        <v>45.27774486499581</v>
      </c>
      <c r="L41" s="73">
        <v>0</v>
      </c>
      <c r="M41" s="73">
        <f t="shared" si="3"/>
        <v>0</v>
      </c>
    </row>
    <row r="42" spans="1:13" ht="17.25" x14ac:dyDescent="0.3">
      <c r="A42" s="52" t="s">
        <v>116</v>
      </c>
      <c r="B42" s="54" t="s">
        <v>221</v>
      </c>
      <c r="C42" s="52" t="s">
        <v>182</v>
      </c>
      <c r="D42" s="56">
        <v>2</v>
      </c>
      <c r="E42" s="69">
        <f t="shared" si="0"/>
        <v>2000</v>
      </c>
      <c r="F42" s="60" t="s">
        <v>246</v>
      </c>
      <c r="G42" s="70">
        <f t="shared" si="1"/>
        <v>8</v>
      </c>
      <c r="H42" s="71">
        <f>G42/$G$75*$G$76</f>
        <v>0.23231724818105529</v>
      </c>
      <c r="I42" s="72">
        <v>0</v>
      </c>
      <c r="J42" s="70">
        <f t="shared" si="2"/>
        <v>0</v>
      </c>
      <c r="K42" s="70">
        <f>(G42+H42+J42)*(1+$K$76)</f>
        <v>9.0555489729991603</v>
      </c>
      <c r="L42" s="73">
        <f>ROUND(K42/E42*$L$76,0)</f>
        <v>104</v>
      </c>
      <c r="M42" s="73">
        <f t="shared" si="3"/>
        <v>208000</v>
      </c>
    </row>
    <row r="43" spans="1:13" ht="17.25" x14ac:dyDescent="0.3">
      <c r="A43" s="52" t="s">
        <v>117</v>
      </c>
      <c r="B43" s="54" t="s">
        <v>221</v>
      </c>
      <c r="C43" s="52" t="s">
        <v>183</v>
      </c>
      <c r="D43" s="56">
        <v>1</v>
      </c>
      <c r="E43" s="69">
        <f t="shared" si="0"/>
        <v>1000</v>
      </c>
      <c r="F43" s="60" t="s">
        <v>246</v>
      </c>
      <c r="G43" s="70">
        <f t="shared" si="1"/>
        <v>4</v>
      </c>
      <c r="H43" s="71">
        <f>G43/$G$75*$G$76</f>
        <v>0.11615862409052764</v>
      </c>
      <c r="I43" s="72">
        <v>0</v>
      </c>
      <c r="J43" s="70">
        <f t="shared" si="2"/>
        <v>0</v>
      </c>
      <c r="K43" s="70">
        <f>(G43+H43+J43)*(1+$K$76)</f>
        <v>4.5277744864995801</v>
      </c>
      <c r="L43" s="73">
        <f>ROUND(K43/E43*$L$76,0)</f>
        <v>104</v>
      </c>
      <c r="M43" s="73">
        <f t="shared" si="3"/>
        <v>104000</v>
      </c>
    </row>
    <row r="44" spans="1:13" ht="17.25" x14ac:dyDescent="0.3">
      <c r="A44" s="52" t="s">
        <v>118</v>
      </c>
      <c r="B44" s="54" t="s">
        <v>221</v>
      </c>
      <c r="C44" s="52" t="s">
        <v>184</v>
      </c>
      <c r="D44" s="56">
        <v>7</v>
      </c>
      <c r="E44" s="69">
        <f t="shared" si="0"/>
        <v>7000</v>
      </c>
      <c r="F44" s="60" t="s">
        <v>246</v>
      </c>
      <c r="G44" s="70">
        <f t="shared" si="1"/>
        <v>28</v>
      </c>
      <c r="H44" s="71">
        <f>G44/$G$75*$G$76</f>
        <v>0.81311036863369357</v>
      </c>
      <c r="I44" s="72">
        <v>0</v>
      </c>
      <c r="J44" s="70">
        <f t="shared" si="2"/>
        <v>0</v>
      </c>
      <c r="K44" s="70">
        <f>(G44+H44+J44)*(1+$K$76)</f>
        <v>31.694421405497067</v>
      </c>
      <c r="L44" s="73">
        <f>ROUND(K44/E44*$L$76,0)</f>
        <v>104</v>
      </c>
      <c r="M44" s="73">
        <f t="shared" si="3"/>
        <v>728000</v>
      </c>
    </row>
    <row r="45" spans="1:13" ht="17.25" x14ac:dyDescent="0.3">
      <c r="A45" s="52" t="s">
        <v>119</v>
      </c>
      <c r="B45" s="54" t="s">
        <v>221</v>
      </c>
      <c r="C45" s="52" t="s">
        <v>185</v>
      </c>
      <c r="D45" s="56">
        <v>2</v>
      </c>
      <c r="E45" s="69">
        <f t="shared" si="0"/>
        <v>2000</v>
      </c>
      <c r="F45" s="60" t="s">
        <v>246</v>
      </c>
      <c r="G45" s="70">
        <f t="shared" si="1"/>
        <v>8</v>
      </c>
      <c r="H45" s="71">
        <f>G45/$G$75*$G$76</f>
        <v>0.23231724818105529</v>
      </c>
      <c r="I45" s="72">
        <v>0</v>
      </c>
      <c r="J45" s="70">
        <f t="shared" si="2"/>
        <v>0</v>
      </c>
      <c r="K45" s="70">
        <f>(G45+H45+J45)*(1+$K$76)</f>
        <v>9.0555489729991603</v>
      </c>
      <c r="L45" s="73">
        <f>ROUND(K45/E45*$L$76,0)</f>
        <v>104</v>
      </c>
      <c r="M45" s="73">
        <f t="shared" si="3"/>
        <v>208000</v>
      </c>
    </row>
    <row r="46" spans="1:13" ht="17.25" x14ac:dyDescent="0.3">
      <c r="A46" s="52" t="s">
        <v>120</v>
      </c>
      <c r="B46" s="54" t="s">
        <v>221</v>
      </c>
      <c r="C46" s="52" t="s">
        <v>186</v>
      </c>
      <c r="D46" s="56">
        <v>3</v>
      </c>
      <c r="E46" s="69">
        <f t="shared" si="0"/>
        <v>3000</v>
      </c>
      <c r="F46" s="60" t="s">
        <v>246</v>
      </c>
      <c r="G46" s="70">
        <f t="shared" si="1"/>
        <v>12</v>
      </c>
      <c r="H46" s="71">
        <f>G46/$G$75*$G$76</f>
        <v>0.34847587227158289</v>
      </c>
      <c r="I46" s="72">
        <v>0</v>
      </c>
      <c r="J46" s="70">
        <f t="shared" si="2"/>
        <v>0</v>
      </c>
      <c r="K46" s="70">
        <f>(G46+H46+J46)*(1+$K$76)</f>
        <v>13.583323459498743</v>
      </c>
      <c r="L46" s="73">
        <v>0</v>
      </c>
      <c r="M46" s="73">
        <v>0</v>
      </c>
    </row>
    <row r="47" spans="1:13" ht="17.25" x14ac:dyDescent="0.3">
      <c r="A47" s="52" t="s">
        <v>121</v>
      </c>
      <c r="B47" s="54" t="s">
        <v>221</v>
      </c>
      <c r="C47" s="52" t="s">
        <v>187</v>
      </c>
      <c r="D47" s="56">
        <v>2</v>
      </c>
      <c r="E47" s="69">
        <f t="shared" si="0"/>
        <v>2000</v>
      </c>
      <c r="F47" s="60" t="s">
        <v>246</v>
      </c>
      <c r="G47" s="70">
        <f t="shared" si="1"/>
        <v>8</v>
      </c>
      <c r="H47" s="71">
        <f>G47/$G$75*$G$76</f>
        <v>0.23231724818105529</v>
      </c>
      <c r="I47" s="72">
        <v>0</v>
      </c>
      <c r="J47" s="70">
        <f t="shared" si="2"/>
        <v>0</v>
      </c>
      <c r="K47" s="70">
        <f>(G47+H47+J47)*(1+$K$76)</f>
        <v>9.0555489729991603</v>
      </c>
      <c r="L47" s="73">
        <f>ROUND(K47/E47*$L$76,0)</f>
        <v>104</v>
      </c>
      <c r="M47" s="73">
        <f t="shared" si="3"/>
        <v>208000</v>
      </c>
    </row>
    <row r="48" spans="1:13" ht="17.25" x14ac:dyDescent="0.3">
      <c r="A48" s="52" t="s">
        <v>122</v>
      </c>
      <c r="B48" s="54" t="s">
        <v>221</v>
      </c>
      <c r="C48" s="52" t="s">
        <v>188</v>
      </c>
      <c r="D48" s="56">
        <v>1</v>
      </c>
      <c r="E48" s="69">
        <f t="shared" si="0"/>
        <v>1000</v>
      </c>
      <c r="F48" s="60" t="s">
        <v>246</v>
      </c>
      <c r="G48" s="70">
        <f t="shared" si="1"/>
        <v>4</v>
      </c>
      <c r="H48" s="71">
        <f>G48/$G$75*$G$76</f>
        <v>0.11615862409052764</v>
      </c>
      <c r="I48" s="72">
        <v>0</v>
      </c>
      <c r="J48" s="70">
        <f t="shared" si="2"/>
        <v>0</v>
      </c>
      <c r="K48" s="70">
        <f>(G48+H48+J48)*(1+$K$76)</f>
        <v>4.5277744864995801</v>
      </c>
      <c r="L48" s="73">
        <f>ROUND(K48/E48*$L$76,0)</f>
        <v>104</v>
      </c>
      <c r="M48" s="73">
        <f t="shared" si="3"/>
        <v>104000</v>
      </c>
    </row>
    <row r="49" spans="1:13" ht="17.25" x14ac:dyDescent="0.3">
      <c r="A49" s="52" t="s">
        <v>123</v>
      </c>
      <c r="B49" s="54" t="s">
        <v>221</v>
      </c>
      <c r="C49" s="52" t="s">
        <v>189</v>
      </c>
      <c r="D49" s="56">
        <v>1</v>
      </c>
      <c r="E49" s="69">
        <f t="shared" si="0"/>
        <v>1000</v>
      </c>
      <c r="F49" s="60" t="s">
        <v>246</v>
      </c>
      <c r="G49" s="70">
        <f t="shared" si="1"/>
        <v>4</v>
      </c>
      <c r="H49" s="71">
        <f>G49/$G$75*$G$76</f>
        <v>0.11615862409052764</v>
      </c>
      <c r="I49" s="72">
        <v>0</v>
      </c>
      <c r="J49" s="70">
        <f t="shared" si="2"/>
        <v>0</v>
      </c>
      <c r="K49" s="70">
        <f>(G49+H49+J49)*(1+$K$76)</f>
        <v>4.5277744864995801</v>
      </c>
      <c r="L49" s="73">
        <f>ROUND(K49/E49*$L$76,0)</f>
        <v>104</v>
      </c>
      <c r="M49" s="73">
        <f t="shared" si="3"/>
        <v>104000</v>
      </c>
    </row>
    <row r="50" spans="1:13" ht="17.25" x14ac:dyDescent="0.3">
      <c r="A50" s="52" t="s">
        <v>124</v>
      </c>
      <c r="B50" s="54" t="s">
        <v>207</v>
      </c>
      <c r="C50" s="52" t="s">
        <v>190</v>
      </c>
      <c r="D50" s="56">
        <v>1</v>
      </c>
      <c r="E50" s="69">
        <f t="shared" si="0"/>
        <v>1000</v>
      </c>
      <c r="F50" s="60" t="s">
        <v>246</v>
      </c>
      <c r="G50" s="70">
        <f t="shared" si="1"/>
        <v>4</v>
      </c>
      <c r="H50" s="71">
        <f>G50/$G$75*$G$76</f>
        <v>0.11615862409052764</v>
      </c>
      <c r="I50" s="72">
        <v>0</v>
      </c>
      <c r="J50" s="70">
        <f t="shared" si="2"/>
        <v>0</v>
      </c>
      <c r="K50" s="70">
        <f>(G50+H50+J50)*(1+$K$76)</f>
        <v>4.5277744864995801</v>
      </c>
      <c r="L50" s="73">
        <f>ROUND(K50/E50*$L$76,0)</f>
        <v>104</v>
      </c>
      <c r="M50" s="73">
        <f t="shared" si="3"/>
        <v>104000</v>
      </c>
    </row>
    <row r="51" spans="1:13" ht="17.25" x14ac:dyDescent="0.3">
      <c r="A51" s="52" t="s">
        <v>125</v>
      </c>
      <c r="B51" s="54" t="s">
        <v>221</v>
      </c>
      <c r="C51" s="52" t="s">
        <v>191</v>
      </c>
      <c r="D51" s="56">
        <v>1</v>
      </c>
      <c r="E51" s="69">
        <f t="shared" si="0"/>
        <v>1000</v>
      </c>
      <c r="F51" s="60" t="s">
        <v>246</v>
      </c>
      <c r="G51" s="70">
        <f t="shared" si="1"/>
        <v>4</v>
      </c>
      <c r="H51" s="71">
        <f>G51/$G$75*$G$76</f>
        <v>0.11615862409052764</v>
      </c>
      <c r="I51" s="72">
        <v>0</v>
      </c>
      <c r="J51" s="70">
        <f t="shared" si="2"/>
        <v>0</v>
      </c>
      <c r="K51" s="70">
        <f>(G51+H51+J51)*(1+$K$76)</f>
        <v>4.5277744864995801</v>
      </c>
      <c r="L51" s="73">
        <f>ROUND(K51/E51*$L$76,0)</f>
        <v>104</v>
      </c>
      <c r="M51" s="73">
        <f t="shared" si="3"/>
        <v>104000</v>
      </c>
    </row>
    <row r="52" spans="1:13" ht="17.25" x14ac:dyDescent="0.3">
      <c r="A52" s="52" t="s">
        <v>126</v>
      </c>
      <c r="B52" s="54" t="s">
        <v>221</v>
      </c>
      <c r="C52" s="52" t="s">
        <v>192</v>
      </c>
      <c r="D52" s="56">
        <v>1</v>
      </c>
      <c r="E52" s="69">
        <f t="shared" si="0"/>
        <v>1000</v>
      </c>
      <c r="F52" s="60" t="s">
        <v>246</v>
      </c>
      <c r="G52" s="70">
        <f t="shared" si="1"/>
        <v>4</v>
      </c>
      <c r="H52" s="71">
        <f>G52/$G$75*$G$76</f>
        <v>0.11615862409052764</v>
      </c>
      <c r="I52" s="72">
        <v>0</v>
      </c>
      <c r="J52" s="70">
        <f t="shared" si="2"/>
        <v>0</v>
      </c>
      <c r="K52" s="70">
        <f>(G52+H52+J52)*(1+$K$76)</f>
        <v>4.5277744864995801</v>
      </c>
      <c r="L52" s="73">
        <f>ROUND(K52/E52*$L$76,0)</f>
        <v>104</v>
      </c>
      <c r="M52" s="73">
        <f t="shared" si="3"/>
        <v>104000</v>
      </c>
    </row>
    <row r="53" spans="1:13" ht="17.25" x14ac:dyDescent="0.3">
      <c r="A53" s="52" t="s">
        <v>127</v>
      </c>
      <c r="B53" s="54" t="s">
        <v>223</v>
      </c>
      <c r="C53" s="52" t="s">
        <v>193</v>
      </c>
      <c r="D53" s="56">
        <v>1</v>
      </c>
      <c r="E53" s="69">
        <f t="shared" si="0"/>
        <v>1000</v>
      </c>
      <c r="F53" s="60" t="s">
        <v>246</v>
      </c>
      <c r="G53" s="70">
        <f t="shared" si="1"/>
        <v>4</v>
      </c>
      <c r="H53" s="71">
        <f>G53/$G$75*$G$76</f>
        <v>0.11615862409052764</v>
      </c>
      <c r="I53" s="72">
        <v>0</v>
      </c>
      <c r="J53" s="70">
        <f t="shared" si="2"/>
        <v>0</v>
      </c>
      <c r="K53" s="70">
        <f>(G53+H53+J53)*(1+$K$76)</f>
        <v>4.5277744864995801</v>
      </c>
      <c r="L53" s="73">
        <f>ROUND(K53/E53*$L$76,0)</f>
        <v>104</v>
      </c>
      <c r="M53" s="73">
        <f t="shared" si="3"/>
        <v>104000</v>
      </c>
    </row>
    <row r="54" spans="1:13" ht="17.25" x14ac:dyDescent="0.3">
      <c r="A54" s="52" t="s">
        <v>128</v>
      </c>
      <c r="B54" s="54" t="s">
        <v>221</v>
      </c>
      <c r="C54" s="52" t="s">
        <v>194</v>
      </c>
      <c r="D54" s="56">
        <v>1</v>
      </c>
      <c r="E54" s="69">
        <f t="shared" si="0"/>
        <v>1000</v>
      </c>
      <c r="F54" s="60" t="s">
        <v>246</v>
      </c>
      <c r="G54" s="70">
        <f t="shared" si="1"/>
        <v>4</v>
      </c>
      <c r="H54" s="71">
        <f>G54/$G$75*$G$76</f>
        <v>0.11615862409052764</v>
      </c>
      <c r="I54" s="72">
        <v>0</v>
      </c>
      <c r="J54" s="70">
        <f t="shared" si="2"/>
        <v>0</v>
      </c>
      <c r="K54" s="70">
        <f>(G54+H54+J54)*(1+$K$76)</f>
        <v>4.5277744864995801</v>
      </c>
      <c r="L54" s="73">
        <f>ROUND(K54/E54*$L$76,0)</f>
        <v>104</v>
      </c>
      <c r="M54" s="73">
        <f t="shared" si="3"/>
        <v>104000</v>
      </c>
    </row>
    <row r="55" spans="1:13" ht="17.25" x14ac:dyDescent="0.3">
      <c r="A55" s="52" t="s">
        <v>129</v>
      </c>
      <c r="B55" s="54" t="s">
        <v>207</v>
      </c>
      <c r="C55" s="52" t="s">
        <v>195</v>
      </c>
      <c r="D55" s="56">
        <v>1</v>
      </c>
      <c r="E55" s="69">
        <f t="shared" si="0"/>
        <v>1000</v>
      </c>
      <c r="F55" s="60" t="s">
        <v>241</v>
      </c>
      <c r="G55" s="70">
        <f t="shared" si="1"/>
        <v>80</v>
      </c>
      <c r="H55" s="71">
        <f>G55/$G$75*$G$76</f>
        <v>2.3231724818105528</v>
      </c>
      <c r="I55" s="72">
        <v>0</v>
      </c>
      <c r="J55" s="70">
        <f t="shared" si="2"/>
        <v>0</v>
      </c>
      <c r="K55" s="70">
        <f>(G55+H55+J55)*(1+$K$76)</f>
        <v>90.555489729991621</v>
      </c>
      <c r="L55" s="73">
        <f>ROUND(K55/E55*$L$76,0)</f>
        <v>2074</v>
      </c>
      <c r="M55" s="73">
        <f t="shared" si="3"/>
        <v>2074000</v>
      </c>
    </row>
    <row r="56" spans="1:13" ht="17.25" x14ac:dyDescent="0.3">
      <c r="A56" s="52" t="s">
        <v>130</v>
      </c>
      <c r="B56" s="54" t="s">
        <v>224</v>
      </c>
      <c r="C56" s="52" t="s">
        <v>196</v>
      </c>
      <c r="D56" s="58">
        <v>1</v>
      </c>
      <c r="E56" s="69">
        <f t="shared" si="0"/>
        <v>1000</v>
      </c>
      <c r="F56" s="60" t="s">
        <v>244</v>
      </c>
      <c r="G56" s="70">
        <f t="shared" si="1"/>
        <v>400</v>
      </c>
      <c r="H56" s="71">
        <f>G56/$G$75*$G$76</f>
        <v>11.615862409052765</v>
      </c>
      <c r="I56" s="72">
        <v>0</v>
      </c>
      <c r="J56" s="70">
        <f t="shared" si="2"/>
        <v>0</v>
      </c>
      <c r="K56" s="70">
        <f>(G56+H56+J56)*(1+$K$76)</f>
        <v>452.77744864995805</v>
      </c>
      <c r="L56" s="73">
        <f>ROUND(K56/E56*$L$76,0)</f>
        <v>10369</v>
      </c>
      <c r="M56" s="73">
        <f t="shared" si="3"/>
        <v>10369000</v>
      </c>
    </row>
    <row r="57" spans="1:13" ht="31.5" x14ac:dyDescent="0.3">
      <c r="A57" s="52" t="s">
        <v>131</v>
      </c>
      <c r="B57" s="54" t="s">
        <v>225</v>
      </c>
      <c r="C57" s="52" t="s">
        <v>197</v>
      </c>
      <c r="D57" s="56">
        <v>1</v>
      </c>
      <c r="E57" s="69">
        <f t="shared" si="0"/>
        <v>1000</v>
      </c>
      <c r="F57" s="60" t="s">
        <v>247</v>
      </c>
      <c r="G57" s="70">
        <f t="shared" si="1"/>
        <v>2500</v>
      </c>
      <c r="H57" s="71">
        <f>G57/$G$75*$G$76</f>
        <v>72.59914005657977</v>
      </c>
      <c r="I57" s="72">
        <v>0</v>
      </c>
      <c r="J57" s="70">
        <f t="shared" si="2"/>
        <v>0</v>
      </c>
      <c r="K57" s="70">
        <f>(G57+H57+J57)*(1+$K$76)</f>
        <v>2829.8590540622381</v>
      </c>
      <c r="L57" s="73">
        <f>ROUND(K57/E57*$L$76,0)</f>
        <v>64804</v>
      </c>
      <c r="M57" s="73">
        <f t="shared" si="3"/>
        <v>64804000</v>
      </c>
    </row>
    <row r="58" spans="1:13" ht="17.25" x14ac:dyDescent="0.3">
      <c r="A58" s="52" t="s">
        <v>132</v>
      </c>
      <c r="B58" s="54" t="s">
        <v>226</v>
      </c>
      <c r="C58" s="52" t="s">
        <v>198</v>
      </c>
      <c r="D58" s="56">
        <v>1</v>
      </c>
      <c r="E58" s="69">
        <f t="shared" si="0"/>
        <v>1000</v>
      </c>
      <c r="F58" s="60" t="s">
        <v>40</v>
      </c>
      <c r="G58" s="70">
        <f t="shared" si="1"/>
        <v>3300</v>
      </c>
      <c r="H58" s="71">
        <f>G58/$G$75*$G$76</f>
        <v>95.830864874685304</v>
      </c>
      <c r="I58" s="72">
        <v>0</v>
      </c>
      <c r="J58" s="70">
        <f t="shared" si="2"/>
        <v>0</v>
      </c>
      <c r="K58" s="70">
        <f>(G58+H58+J58)*(1+$K$76)</f>
        <v>3735.413951362154</v>
      </c>
      <c r="L58" s="73">
        <f>ROUND(K58/E58*$L$76,0)</f>
        <v>85541</v>
      </c>
      <c r="M58" s="73">
        <f t="shared" si="3"/>
        <v>85541000</v>
      </c>
    </row>
    <row r="59" spans="1:13" ht="31.5" x14ac:dyDescent="0.3">
      <c r="A59" s="52" t="s">
        <v>133</v>
      </c>
      <c r="B59" s="54" t="s">
        <v>225</v>
      </c>
      <c r="C59" s="52" t="s">
        <v>199</v>
      </c>
      <c r="D59" s="56">
        <v>1</v>
      </c>
      <c r="E59" s="69">
        <f t="shared" si="0"/>
        <v>1000</v>
      </c>
      <c r="F59" s="60" t="s">
        <v>248</v>
      </c>
      <c r="G59" s="70">
        <f t="shared" si="1"/>
        <v>380</v>
      </c>
      <c r="H59" s="71">
        <f>G59/$G$75*$G$76</f>
        <v>11.035069288600125</v>
      </c>
      <c r="I59" s="72">
        <v>0</v>
      </c>
      <c r="J59" s="70">
        <f t="shared" si="2"/>
        <v>0</v>
      </c>
      <c r="K59" s="70">
        <f>(G59+H59+J59)*(1+$K$76)</f>
        <v>430.13857621746018</v>
      </c>
      <c r="L59" s="73">
        <f>ROUND(K59/E59*$L$76,0)</f>
        <v>9850</v>
      </c>
      <c r="M59" s="73">
        <f t="shared" si="3"/>
        <v>9850000</v>
      </c>
    </row>
    <row r="60" spans="1:13" ht="17.25" x14ac:dyDescent="0.3">
      <c r="A60" s="52" t="s">
        <v>134</v>
      </c>
      <c r="B60" s="54" t="s">
        <v>225</v>
      </c>
      <c r="C60" s="52" t="s">
        <v>200</v>
      </c>
      <c r="D60" s="56">
        <v>1</v>
      </c>
      <c r="E60" s="69">
        <f t="shared" si="0"/>
        <v>1000</v>
      </c>
      <c r="F60" s="60" t="s">
        <v>249</v>
      </c>
      <c r="G60" s="70">
        <f t="shared" si="1"/>
        <v>1300</v>
      </c>
      <c r="H60" s="71">
        <f>G60/$G$75*$G$76</f>
        <v>37.751552829421485</v>
      </c>
      <c r="I60" s="72">
        <v>0</v>
      </c>
      <c r="J60" s="70">
        <f t="shared" si="2"/>
        <v>0</v>
      </c>
      <c r="K60" s="70">
        <f>(G60+H60+J60)*(1+$K$76)</f>
        <v>1471.5267081123638</v>
      </c>
      <c r="L60" s="73">
        <f>ROUND(K60/E60*$L$76,0)</f>
        <v>33698</v>
      </c>
      <c r="M60" s="73">
        <f t="shared" si="3"/>
        <v>33698000</v>
      </c>
    </row>
    <row r="61" spans="1:13" ht="17.25" x14ac:dyDescent="0.3">
      <c r="A61" s="52" t="s">
        <v>135</v>
      </c>
      <c r="B61" s="54" t="s">
        <v>225</v>
      </c>
      <c r="C61" s="52" t="s">
        <v>201</v>
      </c>
      <c r="D61" s="56">
        <v>1</v>
      </c>
      <c r="E61" s="69">
        <f t="shared" si="0"/>
        <v>1000</v>
      </c>
      <c r="F61" s="60" t="s">
        <v>250</v>
      </c>
      <c r="G61" s="70">
        <f t="shared" si="1"/>
        <v>180</v>
      </c>
      <c r="H61" s="71">
        <f>G61/$G$75*$G$76</f>
        <v>5.2271380840737436</v>
      </c>
      <c r="I61" s="72">
        <v>0</v>
      </c>
      <c r="J61" s="70">
        <f t="shared" si="2"/>
        <v>0</v>
      </c>
      <c r="K61" s="70">
        <f>(G61+H61+J61)*(1+$K$76)</f>
        <v>203.74985189248113</v>
      </c>
      <c r="L61" s="73">
        <f>ROUND(K61/E61*$L$76,0)</f>
        <v>4666</v>
      </c>
      <c r="M61" s="73">
        <f t="shared" si="3"/>
        <v>4666000</v>
      </c>
    </row>
    <row r="62" spans="1:13" ht="17.25" x14ac:dyDescent="0.3">
      <c r="A62" s="52" t="s">
        <v>136</v>
      </c>
      <c r="B62" s="54" t="s">
        <v>225</v>
      </c>
      <c r="C62" s="52" t="s">
        <v>202</v>
      </c>
      <c r="D62" s="56">
        <v>1</v>
      </c>
      <c r="E62" s="69">
        <f t="shared" si="0"/>
        <v>1000</v>
      </c>
      <c r="F62" s="60" t="s">
        <v>251</v>
      </c>
      <c r="G62" s="70">
        <f t="shared" si="1"/>
        <v>60</v>
      </c>
      <c r="H62" s="71">
        <f>G62/$G$75*$G$76</f>
        <v>1.7423793613579146</v>
      </c>
      <c r="I62" s="72">
        <v>0</v>
      </c>
      <c r="J62" s="70">
        <f t="shared" si="2"/>
        <v>0</v>
      </c>
      <c r="K62" s="70">
        <f>(G62+H62+J62)*(1+$K$76)</f>
        <v>67.916617297493715</v>
      </c>
      <c r="L62" s="73">
        <f>ROUND(K62/E62*$L$76,0)</f>
        <v>1555</v>
      </c>
      <c r="M62" s="73">
        <f t="shared" si="3"/>
        <v>1555000</v>
      </c>
    </row>
    <row r="63" spans="1:13" ht="17.25" x14ac:dyDescent="0.3">
      <c r="A63" s="52" t="s">
        <v>137</v>
      </c>
      <c r="B63" s="54" t="s">
        <v>225</v>
      </c>
      <c r="C63" s="52" t="s">
        <v>203</v>
      </c>
      <c r="D63" s="56">
        <v>1</v>
      </c>
      <c r="E63" s="69">
        <f t="shared" si="0"/>
        <v>1000</v>
      </c>
      <c r="F63" s="60" t="s">
        <v>250</v>
      </c>
      <c r="G63" s="70">
        <f t="shared" si="1"/>
        <v>180</v>
      </c>
      <c r="H63" s="71">
        <f>G63/$G$75*$G$76</f>
        <v>5.2271380840737436</v>
      </c>
      <c r="I63" s="72">
        <v>0</v>
      </c>
      <c r="J63" s="70">
        <f t="shared" si="2"/>
        <v>0</v>
      </c>
      <c r="K63" s="70">
        <f>(G63+H63+J63)*(1+$K$76)</f>
        <v>203.74985189248113</v>
      </c>
      <c r="L63" s="73">
        <f>ROUND(K63/E63*$L$76,0)</f>
        <v>4666</v>
      </c>
      <c r="M63" s="73">
        <f t="shared" si="3"/>
        <v>4666000</v>
      </c>
    </row>
    <row r="64" spans="1:13" ht="17.25" x14ac:dyDescent="0.3">
      <c r="A64" s="52" t="s">
        <v>138</v>
      </c>
      <c r="B64" s="54" t="s">
        <v>227</v>
      </c>
      <c r="C64" s="52" t="s">
        <v>204</v>
      </c>
      <c r="D64" s="56">
        <v>1</v>
      </c>
      <c r="E64" s="69">
        <f t="shared" si="0"/>
        <v>1000</v>
      </c>
      <c r="F64" s="60" t="s">
        <v>239</v>
      </c>
      <c r="G64" s="70">
        <f t="shared" si="1"/>
        <v>150</v>
      </c>
      <c r="H64" s="71">
        <f>G64/$G$75*$G$76</f>
        <v>4.3559484033947866</v>
      </c>
      <c r="I64" s="72">
        <v>0</v>
      </c>
      <c r="J64" s="70">
        <f t="shared" si="2"/>
        <v>0</v>
      </c>
      <c r="K64" s="70">
        <f>(G64+H64+J64)*(1+$K$76)</f>
        <v>169.79154324373428</v>
      </c>
      <c r="L64" s="73">
        <f>ROUND(K64/E64*$L$76,0)</f>
        <v>3888</v>
      </c>
      <c r="M64" s="73">
        <f t="shared" si="3"/>
        <v>3888000</v>
      </c>
    </row>
    <row r="65" spans="1:13" ht="17.25" x14ac:dyDescent="0.3">
      <c r="A65" s="52" t="s">
        <v>139</v>
      </c>
      <c r="B65" s="54"/>
      <c r="C65" s="52"/>
      <c r="D65" s="59">
        <v>1</v>
      </c>
      <c r="E65" s="69">
        <f t="shared" si="0"/>
        <v>1000</v>
      </c>
      <c r="F65" s="60" t="s">
        <v>252</v>
      </c>
      <c r="G65" s="70">
        <f t="shared" si="1"/>
        <v>2400</v>
      </c>
      <c r="H65" s="71">
        <f>G65/$G$75*$G$76</f>
        <v>69.695174454316586</v>
      </c>
      <c r="I65" s="72">
        <v>0</v>
      </c>
      <c r="J65" s="70">
        <f t="shared" si="2"/>
        <v>0</v>
      </c>
      <c r="K65" s="70">
        <f>(G65+H65+J65)*(1+$K$76)</f>
        <v>2716.6646918997485</v>
      </c>
      <c r="L65" s="73">
        <f>ROUND(K65/E65*$L$76,0)</f>
        <v>62212</v>
      </c>
      <c r="M65" s="73">
        <f t="shared" si="3"/>
        <v>62212000</v>
      </c>
    </row>
    <row r="66" spans="1:13" ht="17.25" x14ac:dyDescent="0.3">
      <c r="A66" s="52" t="s">
        <v>140</v>
      </c>
      <c r="B66" s="54"/>
      <c r="C66" s="52"/>
      <c r="D66" s="59">
        <v>1</v>
      </c>
      <c r="E66" s="69">
        <f t="shared" si="0"/>
        <v>1000</v>
      </c>
      <c r="F66" s="60" t="s">
        <v>253</v>
      </c>
      <c r="G66" s="70">
        <f t="shared" si="1"/>
        <v>210</v>
      </c>
      <c r="H66" s="71">
        <f>G66/$G$75*$G$76</f>
        <v>6.0983277647527014</v>
      </c>
      <c r="I66" s="72">
        <v>0</v>
      </c>
      <c r="J66" s="70">
        <f t="shared" si="2"/>
        <v>0</v>
      </c>
      <c r="K66" s="70">
        <f>(G66+H66+J66)*(1+$K$76)</f>
        <v>237.70816054122798</v>
      </c>
      <c r="L66" s="73">
        <f>ROUND(K66/E66*$L$76,0)</f>
        <v>5444</v>
      </c>
      <c r="M66" s="73">
        <f t="shared" si="3"/>
        <v>5444000</v>
      </c>
    </row>
    <row r="67" spans="1:13" ht="17.25" x14ac:dyDescent="0.3">
      <c r="A67" s="52" t="s">
        <v>141</v>
      </c>
      <c r="B67" s="54"/>
      <c r="C67" s="52"/>
      <c r="D67" s="59">
        <v>4</v>
      </c>
      <c r="E67" s="69">
        <f t="shared" ref="E67:E71" si="7">D67*1000</f>
        <v>4000</v>
      </c>
      <c r="F67" s="60" t="s">
        <v>254</v>
      </c>
      <c r="G67" s="70">
        <f t="shared" si="1"/>
        <v>560</v>
      </c>
      <c r="H67" s="71">
        <f>G67/$G$75*$G$76</f>
        <v>16.262207372673871</v>
      </c>
      <c r="I67" s="72">
        <v>0</v>
      </c>
      <c r="J67" s="70">
        <f t="shared" ref="J67:J71" si="8">(G67+H67)*I67</f>
        <v>0</v>
      </c>
      <c r="K67" s="70">
        <f>(G67+H67+J67)*(1+$K$76)</f>
        <v>633.88842810994129</v>
      </c>
      <c r="L67" s="73">
        <f>ROUND(K67/E67*$L$76,0)</f>
        <v>3629</v>
      </c>
      <c r="M67" s="73">
        <f t="shared" ref="M67:M71" si="9">L67*E67</f>
        <v>14516000</v>
      </c>
    </row>
    <row r="68" spans="1:13" ht="17.25" x14ac:dyDescent="0.3">
      <c r="A68" s="52" t="s">
        <v>142</v>
      </c>
      <c r="B68" s="54" t="s">
        <v>228</v>
      </c>
      <c r="C68" s="52" t="s">
        <v>205</v>
      </c>
      <c r="D68" s="59">
        <v>1</v>
      </c>
      <c r="E68" s="69">
        <f t="shared" si="7"/>
        <v>1000</v>
      </c>
      <c r="F68" s="60" t="s">
        <v>255</v>
      </c>
      <c r="G68" s="70">
        <f t="shared" si="1"/>
        <v>1800</v>
      </c>
      <c r="H68" s="71">
        <f>G68/$G$75*$G$76</f>
        <v>52.271380840737443</v>
      </c>
      <c r="I68" s="72">
        <v>0</v>
      </c>
      <c r="J68" s="70">
        <f t="shared" si="8"/>
        <v>0</v>
      </c>
      <c r="K68" s="70">
        <f>(G68+H68+J68)*(1+$K$76)</f>
        <v>2037.4985189248114</v>
      </c>
      <c r="L68" s="73">
        <f>ROUND(K68/E68*$L$76,0)</f>
        <v>46659</v>
      </c>
      <c r="M68" s="73">
        <f t="shared" si="9"/>
        <v>46659000</v>
      </c>
    </row>
    <row r="69" spans="1:13" ht="17.25" x14ac:dyDescent="0.3">
      <c r="A69" s="52" t="s">
        <v>143</v>
      </c>
      <c r="B69" s="54"/>
      <c r="C69" s="52"/>
      <c r="D69" s="59">
        <v>1</v>
      </c>
      <c r="E69" s="69">
        <f t="shared" si="7"/>
        <v>1000</v>
      </c>
      <c r="F69" s="60" t="s">
        <v>238</v>
      </c>
      <c r="G69" s="70">
        <f t="shared" si="1"/>
        <v>500</v>
      </c>
      <c r="H69" s="71">
        <f>G69/$G$75*$G$76</f>
        <v>14.519828011315955</v>
      </c>
      <c r="I69" s="72">
        <v>0</v>
      </c>
      <c r="J69" s="70">
        <f t="shared" si="8"/>
        <v>0</v>
      </c>
      <c r="K69" s="70">
        <f>(G69+H69+J69)*(1+$K$76)</f>
        <v>565.97181081244764</v>
      </c>
      <c r="L69" s="73">
        <f>ROUND(K69/E69*$L$76,0)</f>
        <v>12961</v>
      </c>
      <c r="M69" s="73">
        <f t="shared" si="9"/>
        <v>12961000</v>
      </c>
    </row>
    <row r="70" spans="1:13" ht="17.25" x14ac:dyDescent="0.3">
      <c r="A70" s="52" t="s">
        <v>144</v>
      </c>
      <c r="B70" s="54"/>
      <c r="C70" s="52"/>
      <c r="D70" s="59">
        <v>0.01</v>
      </c>
      <c r="E70" s="69">
        <f t="shared" si="7"/>
        <v>10</v>
      </c>
      <c r="F70" s="60" t="s">
        <v>256</v>
      </c>
      <c r="G70" s="70">
        <f t="shared" si="1"/>
        <v>158</v>
      </c>
      <c r="H70" s="71">
        <f>G70/$G$75*$G$76</f>
        <v>4.588265651575842</v>
      </c>
      <c r="I70" s="72">
        <v>0</v>
      </c>
      <c r="J70" s="70">
        <f t="shared" si="8"/>
        <v>0</v>
      </c>
      <c r="K70" s="70">
        <f>(G70+H70+J70)*(1+$K$76)</f>
        <v>178.84709221673344</v>
      </c>
      <c r="L70" s="73">
        <f>ROUND(K70/E70*$L$76,0)</f>
        <v>409560</v>
      </c>
      <c r="M70" s="73">
        <f t="shared" si="9"/>
        <v>4095600</v>
      </c>
    </row>
    <row r="71" spans="1:13" ht="17.25" x14ac:dyDescent="0.3">
      <c r="A71" s="52" t="s">
        <v>145</v>
      </c>
      <c r="B71" s="54"/>
      <c r="C71" s="52"/>
      <c r="D71" s="59">
        <v>8.0000000000000002E-3</v>
      </c>
      <c r="E71" s="69">
        <f t="shared" si="7"/>
        <v>8</v>
      </c>
      <c r="F71" s="60" t="s">
        <v>257</v>
      </c>
      <c r="G71" s="70">
        <f t="shared" si="1"/>
        <v>20.8</v>
      </c>
      <c r="H71" s="71">
        <f>G71/$G$75*$G$76</f>
        <v>0.60402484527074374</v>
      </c>
      <c r="I71" s="72">
        <v>0</v>
      </c>
      <c r="J71" s="70">
        <f t="shared" si="8"/>
        <v>0</v>
      </c>
      <c r="K71" s="70">
        <f>(G71+H71+J71)*(1+$K$76)</f>
        <v>23.54442732979782</v>
      </c>
      <c r="L71" s="73">
        <f>ROUND(K71/E71*$L$76,0)</f>
        <v>67396</v>
      </c>
      <c r="M71" s="73">
        <f t="shared" si="9"/>
        <v>539168</v>
      </c>
    </row>
    <row r="72" spans="1:13" ht="17.25" x14ac:dyDescent="0.3">
      <c r="B72" s="78" t="s">
        <v>61</v>
      </c>
      <c r="C72" s="78"/>
      <c r="G72" s="79"/>
      <c r="H72" s="74"/>
      <c r="I72" s="72"/>
      <c r="J72" s="70"/>
      <c r="K72" s="70"/>
      <c r="L72" s="73"/>
      <c r="M72" s="73"/>
    </row>
    <row r="73" spans="1:13" ht="17.25" x14ac:dyDescent="0.3">
      <c r="B73" s="80" t="s">
        <v>62</v>
      </c>
      <c r="C73" s="80"/>
      <c r="D73" s="81">
        <v>1</v>
      </c>
      <c r="E73" s="81">
        <v>1000</v>
      </c>
      <c r="F73" s="82">
        <v>0.8</v>
      </c>
      <c r="G73" s="70">
        <f t="shared" ref="G73:G74" si="10">F73*E73</f>
        <v>800</v>
      </c>
      <c r="H73" s="71">
        <f>G73/$G$75*$G$76</f>
        <v>23.23172481810553</v>
      </c>
      <c r="I73" s="72">
        <v>0</v>
      </c>
      <c r="J73" s="70">
        <f t="shared" ref="J73:J74" si="11">(G73+H73)*I73</f>
        <v>0</v>
      </c>
      <c r="K73" s="70">
        <f>(G73+H73+J73)*(1+$K$76)</f>
        <v>905.55489729991609</v>
      </c>
      <c r="L73" s="73">
        <f>ROUND(K73/E73*$L$76,0)</f>
        <v>20737</v>
      </c>
      <c r="M73" s="73">
        <f t="shared" ref="M73:M74" si="12">L73*E73</f>
        <v>20737000</v>
      </c>
    </row>
    <row r="74" spans="1:13" ht="15.75" customHeight="1" x14ac:dyDescent="0.3">
      <c r="B74" s="80" t="s">
        <v>63</v>
      </c>
      <c r="C74" s="80"/>
      <c r="D74" s="81">
        <v>1</v>
      </c>
      <c r="E74" s="81">
        <v>1000</v>
      </c>
      <c r="F74" s="82">
        <v>0.5</v>
      </c>
      <c r="G74" s="70">
        <f t="shared" si="10"/>
        <v>500</v>
      </c>
      <c r="H74" s="71">
        <f>G74/$G$75*$G$76</f>
        <v>14.519828011315955</v>
      </c>
      <c r="I74" s="72"/>
      <c r="J74" s="70">
        <f t="shared" si="11"/>
        <v>0</v>
      </c>
      <c r="K74" s="70">
        <f>(G74+H74+J74)*(1+$K$76)</f>
        <v>565.97181081244764</v>
      </c>
      <c r="L74" s="73">
        <f>ROUND(K74/E74*$L$76,0)</f>
        <v>12961</v>
      </c>
      <c r="M74" s="73">
        <f t="shared" si="12"/>
        <v>12961000</v>
      </c>
    </row>
    <row r="75" spans="1:13" x14ac:dyDescent="0.25">
      <c r="B75" s="83" t="s">
        <v>64</v>
      </c>
      <c r="C75" s="83"/>
      <c r="D75" s="81"/>
      <c r="E75" s="81"/>
      <c r="F75" s="81"/>
      <c r="G75" s="84">
        <f>SUM(G2:G74)</f>
        <v>23117.8</v>
      </c>
      <c r="H75" s="85"/>
      <c r="I75" s="86"/>
      <c r="J75" s="84"/>
      <c r="K75" s="84"/>
      <c r="L75" s="87"/>
      <c r="M75" s="87"/>
    </row>
    <row r="76" spans="1:13" ht="17.25" x14ac:dyDescent="0.3">
      <c r="B76" s="88"/>
      <c r="C76" s="81"/>
      <c r="D76" s="81"/>
      <c r="E76" s="81"/>
      <c r="F76" s="81"/>
      <c r="G76" s="89">
        <f>+G75*0.32/100+(15+30)*3+G75*0.02</f>
        <v>671.33295999999996</v>
      </c>
      <c r="H76" s="81"/>
      <c r="I76" s="90"/>
      <c r="J76" s="89"/>
      <c r="K76" s="91">
        <v>0.1</v>
      </c>
      <c r="L76" s="92">
        <v>22900</v>
      </c>
      <c r="M76" s="92"/>
    </row>
    <row r="77" spans="1:13" s="97" customFormat="1" x14ac:dyDescent="0.25">
      <c r="B77" s="93"/>
      <c r="C77" s="94" t="s">
        <v>65</v>
      </c>
      <c r="D77" s="94"/>
      <c r="E77" s="94"/>
      <c r="F77" s="94"/>
      <c r="G77" s="94"/>
      <c r="H77" s="94"/>
      <c r="I77" s="95"/>
      <c r="J77" s="94"/>
      <c r="K77" s="94"/>
      <c r="L77" s="96"/>
      <c r="M77" s="96">
        <f>SUM(M2:M74)</f>
        <v>598756768</v>
      </c>
    </row>
    <row r="78" spans="1:13" s="97" customFormat="1" x14ac:dyDescent="0.25">
      <c r="B78" s="93"/>
      <c r="C78" s="94" t="s">
        <v>66</v>
      </c>
      <c r="D78" s="94"/>
      <c r="E78" s="94"/>
      <c r="F78" s="94"/>
      <c r="G78" s="94"/>
      <c r="H78" s="94"/>
      <c r="I78" s="95"/>
      <c r="J78" s="94"/>
      <c r="K78" s="94"/>
      <c r="L78" s="96"/>
      <c r="M78" s="96">
        <f>ROUND(M77*0.1,0)</f>
        <v>59875677</v>
      </c>
    </row>
    <row r="79" spans="1:13" s="97" customFormat="1" x14ac:dyDescent="0.25">
      <c r="B79" s="93"/>
      <c r="C79" s="94" t="s">
        <v>67</v>
      </c>
      <c r="D79" s="94"/>
      <c r="E79" s="94"/>
      <c r="F79" s="94"/>
      <c r="G79" s="94"/>
      <c r="H79" s="94"/>
      <c r="I79" s="95"/>
      <c r="J79" s="98"/>
      <c r="K79" s="98"/>
      <c r="L79" s="99"/>
      <c r="M79" s="99">
        <f>+M77+M78</f>
        <v>658632445</v>
      </c>
    </row>
    <row r="80" spans="1:13" x14ac:dyDescent="0.25">
      <c r="J80" s="81" t="s">
        <v>72</v>
      </c>
      <c r="K80" s="81"/>
      <c r="L80" s="101"/>
      <c r="M80" s="102">
        <f>+M77/1000</f>
        <v>598756.76800000004</v>
      </c>
    </row>
    <row r="81" spans="3:13" x14ac:dyDescent="0.25">
      <c r="C81" s="103" t="s">
        <v>68</v>
      </c>
      <c r="D81" s="82">
        <v>0</v>
      </c>
      <c r="J81" s="81" t="s">
        <v>73</v>
      </c>
      <c r="K81" s="81"/>
      <c r="L81" s="101"/>
      <c r="M81" s="107">
        <f>+M80+D85*23000</f>
        <v>630956.76800000004</v>
      </c>
    </row>
    <row r="82" spans="3:13" x14ac:dyDescent="0.25">
      <c r="C82" s="103" t="s">
        <v>69</v>
      </c>
      <c r="D82" s="82">
        <v>0</v>
      </c>
    </row>
    <row r="83" spans="3:13" x14ac:dyDescent="0.25">
      <c r="C83" s="105" t="s">
        <v>70</v>
      </c>
      <c r="D83" s="82">
        <v>1</v>
      </c>
    </row>
    <row r="84" spans="3:13" x14ac:dyDescent="0.25">
      <c r="C84" s="106" t="s">
        <v>71</v>
      </c>
      <c r="D84" s="82">
        <v>0.4</v>
      </c>
    </row>
    <row r="85" spans="3:13" x14ac:dyDescent="0.25">
      <c r="D85" s="69">
        <f>SUM(D81:D84)</f>
        <v>1.4</v>
      </c>
    </row>
  </sheetData>
  <autoFilter ref="A1:N85"/>
  <mergeCells count="4">
    <mergeCell ref="B72:C72"/>
    <mergeCell ref="B73:C73"/>
    <mergeCell ref="B74:C74"/>
    <mergeCell ref="B75:C7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Du toan (6)</vt:lpstr>
      <vt:lpstr>BOM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Vu Lam</dc:creator>
  <cp:lastModifiedBy>thienhaiblue</cp:lastModifiedBy>
  <cp:lastPrinted>2017-03-01T03:34:33Z</cp:lastPrinted>
  <dcterms:created xsi:type="dcterms:W3CDTF">2016-04-29T01:34:13Z</dcterms:created>
  <dcterms:modified xsi:type="dcterms:W3CDTF">2018-01-10T09:03:38Z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BMPSD">
    <vt:lpwstr>K</vt:lpwstr>
  </property>
</Properties>
</file>