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VTSMART\GIT\sml-thing-hcm\docs\"/>
    </mc:Choice>
  </mc:AlternateContent>
  <bookViews>
    <workbookView xWindow="0" yWindow="0" windowWidth="16200" windowHeight="25035"/>
  </bookViews>
  <sheets>
    <sheet name="DỰ TOÁN" sheetId="8" r:id="rId1"/>
    <sheet name="MAIN+PWR+HOUSING" sheetId="9" r:id="rId2"/>
    <sheet name="MAIN" sheetId="1" state="hidden" r:id="rId3"/>
    <sheet name="PWR" sheetId="3" state="hidden" r:id="rId4"/>
    <sheet name="ASSY" sheetId="2" state="hidden" r:id="rId5"/>
    <sheet name="Main_1K" sheetId="4" r:id="rId6"/>
    <sheet name="Main_10K" sheetId="5" state="hidden" r:id="rId7"/>
    <sheet name="Pwr_1K" sheetId="6" r:id="rId8"/>
    <sheet name="Pwr_10K" sheetId="7" state="hidden" r:id="rId9"/>
  </sheets>
  <definedNames>
    <definedName name="_xlnm._FilterDatabase" localSheetId="2" hidden="1">MAIN!$A$1:$W$1</definedName>
  </definedNames>
  <calcPr calcId="152511"/>
</workbook>
</file>

<file path=xl/calcChain.xml><?xml version="1.0" encoding="utf-8"?>
<calcChain xmlns="http://schemas.openxmlformats.org/spreadsheetml/2006/main">
  <c r="K56" i="6" l="1"/>
  <c r="C4" i="9"/>
  <c r="C6" i="9" s="1"/>
  <c r="C7" i="9" s="1"/>
  <c r="D5" i="8" s="1"/>
  <c r="E5" i="8" s="1"/>
  <c r="K65" i="4"/>
  <c r="C22" i="8"/>
  <c r="C21" i="8"/>
  <c r="C19" i="8"/>
  <c r="C18" i="8"/>
  <c r="E17" i="8"/>
  <c r="C11" i="8"/>
  <c r="E11" i="8" s="1"/>
  <c r="E9" i="8"/>
  <c r="E8" i="8"/>
  <c r="E7" i="8" s="1"/>
  <c r="C6" i="8"/>
  <c r="E6" i="8" s="1"/>
  <c r="C5" i="8"/>
  <c r="C4" i="8"/>
  <c r="J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2" i="6"/>
  <c r="J7" i="6"/>
  <c r="J8" i="6"/>
  <c r="J9" i="6"/>
  <c r="J10" i="6"/>
  <c r="J12" i="6"/>
  <c r="J13" i="6"/>
  <c r="J15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3" i="6"/>
  <c r="J44" i="6"/>
  <c r="J45" i="6"/>
  <c r="J47" i="6"/>
  <c r="J48" i="6"/>
  <c r="J49" i="6"/>
  <c r="I53" i="6"/>
  <c r="I52" i="6"/>
  <c r="I50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2" i="4"/>
  <c r="I61" i="4"/>
  <c r="I62" i="4" s="1"/>
  <c r="I59" i="4"/>
  <c r="J5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2" i="4"/>
  <c r="J54" i="4"/>
  <c r="J56" i="4"/>
  <c r="J57" i="4"/>
  <c r="J58" i="4"/>
  <c r="J2" i="4"/>
  <c r="K69" i="5"/>
  <c r="K6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2" i="5"/>
  <c r="J6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2" i="5"/>
  <c r="I69" i="5"/>
  <c r="I68" i="5"/>
  <c r="I66" i="5"/>
  <c r="I60" i="7"/>
  <c r="E4" i="8" l="1"/>
  <c r="K52" i="6"/>
  <c r="K53" i="6" s="1"/>
  <c r="K61" i="4"/>
  <c r="K62" i="4" s="1"/>
  <c r="I59" i="7"/>
  <c r="E12" i="8" l="1"/>
  <c r="E10" i="8" s="1"/>
  <c r="E3" i="8" s="1"/>
  <c r="D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D3" i="8" l="1"/>
  <c r="E16" i="8"/>
  <c r="E15" i="8"/>
  <c r="E18" i="8"/>
  <c r="D18" i="8" s="1"/>
  <c r="F6" i="2"/>
  <c r="E19" i="8" l="1"/>
  <c r="D19" i="8" s="1"/>
  <c r="D21" i="8" s="1"/>
  <c r="P49" i="3"/>
  <c r="Q58" i="1"/>
  <c r="H19" i="8" l="1"/>
  <c r="H21" i="8"/>
  <c r="E21" i="8"/>
  <c r="E20" i="8" s="1"/>
  <c r="E22" i="8" s="1"/>
  <c r="H5" i="2"/>
  <c r="E23" i="8" l="1"/>
  <c r="D22" i="8"/>
  <c r="C26" i="8" s="1"/>
  <c r="F9" i="2"/>
  <c r="H9" i="2" s="1"/>
  <c r="F8" i="2"/>
  <c r="H8" i="2" s="1"/>
  <c r="F7" i="2"/>
  <c r="H7" i="2" s="1"/>
  <c r="H6" i="2"/>
  <c r="F3" i="2"/>
  <c r="H3" i="2" s="1"/>
  <c r="F4" i="2"/>
  <c r="H4" i="2" s="1"/>
  <c r="F2" i="2"/>
  <c r="H2" i="2" s="1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2" i="3"/>
  <c r="P2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  <c r="H16" i="2" l="1"/>
  <c r="H18" i="2" s="1"/>
  <c r="J5" i="2" s="1"/>
  <c r="K5" i="2" s="1"/>
  <c r="P48" i="3"/>
  <c r="P50" i="3" s="1"/>
  <c r="R26" i="3" s="1"/>
  <c r="S26" i="3" s="1"/>
  <c r="Q57" i="1"/>
  <c r="Q59" i="1" s="1"/>
  <c r="S34" i="1" s="1"/>
  <c r="T34" i="1" s="1"/>
  <c r="R30" i="3" l="1"/>
  <c r="S30" i="3" s="1"/>
  <c r="R4" i="3"/>
  <c r="S4" i="3" s="1"/>
  <c r="R47" i="3"/>
  <c r="S47" i="3" s="1"/>
  <c r="R32" i="3"/>
  <c r="S32" i="3" s="1"/>
  <c r="R46" i="3"/>
  <c r="S46" i="3" s="1"/>
  <c r="R34" i="3"/>
  <c r="S34" i="3" s="1"/>
  <c r="R12" i="3"/>
  <c r="S12" i="3" s="1"/>
  <c r="R27" i="3"/>
  <c r="S27" i="3" s="1"/>
  <c r="R11" i="3"/>
  <c r="S11" i="3" s="1"/>
  <c r="S22" i="1"/>
  <c r="T22" i="1" s="1"/>
  <c r="S8" i="1"/>
  <c r="T8" i="1" s="1"/>
  <c r="S29" i="1"/>
  <c r="T29" i="1" s="1"/>
  <c r="S7" i="1"/>
  <c r="T7" i="1" s="1"/>
  <c r="S11" i="1"/>
  <c r="T11" i="1" s="1"/>
  <c r="S9" i="1"/>
  <c r="T9" i="1" s="1"/>
  <c r="S5" i="1"/>
  <c r="T5" i="1" s="1"/>
  <c r="R42" i="3"/>
  <c r="S42" i="3" s="1"/>
  <c r="S38" i="1"/>
  <c r="T38" i="1" s="1"/>
  <c r="R5" i="3"/>
  <c r="S5" i="3" s="1"/>
  <c r="S16" i="1"/>
  <c r="T16" i="1" s="1"/>
  <c r="S17" i="1"/>
  <c r="T17" i="1" s="1"/>
  <c r="S35" i="1"/>
  <c r="T35" i="1" s="1"/>
  <c r="S46" i="1"/>
  <c r="T46" i="1" s="1"/>
  <c r="S48" i="1"/>
  <c r="T48" i="1" s="1"/>
  <c r="R2" i="3"/>
  <c r="S2" i="3" s="1"/>
  <c r="S44" i="1"/>
  <c r="T44" i="1" s="1"/>
  <c r="R36" i="3"/>
  <c r="S36" i="3" s="1"/>
  <c r="S54" i="1"/>
  <c r="T54" i="1" s="1"/>
  <c r="S42" i="1"/>
  <c r="T42" i="1" s="1"/>
  <c r="R21" i="3"/>
  <c r="S21" i="3" s="1"/>
  <c r="S39" i="1"/>
  <c r="T39" i="1" s="1"/>
  <c r="S18" i="1"/>
  <c r="T18" i="1" s="1"/>
  <c r="R15" i="3"/>
  <c r="S15" i="3" s="1"/>
  <c r="S49" i="1"/>
  <c r="T49" i="1" s="1"/>
  <c r="S10" i="1"/>
  <c r="T10" i="1" s="1"/>
  <c r="R25" i="3"/>
  <c r="S25" i="3" s="1"/>
  <c r="S51" i="1"/>
  <c r="T51" i="1" s="1"/>
  <c r="R3" i="3"/>
  <c r="S3" i="3" s="1"/>
  <c r="S30" i="1"/>
  <c r="T30" i="1" s="1"/>
  <c r="S24" i="1"/>
  <c r="T24" i="1" s="1"/>
  <c r="S15" i="1"/>
  <c r="T15" i="1" s="1"/>
  <c r="S13" i="1"/>
  <c r="T13" i="1" s="1"/>
  <c r="R40" i="3"/>
  <c r="S40" i="3" s="1"/>
  <c r="S19" i="1"/>
  <c r="T19" i="1" s="1"/>
  <c r="R20" i="3"/>
  <c r="S20" i="3" s="1"/>
  <c r="S40" i="1"/>
  <c r="T40" i="1" s="1"/>
  <c r="S23" i="1"/>
  <c r="T23" i="1" s="1"/>
  <c r="S45" i="1"/>
  <c r="T45" i="1" s="1"/>
  <c r="R9" i="3"/>
  <c r="S9" i="3" s="1"/>
  <c r="R28" i="3"/>
  <c r="S28" i="3" s="1"/>
  <c r="R13" i="3"/>
  <c r="S13" i="3" s="1"/>
  <c r="R7" i="3"/>
  <c r="S7" i="3" s="1"/>
  <c r="R17" i="3"/>
  <c r="S17" i="3" s="1"/>
  <c r="R44" i="3"/>
  <c r="S44" i="3" s="1"/>
  <c r="R29" i="3"/>
  <c r="S29" i="3" s="1"/>
  <c r="R8" i="3"/>
  <c r="S8" i="3" s="1"/>
  <c r="R33" i="3"/>
  <c r="S33" i="3" s="1"/>
  <c r="R35" i="3"/>
  <c r="S35" i="3" s="1"/>
  <c r="S27" i="1"/>
  <c r="T27" i="1" s="1"/>
  <c r="S28" i="1"/>
  <c r="T28" i="1" s="1"/>
  <c r="S41" i="1"/>
  <c r="T41" i="1" s="1"/>
  <c r="S37" i="1"/>
  <c r="T37" i="1" s="1"/>
  <c r="S32" i="1"/>
  <c r="T32" i="1" s="1"/>
  <c r="S33" i="1"/>
  <c r="T33" i="1" s="1"/>
  <c r="S4" i="1"/>
  <c r="T4" i="1" s="1"/>
  <c r="S2" i="1"/>
  <c r="T2" i="1" s="1"/>
  <c r="S31" i="1"/>
  <c r="T31" i="1" s="1"/>
  <c r="S25" i="1"/>
  <c r="T25" i="1" s="1"/>
  <c r="S43" i="1"/>
  <c r="T43" i="1" s="1"/>
  <c r="R6" i="3"/>
  <c r="S6" i="3" s="1"/>
  <c r="S20" i="1"/>
  <c r="T20" i="1" s="1"/>
  <c r="S47" i="1"/>
  <c r="T47" i="1" s="1"/>
  <c r="R23" i="3"/>
  <c r="S23" i="3" s="1"/>
  <c r="S26" i="1"/>
  <c r="T26" i="1" s="1"/>
  <c r="R10" i="3"/>
  <c r="S10" i="3" s="1"/>
  <c r="S6" i="1"/>
  <c r="T6" i="1" s="1"/>
  <c r="R22" i="3"/>
  <c r="S22" i="3" s="1"/>
  <c r="R19" i="3"/>
  <c r="S19" i="3" s="1"/>
  <c r="R37" i="3"/>
  <c r="S37" i="3" s="1"/>
  <c r="S55" i="1"/>
  <c r="T55" i="1" s="1"/>
  <c r="S12" i="1"/>
  <c r="T12" i="1" s="1"/>
  <c r="R31" i="3"/>
  <c r="S31" i="3" s="1"/>
  <c r="R16" i="3"/>
  <c r="S16" i="3" s="1"/>
  <c r="S50" i="1"/>
  <c r="T50" i="1" s="1"/>
  <c r="R41" i="3"/>
  <c r="S41" i="3" s="1"/>
  <c r="R18" i="3"/>
  <c r="S18" i="3" s="1"/>
  <c r="S21" i="1"/>
  <c r="T21" i="1" s="1"/>
  <c r="S14" i="1"/>
  <c r="T14" i="1" s="1"/>
  <c r="R38" i="3"/>
  <c r="S38" i="3" s="1"/>
  <c r="R43" i="3"/>
  <c r="S43" i="3" s="1"/>
  <c r="R45" i="3"/>
  <c r="S45" i="3" s="1"/>
  <c r="R14" i="3"/>
  <c r="S14" i="3" s="1"/>
  <c r="S52" i="1"/>
  <c r="T52" i="1" s="1"/>
  <c r="R39" i="3"/>
  <c r="S39" i="3" s="1"/>
  <c r="R24" i="3"/>
  <c r="S24" i="3" s="1"/>
  <c r="S36" i="1"/>
  <c r="T36" i="1" s="1"/>
  <c r="S3" i="1"/>
  <c r="T3" i="1" s="1"/>
  <c r="S53" i="1"/>
  <c r="T53" i="1" s="1"/>
  <c r="J7" i="2"/>
  <c r="K7" i="2" s="1"/>
  <c r="J8" i="2"/>
  <c r="K8" i="2" s="1"/>
  <c r="J4" i="2"/>
  <c r="K4" i="2" s="1"/>
  <c r="J9" i="2"/>
  <c r="K9" i="2" s="1"/>
  <c r="J3" i="2"/>
  <c r="K3" i="2" s="1"/>
  <c r="J2" i="2"/>
  <c r="K2" i="2" s="1"/>
  <c r="J6" i="2"/>
  <c r="K6" i="2" s="1"/>
  <c r="S49" i="3" l="1"/>
  <c r="T57" i="1"/>
  <c r="K16" i="2"/>
  <c r="K17" i="2" s="1"/>
  <c r="K18" i="2" s="1"/>
  <c r="T58" i="1" l="1"/>
  <c r="T59" i="1" s="1"/>
  <c r="S50" i="3"/>
  <c r="S51" i="3" s="1"/>
</calcChain>
</file>

<file path=xl/comments1.xml><?xml version="1.0" encoding="utf-8"?>
<comments xmlns="http://schemas.openxmlformats.org/spreadsheetml/2006/main">
  <authors>
    <author>Nguyen Vu Lam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  <charset val="163"/>
          </rPr>
          <t>Nguyen Vu Lam:</t>
        </r>
        <r>
          <rPr>
            <sz val="9"/>
            <color indexed="81"/>
            <rFont val="Tahoma"/>
            <family val="2"/>
            <charset val="163"/>
          </rPr>
          <t xml:space="preserve">
Thay đổi cho đúng mã NSX.</t>
        </r>
      </text>
    </comment>
  </commentList>
</comments>
</file>

<file path=xl/sharedStrings.xml><?xml version="1.0" encoding="utf-8"?>
<sst xmlns="http://schemas.openxmlformats.org/spreadsheetml/2006/main" count="1450" uniqueCount="814">
  <si>
    <t>Reference</t>
  </si>
  <si>
    <t>Value</t>
  </si>
  <si>
    <t>PCB Footprint</t>
  </si>
  <si>
    <t>Description</t>
  </si>
  <si>
    <t>03 MAN#2</t>
  </si>
  <si>
    <t>04 MPN#2</t>
  </si>
  <si>
    <t>C1,C47,C48,C49</t>
  </si>
  <si>
    <t>4.7uF</t>
  </si>
  <si>
    <t>C0603</t>
  </si>
  <si>
    <t>CAP-CER,SMD;4.7uF,10%,X5R,6.3V,0603</t>
  </si>
  <si>
    <t>MURATA</t>
  </si>
  <si>
    <t>GRM188R60J475KE19D</t>
  </si>
  <si>
    <t>C2,C3,C4,C5,C6,C7,C8,C9,C16,C17,C20,C21,C22,C23,C24,C25,C32,C34,C36,C37,C38,C39,C40,C41,C45,C50,C54</t>
  </si>
  <si>
    <t>0.1uF</t>
  </si>
  <si>
    <t>CAP-CER,SMD;0.1uF,10%,0603,50V,X7R</t>
  </si>
  <si>
    <t>GRM188R71H104KA93D</t>
  </si>
  <si>
    <t>C10,C11</t>
  </si>
  <si>
    <t>2.2uF</t>
  </si>
  <si>
    <t>CAP-CER,SMD;2.2uF,10%,0603,25V,X5R</t>
  </si>
  <si>
    <t>GRT188R61E225KE13D</t>
  </si>
  <si>
    <t>C12,C13,C14,C15</t>
  </si>
  <si>
    <t>12pF</t>
  </si>
  <si>
    <t xml:space="preserve">CAP-CER,SMD;12pF,5%,0603,50V,C0G </t>
  </si>
  <si>
    <t>Murata</t>
  </si>
  <si>
    <t>GRM1885C1H120JA01D</t>
  </si>
  <si>
    <t>C18,C19,C26,C27,C28,C35</t>
  </si>
  <si>
    <t>33pF</t>
  </si>
  <si>
    <t xml:space="preserve">CAP-CER,SMD;33pF,5%,0603,50V,C0G </t>
  </si>
  <si>
    <t>GRM1885C1H330JA01D</t>
  </si>
  <si>
    <t>C31,C55</t>
  </si>
  <si>
    <t>0.01uF</t>
  </si>
  <si>
    <t>CAP-CER,SMD;0.01uF,10%,0603,25V,X7R</t>
  </si>
  <si>
    <t>GRM188R71E103KA01D</t>
  </si>
  <si>
    <t>C33</t>
  </si>
  <si>
    <t>100uF</t>
  </si>
  <si>
    <t>CP_2917</t>
  </si>
  <si>
    <t>CAP-TANT,SMD;100uF,20%,2917,6V3</t>
  </si>
  <si>
    <t>KEMET</t>
  </si>
  <si>
    <t>T491D107M006AT</t>
  </si>
  <si>
    <t>10uF</t>
  </si>
  <si>
    <t>C44,C46</t>
  </si>
  <si>
    <t>C1206</t>
  </si>
  <si>
    <t>CAP-CER,SMD;100uF,20%,1206,6.3V,X5R</t>
  </si>
  <si>
    <t>GRM31CR60J107ME39L</t>
  </si>
  <si>
    <t>D1</t>
  </si>
  <si>
    <t>GRN_5MM</t>
  </si>
  <si>
    <t>LED-TH2-2M54_5M9X5M9X8M7</t>
  </si>
  <si>
    <t>LED-TH;LED GRN DIFF 5MM ROUND T/H</t>
  </si>
  <si>
    <t>Lite-On Inc.</t>
  </si>
  <si>
    <t>LTL2R3KGD-EM</t>
  </si>
  <si>
    <t>D2</t>
  </si>
  <si>
    <t>RED_5MM</t>
  </si>
  <si>
    <t>LED-TH;LED RED DIFF 5MM ROUND T/H</t>
  </si>
  <si>
    <t>LTL2R3KRD-EM</t>
  </si>
  <si>
    <t>D3</t>
  </si>
  <si>
    <t>YELLOW_5MM</t>
  </si>
  <si>
    <t>LED-TH;LED YELLOW DIFF 5MM ROUND T/H</t>
  </si>
  <si>
    <t>LTL2R3KYD-EM</t>
  </si>
  <si>
    <t>D4,D5</t>
  </si>
  <si>
    <t>SMAJ5.0A</t>
  </si>
  <si>
    <t>DIO_DO-214AC_2M29</t>
  </si>
  <si>
    <t>TVS-DIODE;UNI-DIR,400W,5V,DO-214AC</t>
  </si>
  <si>
    <t>Littelfuse</t>
  </si>
  <si>
    <t>D6,D7,D8,D9</t>
  </si>
  <si>
    <t>1N4148</t>
  </si>
  <si>
    <t>DIO_SOD323_1M2</t>
  </si>
  <si>
    <t>DIODE-SWITCHING;75V,150mA,SOD-323,1N4148WS-7-F</t>
  </si>
  <si>
    <t>DIODES</t>
  </si>
  <si>
    <t>1N4148WS-7-F</t>
  </si>
  <si>
    <t>DIO_SOD123_1M35</t>
  </si>
  <si>
    <t>ON Semiconductor</t>
  </si>
  <si>
    <t>HDR1</t>
  </si>
  <si>
    <t>B12B-PH-K-S(LF)(SN)</t>
  </si>
  <si>
    <t>HDR1X12_2M0_4M5X25M9X6M_TH_SHR</t>
  </si>
  <si>
    <t>CONN-DIP;CONN HEADER PH TOP 12POS 2MM</t>
  </si>
  <si>
    <t>JST</t>
  </si>
  <si>
    <t>HDR2</t>
  </si>
  <si>
    <t>HDR_2X6_2M54_F</t>
  </si>
  <si>
    <t>HDR2X6_2M54_15M64X5M04X8M65_TH</t>
  </si>
  <si>
    <t>CONN-DIP;VERT SOCKET 2X6,PITCH 2M54,TH</t>
  </si>
  <si>
    <t>Harwin</t>
  </si>
  <si>
    <t>M20-7830642</t>
  </si>
  <si>
    <t>HDR3</t>
  </si>
  <si>
    <t>HDR_2X4_2M54_F</t>
  </si>
  <si>
    <t>HDR2X4_2M54_10M56X5M04X8M65_TH</t>
  </si>
  <si>
    <t>CONN-DIP;VERT SOCKET 2X4,PITCH 2M54,TH</t>
  </si>
  <si>
    <t>M20-7830442</t>
  </si>
  <si>
    <t>HDR4</t>
  </si>
  <si>
    <t>HDR_1X5_2M54</t>
  </si>
  <si>
    <t>HDR1X5_2M54_12M7X2M41X8M58_TH</t>
  </si>
  <si>
    <t>CONN-DIP;HEADER 1X5,PITCH 2M54,DIP</t>
  </si>
  <si>
    <t>FCI</t>
  </si>
  <si>
    <t>68000-405HLF</t>
  </si>
  <si>
    <t>ISO1,ISO2,ISO3,ISO4</t>
  </si>
  <si>
    <t>TLP183(TPL,E</t>
  </si>
  <si>
    <t>SOP4_2M54_3M7X4M55X2M3</t>
  </si>
  <si>
    <t>OPTOISO 3.75KV TRANS 6-SO 4 LEAD</t>
  </si>
  <si>
    <t>Toshiba</t>
  </si>
  <si>
    <t>J1,J2</t>
  </si>
  <si>
    <t>RJ12</t>
  </si>
  <si>
    <t>CONN-TH_RJ12_13M5X12M2X14M5</t>
  </si>
  <si>
    <t>CONN-TH; CONN MOD JACK 6P6C R/A UNSHLD</t>
  </si>
  <si>
    <t>Amphenol FCI</t>
  </si>
  <si>
    <t>E5566-Q0LK22-L</t>
  </si>
  <si>
    <t>J3</t>
  </si>
  <si>
    <t>CON_SMA</t>
  </si>
  <si>
    <t>CONN-TH5_619540-1</t>
  </si>
  <si>
    <t>CONN-DIP;RF,TYPE-F,619540-1</t>
  </si>
  <si>
    <t>TE</t>
  </si>
  <si>
    <t>619540-1</t>
  </si>
  <si>
    <t>J4</t>
  </si>
  <si>
    <t>CONN_SIM_0785260001</t>
  </si>
  <si>
    <t>CONN SIM CARD PUSH-PUSH R/A SMD</t>
  </si>
  <si>
    <t>MOLEX</t>
  </si>
  <si>
    <t>Q1</t>
  </si>
  <si>
    <t>BC807-40W,115</t>
  </si>
  <si>
    <t>SOT-323_2MX1M2X1M1</t>
  </si>
  <si>
    <t>TRANS PNP 45V 0.5A SOT323</t>
  </si>
  <si>
    <t>Nexperia USA Inc.</t>
  </si>
  <si>
    <t>Q2</t>
  </si>
  <si>
    <t>PMBT2222A,215</t>
  </si>
  <si>
    <t>SOT-23-3_2M9X1M3X1M1</t>
  </si>
  <si>
    <t>TRANS NPN 40V 0.6A SOT23</t>
  </si>
  <si>
    <t>Q3</t>
  </si>
  <si>
    <t>AO3401A</t>
  </si>
  <si>
    <t>SOT-23-3_3M1X1M8X1M28</t>
  </si>
  <si>
    <t>MOS-FET;P-Channel,30V,4A,SOT23</t>
  </si>
  <si>
    <t>AO Semicon</t>
  </si>
  <si>
    <t>Q4,Q5</t>
  </si>
  <si>
    <t>BSS138</t>
  </si>
  <si>
    <t>SOT-23-3_2M92X1M3X1M2</t>
  </si>
  <si>
    <t>MOSFET N-CH 50V 0.22A SOT-23</t>
  </si>
  <si>
    <t>Fairchild</t>
  </si>
  <si>
    <t>R1,R40,R42,R47</t>
  </si>
  <si>
    <t>10K</t>
  </si>
  <si>
    <t>R0603</t>
  </si>
  <si>
    <t>RES-SMD;10KOHM,5%,1/10W,0603</t>
  </si>
  <si>
    <t>PANASONIC</t>
  </si>
  <si>
    <t>ERJ-3GEYJ103V</t>
  </si>
  <si>
    <t>YAGEO</t>
  </si>
  <si>
    <t>RC0603JR-0710KL</t>
  </si>
  <si>
    <t>R2,R3,R4</t>
  </si>
  <si>
    <t>1K</t>
  </si>
  <si>
    <t>RES-SMD;1KOHM,5%,1/10W,0603</t>
  </si>
  <si>
    <t>ERJ-3GEYJ102V</t>
  </si>
  <si>
    <t>RC0603JR-071KL</t>
  </si>
  <si>
    <t>R5</t>
  </si>
  <si>
    <t>R0805</t>
  </si>
  <si>
    <t>RES-SMD;120 OHM,5%,0805,1/8W</t>
  </si>
  <si>
    <t>RC0805JR-07120RL</t>
  </si>
  <si>
    <t>R6,R14,R36,R37,R48</t>
  </si>
  <si>
    <t>4.7K</t>
  </si>
  <si>
    <t>RES-SMD;4.7KOHM,5%,1/10W,0603</t>
  </si>
  <si>
    <t>RC0603JR-074K7L</t>
  </si>
  <si>
    <t>R7,R10,R11,R12</t>
  </si>
  <si>
    <t>RES-SMD;0OHM,5%,1/10W,0603</t>
  </si>
  <si>
    <t>ERJ-3GEY0R00V</t>
  </si>
  <si>
    <t>R8</t>
  </si>
  <si>
    <t>47K</t>
  </si>
  <si>
    <t>RES-SMD;47KOHM,5%,1/10W,0603</t>
  </si>
  <si>
    <t>ERJ-3GEYJ473V</t>
  </si>
  <si>
    <t>RC0603JR-0747KL</t>
  </si>
  <si>
    <t>R9,R13</t>
  </si>
  <si>
    <t>100K</t>
  </si>
  <si>
    <t>RES-SMD;100KOHM,5%,1/10W,0603</t>
  </si>
  <si>
    <t>ERJ-3GEYJ104V</t>
  </si>
  <si>
    <t>RC0603JR-07100KL</t>
  </si>
  <si>
    <t>R15,R16,R17,R18</t>
  </si>
  <si>
    <t>1M</t>
  </si>
  <si>
    <t>RES-SMD;1M OHM,1%,0805,1/8W</t>
  </si>
  <si>
    <t>RC0805FR-071ML</t>
  </si>
  <si>
    <t>R19</t>
  </si>
  <si>
    <t>RES-SMD;10K OHM,1%,0805,1/8W</t>
  </si>
  <si>
    <t>RC0805FR-0710KL</t>
  </si>
  <si>
    <t>R20,R21,R22,R23,R24,R25,R26,R27,R28,R29,R30,R31,R32,R33,R34,R35</t>
  </si>
  <si>
    <t>22K</t>
  </si>
  <si>
    <t>RES-SMD;22K OHM,5%,0805,1/8W</t>
  </si>
  <si>
    <t>RC0805JR-0722KL</t>
  </si>
  <si>
    <t>R41,R43</t>
  </si>
  <si>
    <t>RES-SMD;100OHM,5%,1/10W,0603</t>
  </si>
  <si>
    <t>ERJ-3GEYJ101V</t>
  </si>
  <si>
    <t>R44</t>
  </si>
  <si>
    <t>RES-SMD;47KOHM,1%,1/10W,0603</t>
  </si>
  <si>
    <t>ERJ-3EKF4702V</t>
  </si>
  <si>
    <t>RC0603FR-0747KL</t>
  </si>
  <si>
    <t>R45</t>
  </si>
  <si>
    <t>1.1K</t>
  </si>
  <si>
    <t>RES-SMD;1.1KOHM,1%,1/10W,0603</t>
  </si>
  <si>
    <t>Yageo</t>
  </si>
  <si>
    <t>RC0603FR-071K1L</t>
  </si>
  <si>
    <t>R46</t>
  </si>
  <si>
    <t>6.2K</t>
  </si>
  <si>
    <t>RES-SMD;6.2KOHM,1%,1/10W,0603</t>
  </si>
  <si>
    <t>ERJ-3EKF6201V</t>
  </si>
  <si>
    <t>RC0603FR-076K2L</t>
  </si>
  <si>
    <t>R49,R50</t>
  </si>
  <si>
    <t>RES-SMD;1MOHM,1%,1/10W,0603</t>
  </si>
  <si>
    <t>ERJ-3EKF1004V</t>
  </si>
  <si>
    <t>RC0603FR-071ML</t>
  </si>
  <si>
    <t>SW1,SW2</t>
  </si>
  <si>
    <t>FSM4JSMATR</t>
  </si>
  <si>
    <t>PUSH-BUTTON;FSM4JSMATR</t>
  </si>
  <si>
    <t>TE Connectivity ALCOSWITCH Switches</t>
  </si>
  <si>
    <t>T1,T2,T3,T4</t>
  </si>
  <si>
    <t>SMAJ12CA</t>
  </si>
  <si>
    <t>TVS_DO-214AC_2M29_BI</t>
  </si>
  <si>
    <t>TVS-DIODE;BI-DIR,400W,12V,DO-214AC</t>
  </si>
  <si>
    <t>T5</t>
  </si>
  <si>
    <t>SMF05CT1G</t>
  </si>
  <si>
    <t>SC-88_2MX1M25X1M1</t>
  </si>
  <si>
    <t>TVS;TVS DIODE 5VWM 12.5VC SC88</t>
  </si>
  <si>
    <t>T6</t>
  </si>
  <si>
    <t>ESD5Z3.3T1G</t>
  </si>
  <si>
    <t>SOD523_0M7</t>
  </si>
  <si>
    <t xml:space="preserve">TVS;3.3V;105pF;SOD-523 </t>
  </si>
  <si>
    <t>U1</t>
  </si>
  <si>
    <t>STM32F207VET6</t>
  </si>
  <si>
    <t>LQFP100_M5_14MX14MX1M6</t>
  </si>
  <si>
    <t>IC;MCU 32BIT 512KB FLASH 100LQFP</t>
  </si>
  <si>
    <t>STMicroelectronics</t>
  </si>
  <si>
    <t>U2</t>
  </si>
  <si>
    <t>MAX485CSA+T</t>
  </si>
  <si>
    <t>SOIC8_1M27_4M9X3M9X1M75</t>
  </si>
  <si>
    <t>IC;TXRX RS485/RS422 8-SOIC</t>
  </si>
  <si>
    <t>Maxim Integrated</t>
  </si>
  <si>
    <t>U3</t>
  </si>
  <si>
    <t>ST3222BTR</t>
  </si>
  <si>
    <t>TSSOP-20_6M5X4M4X1M2</t>
  </si>
  <si>
    <t>IC;IC DRIVER/RCVR RS232 LP 20-TSSOP</t>
  </si>
  <si>
    <t>U4</t>
  </si>
  <si>
    <t>W25Q64FWSSIG</t>
  </si>
  <si>
    <t>SOIC8_1M27_5M28X7M9X2M16</t>
  </si>
  <si>
    <t>IC;FLASH 64MBIT 104MHZ 8SOIC</t>
  </si>
  <si>
    <t>Winbond Electronics</t>
  </si>
  <si>
    <t>U5</t>
  </si>
  <si>
    <t>BGS2-E</t>
  </si>
  <si>
    <t>BGS2_18M8X27M6X2M9</t>
  </si>
  <si>
    <t>MODULE GSM BGS2-E</t>
  </si>
  <si>
    <t>CINTERION</t>
  </si>
  <si>
    <t>U6,U7</t>
  </si>
  <si>
    <t>TXB0302DQMR</t>
  </si>
  <si>
    <t>DQM8_M4_1M8X1M2XM4</t>
  </si>
  <si>
    <t>IC;IC V-LEVEL XLATR 2BIT 8X2SON</t>
  </si>
  <si>
    <t>TI</t>
  </si>
  <si>
    <t>U9</t>
  </si>
  <si>
    <t>BQ24073RGTR</t>
  </si>
  <si>
    <t>QFN16_0M5_3M15X3M15X1M0</t>
  </si>
  <si>
    <t>IC;POWER,BQ24073RGTR,QFN16 3MX3M</t>
  </si>
  <si>
    <t>TEXAS INSTRUMENT</t>
  </si>
  <si>
    <t>U10</t>
  </si>
  <si>
    <t>XC6209F332MR-G</t>
  </si>
  <si>
    <t>SOT-25_2M9X1M6X1M3</t>
  </si>
  <si>
    <t>IC;REG LINEAR 3.3V 300MA SOT25</t>
  </si>
  <si>
    <t>Torex Semiconductor Ltd</t>
  </si>
  <si>
    <t>X1</t>
  </si>
  <si>
    <t>32.768 KHz</t>
  </si>
  <si>
    <t>XTAL2_FC-135_3M2X1M5XM9</t>
  </si>
  <si>
    <t>CRYSTAL;CRYSTAL 32.768KHZ 12.5PF SMD</t>
  </si>
  <si>
    <t>EPSON</t>
  </si>
  <si>
    <t>FC-135 32.7680KA-A0</t>
  </si>
  <si>
    <t>X2</t>
  </si>
  <si>
    <t>8MHz</t>
  </si>
  <si>
    <t>XTAL4_3M2X5MX1M05</t>
  </si>
  <si>
    <t>CRYSTAL;CRYSTAL 8.0000MHZ 18PF SMD</t>
  </si>
  <si>
    <t>TXC CORPORATION</t>
  </si>
  <si>
    <t>7B-8.000MAAJ-T</t>
  </si>
  <si>
    <t>Item</t>
  </si>
  <si>
    <t>Note</t>
  </si>
  <si>
    <t>Qty</t>
  </si>
  <si>
    <t>Manufacturer</t>
  </si>
  <si>
    <t>Manufacturer Part Number</t>
  </si>
  <si>
    <t>CONN HOUSING PH 12POS 2MM WHITE</t>
  </si>
  <si>
    <t>JST Sales America Inc.</t>
  </si>
  <si>
    <t>PHR-12</t>
  </si>
  <si>
    <t>JUMPER SPH-002T-P0.5S X2 2"</t>
  </si>
  <si>
    <t>ASPHSPH24K51</t>
  </si>
  <si>
    <t>2dbi GSM Antenna</t>
  </si>
  <si>
    <t>JC Antenna Co.,Ltd</t>
  </si>
  <si>
    <t>JCG025</t>
  </si>
  <si>
    <t>C1,C8</t>
  </si>
  <si>
    <t>C1812</t>
  </si>
  <si>
    <t>CAP-CER,SMD;0.1uF,10%,1812,500V,X7R</t>
  </si>
  <si>
    <t>Vishay Vitramon</t>
  </si>
  <si>
    <t>VJ1812Y104KXEAT</t>
  </si>
  <si>
    <t>C2,C9</t>
  </si>
  <si>
    <t>22uF</t>
  </si>
  <si>
    <t>CP_TH_5M_12M5X12M5X21M5</t>
  </si>
  <si>
    <t>CAP-ALUM,TH;22UF 20% 400V RADIAL</t>
  </si>
  <si>
    <t>Nichicon</t>
  </si>
  <si>
    <t>UCS2G220MHD</t>
  </si>
  <si>
    <t>C3</t>
  </si>
  <si>
    <t>C_TH_17M5X10MX16M5</t>
  </si>
  <si>
    <t>CAP-FILM,TH;0.1uF,20%,1KVDC RADIAL</t>
  </si>
  <si>
    <t>Vishay BC Components</t>
  </si>
  <si>
    <t>BFC233810104</t>
  </si>
  <si>
    <t>C4</t>
  </si>
  <si>
    <t>10nF</t>
  </si>
  <si>
    <t>C_TH_15M_17M5X5MX11M</t>
  </si>
  <si>
    <t>CAP-FILM,TH;10nF,20%,1KVDC RADIAL</t>
  </si>
  <si>
    <t>BFC233810103</t>
  </si>
  <si>
    <t>C5,C6,C7</t>
  </si>
  <si>
    <t>4700pF</t>
  </si>
  <si>
    <t>C_TH_10M_16MX5MX20M</t>
  </si>
  <si>
    <t>CAP-CER,TH;4700pF,20%,760VAC RADIAL</t>
  </si>
  <si>
    <t>VY1472M63Y5UQ63V0</t>
  </si>
  <si>
    <t>C10</t>
  </si>
  <si>
    <t>220pF</t>
  </si>
  <si>
    <t>CAP-CER,SMD;220pF,5%,1206,500V,NPO</t>
  </si>
  <si>
    <t>CC1206JRNPOBBN221</t>
  </si>
  <si>
    <t>C11</t>
  </si>
  <si>
    <t>2.2nF</t>
  </si>
  <si>
    <t>C0805</t>
  </si>
  <si>
    <t>CAP-CER,SMD;2.2nF,10%,0805,50V,X7R</t>
  </si>
  <si>
    <t>CC0805KRX7R9BB222</t>
  </si>
  <si>
    <t>C12,C13,C14</t>
  </si>
  <si>
    <t>470uF</t>
  </si>
  <si>
    <t>CP_TH_3M5_8MX8MX16M5</t>
  </si>
  <si>
    <t>CAP-ALUM,TH;470uF,20%,8MX16M5,16V</t>
  </si>
  <si>
    <t>Panasonic</t>
  </si>
  <si>
    <t>EEU-FM1C471L</t>
  </si>
  <si>
    <t>C15,C27,C28,C29</t>
  </si>
  <si>
    <t>CAP-CER,SMD;0.1uF,10%,0805,50V,X7R</t>
  </si>
  <si>
    <t>CC0805KRX7R9BB104</t>
  </si>
  <si>
    <t>C16</t>
  </si>
  <si>
    <t>C_TH_12MX12MX16M</t>
  </si>
  <si>
    <t>CAP-CER,TH;2.2nF,20%,760VAC RADIAL</t>
  </si>
  <si>
    <t>VY1222M47Y5UQ63V0</t>
  </si>
  <si>
    <t>C17</t>
  </si>
  <si>
    <t>10pF</t>
  </si>
  <si>
    <t>CAP-CER,SMD;10pF,5%,0805,50V,NPO</t>
  </si>
  <si>
    <t>CC0805JRNPO9BN100</t>
  </si>
  <si>
    <t>C18</t>
  </si>
  <si>
    <t>CAP-CER,SMD;10uF,20%,1206,50V,X5R</t>
  </si>
  <si>
    <t>GRM31CR61H106MA12L</t>
  </si>
  <si>
    <t>C21,C22,C25,C26</t>
  </si>
  <si>
    <t>C1210</t>
  </si>
  <si>
    <t>CAP-CER,SMD;10nF,10%,1210,1KV,X7R</t>
  </si>
  <si>
    <t>GRM32QR73A103KW01L</t>
  </si>
  <si>
    <t>C30</t>
  </si>
  <si>
    <t>CAP-CER,SMD;0.01uF,10%,0805,50V,X7R</t>
  </si>
  <si>
    <t>CC0805KRX7R9BB103</t>
  </si>
  <si>
    <t>D1,D6,D7,D12</t>
  </si>
  <si>
    <t>Zener 200V</t>
  </si>
  <si>
    <t>DIO_DO-214AC_2M3</t>
  </si>
  <si>
    <t>DIODE ZENER;200V 1.25W DO214AC</t>
  </si>
  <si>
    <t>Vishay Semiconductor Diodes Division</t>
  </si>
  <si>
    <t>BZG03C200TR3</t>
  </si>
  <si>
    <t>D2,D3,D4,D5,D8,D9,D10,D11,D13</t>
  </si>
  <si>
    <t>MRA4007T3G</t>
  </si>
  <si>
    <t>DIO_DO-214AC_2M2</t>
  </si>
  <si>
    <t>DIODE;1000V,1A,DO-214AC,MRA4007T3G</t>
  </si>
  <si>
    <t>D14</t>
  </si>
  <si>
    <t>B340-13-F</t>
  </si>
  <si>
    <t>DIO_DO-214AB_2M5</t>
  </si>
  <si>
    <t>DIODE;40V,3A,DO-214AB,B340-13-F</t>
  </si>
  <si>
    <t>Diodes</t>
  </si>
  <si>
    <t>D15</t>
  </si>
  <si>
    <t>MMSZ4690T1G</t>
  </si>
  <si>
    <t>DIODE;DIODE ZENER 5.6V 500MW SOD123</t>
  </si>
  <si>
    <t>D16,D18</t>
  </si>
  <si>
    <t>Zener 240V</t>
  </si>
  <si>
    <t>DIODE ZENER;240V,DO-214AC,BZG03C240TR</t>
  </si>
  <si>
    <t>Vishay</t>
  </si>
  <si>
    <t>BZG03C240TR</t>
  </si>
  <si>
    <t>D17</t>
  </si>
  <si>
    <t>Zener 13V</t>
  </si>
  <si>
    <t>DIO_SOD323_1M1</t>
  </si>
  <si>
    <t>DIODE ZENER;DIODE ZENER 13V 300MW SOD323</t>
  </si>
  <si>
    <t>MM3Z13VT1G</t>
  </si>
  <si>
    <t>D19,D24,D25,D26</t>
  </si>
  <si>
    <t>FL1</t>
  </si>
  <si>
    <t>FL_744862250_17MX11MX17M</t>
  </si>
  <si>
    <t>Filter CMC 25MH 250MA 2LN TH</t>
  </si>
  <si>
    <t>Wurth Electronics Inc.</t>
  </si>
  <si>
    <t>ISO1,ISO2,ISO3</t>
  </si>
  <si>
    <t>L1</t>
  </si>
  <si>
    <t>1.5mH</t>
  </si>
  <si>
    <t>L_5M_9MX9M2X12M2</t>
  </si>
  <si>
    <t>IND-SMD;1.5mH,10%,9MX12M2,430mA,3.8 OHM</t>
  </si>
  <si>
    <t>Bourns</t>
  </si>
  <si>
    <t>RLB9012-152KL</t>
  </si>
  <si>
    <t>L2</t>
  </si>
  <si>
    <t>6.3uH</t>
  </si>
  <si>
    <t>L_4M0_6MX6MX4M5</t>
  </si>
  <si>
    <t>IND-SMD;6.3uH,20%,6MX6M,3A,46.8mOHM</t>
  </si>
  <si>
    <t>Taiyo Yuden</t>
  </si>
  <si>
    <t>NRS6045T6R3MMGK</t>
  </si>
  <si>
    <t>STD3NK60ZT4</t>
  </si>
  <si>
    <t>D-PAK-2</t>
  </si>
  <si>
    <t>RL1,RL2,RL3,RL4</t>
  </si>
  <si>
    <t>OJ-SH-105LMH,000</t>
  </si>
  <si>
    <t>RELAY_OJ-SH-105LMH</t>
  </si>
  <si>
    <t>RELAY; RELAY GENERAL PURPOSE SPST 8A 5V</t>
  </si>
  <si>
    <t>R1,R3,R4</t>
  </si>
  <si>
    <t>R-TH_6MX12M</t>
  </si>
  <si>
    <t>RES-TH;10OHM,5%,2W,AXIAL</t>
  </si>
  <si>
    <t>FW20A10R0JA</t>
  </si>
  <si>
    <t>R2,R6</t>
  </si>
  <si>
    <t>R1206</t>
  </si>
  <si>
    <t>RES-SMD;10 OHM,5%,1206,1/4W</t>
  </si>
  <si>
    <t>RC1206JR-0710RL</t>
  </si>
  <si>
    <t>R7,R9,R11</t>
  </si>
  <si>
    <t>680K</t>
  </si>
  <si>
    <t>RES-SMD;680k OHM,5%,1206,1/4W</t>
  </si>
  <si>
    <t>RC1206JR-07680KL</t>
  </si>
  <si>
    <t>RES-SMD;100k OHM,5%,1206,3/4W</t>
  </si>
  <si>
    <t>Vishay Dale</t>
  </si>
  <si>
    <t>CRCW1206100KJNEAHP</t>
  </si>
  <si>
    <t>R10,R14,R15</t>
  </si>
  <si>
    <t>RES-SMD;100 OHM,5%,0805,1/8W</t>
  </si>
  <si>
    <t>RC0805JR-07100RL</t>
  </si>
  <si>
    <t>R12</t>
  </si>
  <si>
    <t>RES-SMD;470 OHM,5%,1206,1/4W</t>
  </si>
  <si>
    <t>RC1206JR-07470RL</t>
  </si>
  <si>
    <t>R13</t>
  </si>
  <si>
    <t>5.6K</t>
  </si>
  <si>
    <t>RES-SMD;5.6K OHM,5%,0805,1/8W</t>
  </si>
  <si>
    <t>RC0805JR-075K6L</t>
  </si>
  <si>
    <t>R16</t>
  </si>
  <si>
    <t>20K</t>
  </si>
  <si>
    <t>RES-SMD;20K OHM,1%,0805,1/8W</t>
  </si>
  <si>
    <t>RC0805FR-0720KL</t>
  </si>
  <si>
    <t>R17</t>
  </si>
  <si>
    <t>RES-SMD;10 OHM,5%,0805,1/8W</t>
  </si>
  <si>
    <t>RC0805JR-0710RL</t>
  </si>
  <si>
    <t>R18</t>
  </si>
  <si>
    <t>6.49K</t>
  </si>
  <si>
    <t>RES-SMD;6.49K OHM,1%,0805,1/8W</t>
  </si>
  <si>
    <t>RC0805FR-076K49L</t>
  </si>
  <si>
    <t>RES-SMD;0.9 OHM,1%,1206,1/4W</t>
  </si>
  <si>
    <t>RL1206FR-070R9L</t>
  </si>
  <si>
    <t>R20,R21,R22,R23</t>
  </si>
  <si>
    <t>R2010</t>
  </si>
  <si>
    <t>RES-SMD;22OHM,5%,1W,2010</t>
  </si>
  <si>
    <t>CRCW201022R0JNEFHP</t>
  </si>
  <si>
    <t>R24,R25,R26,R27,R28,R29,R30,R31,R32,R33,R34,R35</t>
  </si>
  <si>
    <t>R36,R37,R38,R39</t>
  </si>
  <si>
    <t>RES-SMD;10K OHM,5%,0805,1/8W</t>
  </si>
  <si>
    <t>RC0805JR-0710KL</t>
  </si>
  <si>
    <t>TR1</t>
  </si>
  <si>
    <t>E22/19/6</t>
  </si>
  <si>
    <t>TRANS_E22_19_6_10PIN</t>
  </si>
  <si>
    <t>TEA1723AT/N1,118</t>
  </si>
  <si>
    <t>SOIC8-7_1M27_4M9X6MX1M75</t>
  </si>
  <si>
    <t>IC;CTLR SMPS W/PWR SWITCH 7-SOIC</t>
  </si>
  <si>
    <t>NXP</t>
  </si>
  <si>
    <t>U2,U3</t>
  </si>
  <si>
    <t>NUD3105DMT1G</t>
  </si>
  <si>
    <t>SC-74_M95_3MX1M5X1M1</t>
  </si>
  <si>
    <t>IC;IC INDCT LOAD DRVR DUAL SC74-6</t>
  </si>
  <si>
    <t>VAR1,VAR2,VAR3</t>
  </si>
  <si>
    <t>B72220S0421K101</t>
  </si>
  <si>
    <t>VAR_B72220S0</t>
  </si>
  <si>
    <t>VARISTOR-TH;VARISTOR 680V 8KA DISC 20MM</t>
  </si>
  <si>
    <t>EPCOS (TDK)</t>
  </si>
  <si>
    <t>TRANSFORMER PC40EI22/19/6-Z</t>
  </si>
  <si>
    <t>TDB</t>
  </si>
  <si>
    <t>STM32F407VET6</t>
  </si>
  <si>
    <t>Changed from STM32F207VET6</t>
  </si>
  <si>
    <t>Quantity for 15 sets</t>
  </si>
  <si>
    <t>CONN SPADE TERM 18-22AWG #6 RED</t>
  </si>
  <si>
    <t>MVU18-6FB/SK</t>
  </si>
  <si>
    <t>3M</t>
  </si>
  <si>
    <t>CONN DSUB PLUG 9POS STR SLDR CUP</t>
  </si>
  <si>
    <t>1571650-4</t>
  </si>
  <si>
    <t>TE Connectivity AMP Connectors</t>
  </si>
  <si>
    <t>CABLE MOD 6P6C PLUG-CABLE 7'</t>
  </si>
  <si>
    <t>Assmann WSW Components</t>
  </si>
  <si>
    <t>AT-S-26-6/6/W-7-OE</t>
  </si>
  <si>
    <t>BATTERY LITHIUM 3.7V 400MAH</t>
  </si>
  <si>
    <t>PRT-13851</t>
  </si>
  <si>
    <t>SparkFun Electronics</t>
  </si>
  <si>
    <t>U/P</t>
  </si>
  <si>
    <t>Amount</t>
  </si>
  <si>
    <t>pin- hàng nguy hiểm chưa chắc đã mua và vận chuyển về đc</t>
  </si>
  <si>
    <t>Thuế NK</t>
  </si>
  <si>
    <t>Đơn giá ESKY</t>
  </si>
  <si>
    <t>Thành tiền E-SKY</t>
  </si>
  <si>
    <t>Total EXW</t>
  </si>
  <si>
    <t>Phí VC+NH</t>
  </si>
  <si>
    <t>chi phí DV ESKY</t>
  </si>
  <si>
    <t>Nhà Phân phối</t>
  </si>
  <si>
    <t>NPP</t>
  </si>
  <si>
    <t>Digikey</t>
  </si>
  <si>
    <t>Mouser</t>
  </si>
  <si>
    <t>MOQ:100</t>
  </si>
  <si>
    <t>Arrow</t>
  </si>
  <si>
    <t>Total EXW Amount</t>
  </si>
  <si>
    <t>Chi phí HQ+NH</t>
  </si>
  <si>
    <t>Đơn giá E-SKY</t>
  </si>
  <si>
    <t>Chi phí DV ESKY</t>
  </si>
  <si>
    <t>Tỉ giá</t>
  </si>
  <si>
    <t>See below picture/ không có thông tin</t>
  </si>
  <si>
    <t>Chi phí NH+VC</t>
  </si>
  <si>
    <t>Chi phí DV</t>
  </si>
  <si>
    <t>VTSmart</t>
  </si>
  <si>
    <t>Manufacturer#2</t>
  </si>
  <si>
    <t>Manufacturer Part Number#2</t>
  </si>
  <si>
    <t>Stackpole Electronics Inc.</t>
  </si>
  <si>
    <t>RMCF0603JT10K0</t>
  </si>
  <si>
    <t>RMCF0603JT1K00</t>
  </si>
  <si>
    <t>RMCF0603JT4K70</t>
  </si>
  <si>
    <t>RMCF0603ZT0R00</t>
  </si>
  <si>
    <t>RMCF0603JT47K0</t>
  </si>
  <si>
    <t>RMCF0603JT100K</t>
  </si>
  <si>
    <t>RMCF0805FT1M00</t>
  </si>
  <si>
    <t>RNCP0805FTD10K0</t>
  </si>
  <si>
    <t>RMCF0805JT22K0</t>
  </si>
  <si>
    <t>RMCF0603JT100R</t>
  </si>
  <si>
    <t>Samsung Electro-Mechanics</t>
  </si>
  <si>
    <t>RC1608F473CS</t>
  </si>
  <si>
    <t>RMCF0603FT1K10</t>
  </si>
  <si>
    <t>RMCF0603FT6K20</t>
  </si>
  <si>
    <t>RMCF0805JT120R</t>
  </si>
  <si>
    <t>RPC1206JT10R0</t>
  </si>
  <si>
    <t>RMCF1206JG680K</t>
  </si>
  <si>
    <t>RMCF0805JT100R</t>
  </si>
  <si>
    <t>RMCF1206JT470R</t>
  </si>
  <si>
    <t>RMCF0805JT5K60</t>
  </si>
  <si>
    <t>RMCF0805FT20K0</t>
  </si>
  <si>
    <t>RMCF0805JT10R0</t>
  </si>
  <si>
    <t>RNCP0805FTD6K49</t>
  </si>
  <si>
    <t>CSR1206FKR750</t>
  </si>
  <si>
    <t>RMCF0805JT10K0</t>
  </si>
  <si>
    <t>BZX384-C13,115</t>
  </si>
  <si>
    <t>http://at-sky.com.vn/san-pham/1052-2dbi-gsm-antenna-jcg025.html</t>
  </si>
  <si>
    <t>MOSFET N-CH 600V 2.4A TO-220FP</t>
  </si>
  <si>
    <t>STP3NK60ZFP</t>
  </si>
  <si>
    <t>vtsmart tự mua</t>
  </si>
  <si>
    <t>mua mã Cross</t>
  </si>
  <si>
    <t>mua mã cross</t>
  </si>
  <si>
    <t>đang contact hỏi giá/stock</t>
  </si>
  <si>
    <t>TE Connectivity Passive Product</t>
  </si>
  <si>
    <t>CRG0603F1M0</t>
  </si>
  <si>
    <t>CNC Tech</t>
  </si>
  <si>
    <t>Cáp RJ12(6Pin) to RS232(9Pin)Female EST3 - SDU lost communication Length 1.5M</t>
  </si>
  <si>
    <t>http://thientruongpc.com.vn/index.php?route=product/product&amp;path=393&amp;product_id=2445</t>
  </si>
  <si>
    <t>Đầu bấm RJ12(6Pin) Plug Connector Modular Plug 6P6C For Network Connector Data Telephone Line</t>
  </si>
  <si>
    <t>http://thientruongpc.com.vn/index.php?route=product/product&amp;path=20_253&amp;product_id=2978</t>
  </si>
  <si>
    <t>Pin MP3 3.7V 200mAH</t>
  </si>
  <si>
    <t>http://banlinhkien.vn/goods-5589-pin-mp3-3-7v-200mah.html</t>
  </si>
  <si>
    <t>HOOK-UP STRND 18AWG BLUE 25'</t>
  </si>
  <si>
    <t>3386-18-1-0500-005-1-TS</t>
  </si>
  <si>
    <t>Đầu COS Y SV1.25-3.2 Xanh (Kẹp Càng Cua) (10c)</t>
  </si>
  <si>
    <t>http://banlinhkien.vn/goods-6025-dau-cos-y-sv1-25-3-2-xanh-kep-cang-cua-10c-.html</t>
  </si>
  <si>
    <t>Đầu chuyển Serial Connector DB9 9 Pin RS232 Male to Male</t>
  </si>
  <si>
    <t>http://thientruongpc.com.vn/index.php?route=product/product&amp;path=33_393&amp;product_id=1908</t>
  </si>
  <si>
    <t>Quantity for 1K</t>
  </si>
  <si>
    <t>Quantity for 10K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</si>
  <si>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</si>
  <si>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</si>
  <si>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</si>
  <si>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</si>
  <si>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</si>
  <si>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</si>
  <si>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</si>
  <si>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</si>
  <si>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4.7UF 6.3V X5R 0603</t>
  </si>
  <si>
    <t>CAP CER 0.1UF 50V X7R 0603</t>
  </si>
  <si>
    <t>490-12324-6-ND</t>
  </si>
  <si>
    <t>CAP CER 2.2UF 25V X5R 0603</t>
  </si>
  <si>
    <t>CAP CER 12PF 50V C0G/NP0 0603</t>
  </si>
  <si>
    <t>CAP CER 33PF 50V C0G/NP0 0603</t>
  </si>
  <si>
    <t>490-1520-6-ND</t>
  </si>
  <si>
    <t>CAP CER 10000PF 25V X7R 0603</t>
  </si>
  <si>
    <t>CAP TANT 100UF 6.3V 20% 2917</t>
  </si>
  <si>
    <t>CAP CER 100UF 6.3V X5R 1206</t>
  </si>
  <si>
    <t>LED GRN DIFF 5MM ROUND T/H</t>
  </si>
  <si>
    <t>LED RED DIFF 5MM ROUND T/H</t>
  </si>
  <si>
    <t>LED YELLOW DIFF 5MM ROUND T/H</t>
  </si>
  <si>
    <t>SMAJ5.0ALFCT-ND</t>
  </si>
  <si>
    <t>TVS DIODE 5VWM 9.2VC SMA</t>
  </si>
  <si>
    <t>DIODE GEN PURP 75V 150MA SOD323</t>
  </si>
  <si>
    <t>1N4148WS-FDIDKR-ND</t>
  </si>
  <si>
    <t>CONN HEADER PH TOP 12POS 2MM</t>
  </si>
  <si>
    <t>06+06 DIL VERT SOCKET L/FREE</t>
  </si>
  <si>
    <t>04+04 DIL VERT SOCKET L/FREE</t>
  </si>
  <si>
    <t>68000-405HLF-ND</t>
  </si>
  <si>
    <t>BS II SR</t>
  </si>
  <si>
    <t>TLP183(TPLEDKR-ND</t>
  </si>
  <si>
    <t>CONN MOD JACK 6P6C R/A UNSHLD</t>
  </si>
  <si>
    <t>CONN SMA JACK R/A 50 OHM PCB</t>
  </si>
  <si>
    <t>1727-4838-6-ND</t>
  </si>
  <si>
    <t>1727-1135-6-ND</t>
  </si>
  <si>
    <t>785-1001-6-ND</t>
  </si>
  <si>
    <t>MOSFET P-CH 30V 4A SOT23</t>
  </si>
  <si>
    <t>1727-1142-6-ND</t>
  </si>
  <si>
    <t>MOSFET N-CH 60V 360MA TO-236AB</t>
  </si>
  <si>
    <t>RES SMD 10K OHM 5% 1/10W 0603</t>
  </si>
  <si>
    <t>RES SMD 1K OHM 5% 1/10W 0603</t>
  </si>
  <si>
    <t>311-120ARCT-ND</t>
  </si>
  <si>
    <t>RES SMD 120 OHM 5% 1/8W 0805</t>
  </si>
  <si>
    <t>RES SMD 4.7K OHM 5% 1/10W 0603</t>
  </si>
  <si>
    <t>RES SMD 0 OHM JUMPER 1/10W 0603</t>
  </si>
  <si>
    <t>P47KGCT-ND</t>
  </si>
  <si>
    <t>RES SMD 47K OHM 5% 1/10W 0603</t>
  </si>
  <si>
    <t>P100KGCT-ND</t>
  </si>
  <si>
    <t>RES SMD 100K OHM 5% 1/10W 0603</t>
  </si>
  <si>
    <t>311-1.00MCRCT-ND</t>
  </si>
  <si>
    <t>RES SMD 1M OHM 1% 1/8W 0805</t>
  </si>
  <si>
    <t>311-10.0KCRCT-ND</t>
  </si>
  <si>
    <t>RES SMD 10K OHM 1% 1/8W 0805</t>
  </si>
  <si>
    <t>RES SMD 22K OHM 5% 1/8W 0805</t>
  </si>
  <si>
    <t>311-22KARCT-ND</t>
  </si>
  <si>
    <t>P100GCT-ND</t>
  </si>
  <si>
    <t>RES SMD 100 OHM 5% 1/10W 0603</t>
  </si>
  <si>
    <t>P47.0KHCT-ND</t>
  </si>
  <si>
    <t>RES SMD 47K OHM 1% 1/10W 0603</t>
  </si>
  <si>
    <t>311-1.10KHRCT-ND</t>
  </si>
  <si>
    <t>RES SMD 1.1K OHM 1% 1/10W 0603</t>
  </si>
  <si>
    <t>P6.20KHCT-ND</t>
  </si>
  <si>
    <t>RES SMD 6.2K OHM 1% 1/10W 0603</t>
  </si>
  <si>
    <t>P1.00MHCT-ND</t>
  </si>
  <si>
    <t>RES SMD 1M OHM 1% 1/10W 0603</t>
  </si>
  <si>
    <t>SWITCH TACTILE SPST-NO 0.05A 24V</t>
  </si>
  <si>
    <t>450-1759-1-ND</t>
  </si>
  <si>
    <t>SMAJ12CALFCT-ND</t>
  </si>
  <si>
    <t>TVS DIODE 12VWM 19.9VC SMA</t>
  </si>
  <si>
    <t>SMF05CT1GOSCT-ND</t>
  </si>
  <si>
    <t>TVS DIODE 5VWM 12.5VC SC88</t>
  </si>
  <si>
    <t>ESD5Z3.3T1GOSCT-ND</t>
  </si>
  <si>
    <t>TVS DIODE 3.3VWM 14.1VC SOD523</t>
  </si>
  <si>
    <t>IC MCU 32BIT 512KB FLASH 100LQFP</t>
  </si>
  <si>
    <t>MAX485CSA+TCT-ND</t>
  </si>
  <si>
    <t>IC TXRX RS485/RS422 8-SOIC</t>
  </si>
  <si>
    <t>497-5845-1-ND</t>
  </si>
  <si>
    <t>IC DRIVER/RCVR RS232 LP 20-TSSOP</t>
  </si>
  <si>
    <t>IC FLASH 64MBIT 104MHZ 8SOIC</t>
  </si>
  <si>
    <t>296-36871-1-ND</t>
  </si>
  <si>
    <t>IC V-LEVEL XLATR 2BIT 8X2SON</t>
  </si>
  <si>
    <t>296-38872-1-ND</t>
  </si>
  <si>
    <t>IC LI-ION CHARGE MGMT 16-QFN</t>
  </si>
  <si>
    <t>893-1070-1-ND</t>
  </si>
  <si>
    <t>IC REG LINEAR 3.3V 300MA SOT25</t>
  </si>
  <si>
    <t>CRYSTAL 32.768KHZ 12.5PF SMD</t>
  </si>
  <si>
    <t>CRYSTAL 8.0000MHZ 18PF SMD</t>
  </si>
  <si>
    <t>TLP183(TPL.E</t>
  </si>
  <si>
    <t>Total</t>
  </si>
  <si>
    <t>490-12324-2-ND</t>
  </si>
  <si>
    <t>490-1520-2-ND</t>
  </si>
  <si>
    <t>SMAJ5.0ALFTR-ND</t>
  </si>
  <si>
    <t>1N4148WS-FDICT-ND</t>
  </si>
  <si>
    <t>TLP183(TPLECT-ND</t>
  </si>
  <si>
    <t>1727-4838-2-ND</t>
  </si>
  <si>
    <t>1727-4838-1-ND</t>
  </si>
  <si>
    <t>1727-1135-2-ND</t>
  </si>
  <si>
    <t>785-1001-2-ND</t>
  </si>
  <si>
    <t>785-1001-1-ND</t>
  </si>
  <si>
    <t>1727-1142-2-ND</t>
  </si>
  <si>
    <t>1727-1142-1-ND</t>
  </si>
  <si>
    <t>311-120ARTR-ND</t>
  </si>
  <si>
    <t>P47KGTR-ND</t>
  </si>
  <si>
    <t>P100KGTR-ND</t>
  </si>
  <si>
    <t>311-1.00MCRTR-ND</t>
  </si>
  <si>
    <t>311-10.0KCRTR-ND</t>
  </si>
  <si>
    <t>P100GTR-ND</t>
  </si>
  <si>
    <t>P47.0KHTR-ND</t>
  </si>
  <si>
    <t>311-1.10KHRTR-ND</t>
  </si>
  <si>
    <t>P6.20KHTR-ND</t>
  </si>
  <si>
    <t>P1.00MHTR-ND</t>
  </si>
  <si>
    <t>SMAJ12CALFTR-ND</t>
  </si>
  <si>
    <t>SMF05CT1GOSTR-ND</t>
  </si>
  <si>
    <t>ESD5Z3.3T1GOSTR-ND</t>
  </si>
  <si>
    <t>MAX485CSA+TTR-ND</t>
  </si>
  <si>
    <t>497-5845-2-ND</t>
  </si>
  <si>
    <t>296-36871-2-ND</t>
  </si>
  <si>
    <t>296-38872-2-ND</t>
  </si>
  <si>
    <t>893-1070-2-ND</t>
  </si>
  <si>
    <t>CAP CER 0.1UF 500V X7R 1812</t>
  </si>
  <si>
    <t>CAP ALUM 22UF 20% 400V RADIAL</t>
  </si>
  <si>
    <t>CAP FILM 0.1UF 20% 1KVDC RADIAL</t>
  </si>
  <si>
    <t>CAP FILM 10000PF 20% 1KVDC RAD</t>
  </si>
  <si>
    <t>CAP CER 4700PF 760VAC Y5U RADIAL</t>
  </si>
  <si>
    <t>CAP ALUM 470UF 20% 16V RADIAL</t>
  </si>
  <si>
    <t>CAP CER 0.1UF 50V X7R 0805</t>
  </si>
  <si>
    <t>CAP CER 2200PF 760VAC Y5U RADIAL</t>
  </si>
  <si>
    <t>CAP CER 10000PF 1KV X7R 1210</t>
  </si>
  <si>
    <t>CMC 25MH 250MA 2LN TH</t>
  </si>
  <si>
    <t>FIXED IND 1.5MH 430MA 3.8 OHM TH</t>
  </si>
  <si>
    <t>RES 10 OHM 2W 5% AXIAL</t>
  </si>
  <si>
    <t>RES SMD 22 OHM 5% 1W 2010</t>
  </si>
  <si>
    <t>VARISTOR 680V 8KA DISC 20MM</t>
  </si>
  <si>
    <t>311-1508-1-ND</t>
  </si>
  <si>
    <t>CAP CER 220PF 500V C0G/NPO 1206</t>
  </si>
  <si>
    <t>RELAY GENERAL PURPOSE SPST 8A 5V</t>
  </si>
  <si>
    <t>311-1129-1-ND</t>
  </si>
  <si>
    <t>CAP CER 2200PF 50V X7R 0805</t>
  </si>
  <si>
    <t>311-1099-1-ND</t>
  </si>
  <si>
    <t>CAP CER 10PF 50V C0G/NPO 0805</t>
  </si>
  <si>
    <t>490-10756-1-ND</t>
  </si>
  <si>
    <t>CAP CER 10UF 50V X5R 1206</t>
  </si>
  <si>
    <t>311-1136-1-ND</t>
  </si>
  <si>
    <t>CAP CER 10000PF 50V X7R 0805</t>
  </si>
  <si>
    <t>B340-FDICT-ND</t>
  </si>
  <si>
    <t>DIODE SCHOTTKY 40V 3A SMC</t>
  </si>
  <si>
    <t>587-2959-1-ND</t>
  </si>
  <si>
    <t>FIXED IND 6.3UH 3A 46.8 MOHM SMD</t>
  </si>
  <si>
    <t>311-10ERCT-ND</t>
  </si>
  <si>
    <t>RES SMD 10 OHM 5% 1/4W 1206</t>
  </si>
  <si>
    <t>311-680KERCT-ND</t>
  </si>
  <si>
    <t>RES SMD 680K OHM 5% 1/4W 1206</t>
  </si>
  <si>
    <t>541-100KUACT-ND</t>
  </si>
  <si>
    <t>RES SMD 100K OHM 5% 3/4W 1206</t>
  </si>
  <si>
    <t>311-100ARCT-ND</t>
  </si>
  <si>
    <t>RES SMD 100 OHM 5% 1/8W 0805</t>
  </si>
  <si>
    <t>311-470ERCT-ND</t>
  </si>
  <si>
    <t>RES SMD 470 OHM 5% 1/4W 1206</t>
  </si>
  <si>
    <t>311-5.6KARCT-ND</t>
  </si>
  <si>
    <t>RES SMD 5.6K OHM 5% 1/8W 0805</t>
  </si>
  <si>
    <t>311-20.0KCRCT-ND</t>
  </si>
  <si>
    <t>RES SMD 20K OHM 1% 1/8W 0805</t>
  </si>
  <si>
    <t>311-10ARCT-ND</t>
  </si>
  <si>
    <t>RES SMD 10 OHM 5% 1/8W 0805</t>
  </si>
  <si>
    <t>311-6.49KCRCT-ND</t>
  </si>
  <si>
    <t>RES SMD 6.49K OHM 1% 1/8W 0805</t>
  </si>
  <si>
    <t>RES 0.9 OHM 1% 1/4W 1206</t>
  </si>
  <si>
    <t>311-10KARCT-ND</t>
  </si>
  <si>
    <t>RES SMD 10K OHM 5% 1/8W 0805</t>
  </si>
  <si>
    <t>568-13391-1-ND</t>
  </si>
  <si>
    <t>IC CTLR SMPS W/PWR SWITCH 7-SOIC</t>
  </si>
  <si>
    <t>1SMA200Z R3G</t>
  </si>
  <si>
    <t>DIODE ZENER 200V 1.25W DO214AC</t>
  </si>
  <si>
    <t>MMSZ4690T1GOSCT-ND</t>
  </si>
  <si>
    <t>DIODE ZENER 5.6V 500MW SOD123</t>
  </si>
  <si>
    <t>MM3Z13VT1GOSCT-ND</t>
  </si>
  <si>
    <t>DIODE ZENER 13V 300MW SOD323</t>
  </si>
  <si>
    <t>NUD3105DMT1GOSCT-ND</t>
  </si>
  <si>
    <t>IC INDCT LOAD DRVR DUAL SC74-6</t>
  </si>
  <si>
    <t>MRA4007T3GOSTR-ND</t>
  </si>
  <si>
    <t>DIODE GEN PURP 1KV 1A SMA</t>
  </si>
  <si>
    <t>MRA4007T3GOSCT-ND</t>
  </si>
  <si>
    <t>DIODE ZENER 1.25W DO214AC</t>
  </si>
  <si>
    <t>311-1508-2-ND</t>
  </si>
  <si>
    <t>311-1129-2-ND</t>
  </si>
  <si>
    <t>311-1099-2-ND</t>
  </si>
  <si>
    <t>490-10756-2-ND</t>
  </si>
  <si>
    <t>311-1136-2-ND</t>
  </si>
  <si>
    <t>B340-FDITR-ND</t>
  </si>
  <si>
    <t>587-2959-2-ND</t>
  </si>
  <si>
    <t>311-10ERTR-ND</t>
  </si>
  <si>
    <t>311-680KERTR-ND</t>
  </si>
  <si>
    <t>541-100KUATR-ND</t>
  </si>
  <si>
    <t>311-100ARTR-ND</t>
  </si>
  <si>
    <t>311-470ERTR-ND</t>
  </si>
  <si>
    <t>311-5.6KARTR-ND</t>
  </si>
  <si>
    <t>311-20.0KCRTR-ND</t>
  </si>
  <si>
    <t>311-10ARTR-ND</t>
  </si>
  <si>
    <t>311-6.49KCRTR-ND</t>
  </si>
  <si>
    <t>311-10KARTR-ND</t>
  </si>
  <si>
    <t>568-13391-2-ND</t>
  </si>
  <si>
    <t>MMSZ4690T1GOSTR-ND</t>
  </si>
  <si>
    <t>MM3Z13VT1GOSTR-ND</t>
  </si>
  <si>
    <t>NUD3105DMT1GOSTR-ND</t>
  </si>
  <si>
    <t>IPA60R650CEXKSA1</t>
  </si>
  <si>
    <t>MOSFET N-CH 600V TO-220-3</t>
  </si>
  <si>
    <t>hainv75</t>
  </si>
  <si>
    <t>Unit Price</t>
  </si>
  <si>
    <t>Target Price</t>
  </si>
  <si>
    <t>Uint Price</t>
  </si>
  <si>
    <t>Target price</t>
  </si>
  <si>
    <t>STT</t>
  </si>
  <si>
    <t>Danh mục chi phí</t>
  </si>
  <si>
    <t>Số lượng</t>
  </si>
  <si>
    <t>Đơn giá
(VNĐ)</t>
  </si>
  <si>
    <t>Thành tiền
(VNĐ)</t>
  </si>
  <si>
    <t>Ghi chú</t>
  </si>
  <si>
    <t>I</t>
  </si>
  <si>
    <t>Giá thành sản xuất thiết bị</t>
  </si>
  <si>
    <t>Chi phí nguyên vật liệu trực tiếp</t>
  </si>
  <si>
    <t>Linh kiện điện tử, vật liệu cơ khí, nguyên vật liệu khác</t>
  </si>
  <si>
    <t>Phụ kiện</t>
  </si>
  <si>
    <t>Hộp đựng, tem nhãn và hướng dẫn sử dụng</t>
  </si>
  <si>
    <t>Chi phí nhân công</t>
  </si>
  <si>
    <t>Nhân công trực tiếp</t>
  </si>
  <si>
    <t>4 kỹ sư kiểm soát chất lượng (1HW, 1SW, 1KTSX, 1KCS: 0.5 tháng). Mức lương 30 triệu/người/tháng</t>
  </si>
  <si>
    <t>Nhân công gián tiếp</t>
  </si>
  <si>
    <t>3 người (1 PM, 1 hỗ trợ mua sắm, 1 hỗ trợ tài chính) x 0.25 tháng. Mức lương 30 triệu/người/tháng</t>
  </si>
  <si>
    <t>Chi phí sản xuất chung</t>
  </si>
  <si>
    <t>Chi phí gia công lắp ráp</t>
  </si>
  <si>
    <t>Chi phí nguyên vật liệu tiêu hao 3%</t>
  </si>
  <si>
    <t>3.3</t>
  </si>
  <si>
    <t>Chi phi hop quy</t>
  </si>
  <si>
    <t>3.4</t>
  </si>
  <si>
    <t>Thẻ cào kiểm tra tính năng phần mềm</t>
  </si>
  <si>
    <t>II</t>
  </si>
  <si>
    <t>Chi phí bán hàng</t>
  </si>
  <si>
    <t>ước tính 10% chi phí sản xuất</t>
  </si>
  <si>
    <t>III</t>
  </si>
  <si>
    <t>Chi phí quản lý</t>
  </si>
  <si>
    <t>ước tính 3% chi phí sản xuất</t>
  </si>
  <si>
    <t>IV</t>
  </si>
  <si>
    <t>Chi phí đào tạo lắp đặt, hướng dẫn sử dụng</t>
  </si>
  <si>
    <t>1 kỹ sư công tác đào tạo lắp đặt, hướng dẫn trong 7 ngày</t>
  </si>
  <si>
    <t>VI</t>
  </si>
  <si>
    <t>Bảo hành, thay thế</t>
  </si>
  <si>
    <t>VII</t>
  </si>
  <si>
    <t>Tổng chi phí dự án</t>
  </si>
  <si>
    <t>Giá VAT</t>
  </si>
  <si>
    <t>VIII</t>
  </si>
  <si>
    <t>Tổng doanh thu dự án</t>
  </si>
  <si>
    <t xml:space="preserve">Giá bán thiết bị </t>
  </si>
  <si>
    <t>Giá bán cho Khách hàng</t>
  </si>
  <si>
    <t>IX</t>
  </si>
  <si>
    <t>Lợi nhuận trước thuế</t>
  </si>
  <si>
    <t>X</t>
  </si>
  <si>
    <t>Tỉ suất lợi nhuận trước thuế/doanh thu</t>
  </si>
  <si>
    <t>V</t>
  </si>
  <si>
    <t>Chi phí nghiên cứu, chế thử phân bổ</t>
  </si>
  <si>
    <t>Điểm hòa vốn</t>
  </si>
  <si>
    <t>PCB</t>
  </si>
  <si>
    <t>SMT</t>
  </si>
  <si>
    <t>MAIN+PWR</t>
  </si>
  <si>
    <t>HOUSING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</si>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</sst>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#,##0;[Red]#,##0"/>
    <numFmt numFmtId="169" formatCode="0.0%"/>
    <numFmt numFmtId="170" formatCode="_-* #,##0\ _₫_-;\-* #,##0\ _₫_-;_-* &quot;-&quot;??\ _₫_-;_-@_-"/>
  </numFmts>
  <fonts count="5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u/>
      <sz val="11"/>
      <color theme="10"/>
      <name val="Calibri"/>
      <family val="2"/>
      <charset val="163"/>
      <scheme val="minor"/>
    </font>
    <font>
      <strike/>
      <sz val="11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1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</cellStyleXfs>
  <cellXfs count="170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horizontal="left"/>
    </xf>
    <xf numFmtId="0" fontId="17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9" fontId="17" fillId="33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center"/>
    </xf>
    <xf numFmtId="9" fontId="0" fillId="0" borderId="0" xfId="86" applyFont="1" applyAlignment="1">
      <alignment horizontal="center"/>
    </xf>
    <xf numFmtId="43" fontId="17" fillId="33" borderId="10" xfId="85" applyFont="1" applyFill="1" applyBorder="1" applyAlignment="1">
      <alignment horizontal="center"/>
    </xf>
    <xf numFmtId="43" fontId="0" fillId="0" borderId="0" xfId="85" applyFont="1" applyAlignment="1">
      <alignment horizontal="center"/>
    </xf>
    <xf numFmtId="164" fontId="0" fillId="0" borderId="10" xfId="85" applyNumberFormat="1" applyFont="1" applyBorder="1" applyAlignment="1">
      <alignment horizontal="center"/>
    </xf>
    <xf numFmtId="43" fontId="17" fillId="33" borderId="10" xfId="85" applyNumberFormat="1" applyFont="1" applyFill="1" applyBorder="1" applyAlignment="1">
      <alignment horizontal="center"/>
    </xf>
    <xf numFmtId="43" fontId="0" fillId="0" borderId="0" xfId="85" applyNumberFormat="1" applyFont="1" applyAlignment="1">
      <alignment horizontal="center"/>
    </xf>
    <xf numFmtId="165" fontId="0" fillId="0" borderId="10" xfId="85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9" fontId="34" fillId="0" borderId="0" xfId="86" applyFont="1" applyAlignment="1">
      <alignment horizontal="center"/>
    </xf>
    <xf numFmtId="43" fontId="34" fillId="0" borderId="0" xfId="85" applyNumberFormat="1" applyFont="1" applyAlignment="1">
      <alignment horizontal="center"/>
    </xf>
    <xf numFmtId="165" fontId="34" fillId="0" borderId="0" xfId="85" applyNumberFormat="1" applyFont="1" applyAlignment="1">
      <alignment horizontal="center"/>
    </xf>
    <xf numFmtId="43" fontId="34" fillId="0" borderId="0" xfId="85" applyFont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10" xfId="85" applyNumberFormat="1" applyFont="1" applyBorder="1" applyAlignment="1"/>
    <xf numFmtId="166" fontId="0" fillId="0" borderId="10" xfId="85" applyNumberFormat="1" applyFont="1" applyBorder="1" applyAlignment="1">
      <alignment horizontal="right"/>
    </xf>
    <xf numFmtId="0" fontId="0" fillId="35" borderId="10" xfId="0" applyFill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35" borderId="10" xfId="0" applyFont="1" applyFill="1" applyBorder="1"/>
    <xf numFmtId="0" fontId="0" fillId="35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0" borderId="10" xfId="0" applyFont="1" applyBorder="1" applyAlignment="1">
      <alignment horizontal="right"/>
    </xf>
    <xf numFmtId="0" fontId="0" fillId="35" borderId="10" xfId="0" applyFont="1" applyFill="1" applyBorder="1" applyAlignment="1">
      <alignment horizontal="right"/>
    </xf>
    <xf numFmtId="43" fontId="0" fillId="0" borderId="10" xfId="85" applyNumberFormat="1" applyFont="1" applyBorder="1" applyAlignment="1"/>
    <xf numFmtId="167" fontId="0" fillId="0" borderId="10" xfId="85" applyNumberFormat="1" applyFont="1" applyBorder="1" applyAlignment="1"/>
    <xf numFmtId="0" fontId="0" fillId="0" borderId="10" xfId="0" applyFont="1" applyBorder="1" applyAlignment="1"/>
    <xf numFmtId="0" fontId="0" fillId="35" borderId="10" xfId="0" applyFont="1" applyFill="1" applyBorder="1" applyAlignment="1"/>
    <xf numFmtId="0" fontId="0" fillId="0" borderId="10" xfId="0" applyFont="1" applyBorder="1" applyAlignment="1">
      <alignment vertical="center" wrapText="1"/>
    </xf>
    <xf numFmtId="0" fontId="0" fillId="35" borderId="10" xfId="0" applyFont="1" applyFill="1" applyBorder="1" applyAlignment="1">
      <alignment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9" fontId="0" fillId="35" borderId="10" xfId="86" applyFont="1" applyFill="1" applyBorder="1" applyAlignment="1">
      <alignment horizontal="center"/>
    </xf>
    <xf numFmtId="165" fontId="0" fillId="35" borderId="10" xfId="85" applyNumberFormat="1" applyFont="1" applyFill="1" applyBorder="1" applyAlignment="1">
      <alignment horizontal="center"/>
    </xf>
    <xf numFmtId="164" fontId="0" fillId="35" borderId="10" xfId="85" applyNumberFormat="1" applyFont="1" applyFill="1" applyBorder="1" applyAlignment="1">
      <alignment horizontal="center"/>
    </xf>
    <xf numFmtId="9" fontId="0" fillId="0" borderId="0" xfId="86" applyFont="1" applyAlignment="1">
      <alignment horizontal="right"/>
    </xf>
    <xf numFmtId="9" fontId="17" fillId="35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right"/>
    </xf>
    <xf numFmtId="9" fontId="0" fillId="35" borderId="10" xfId="86" applyFont="1" applyFill="1" applyBorder="1" applyAlignment="1">
      <alignment horizontal="right"/>
    </xf>
    <xf numFmtId="43" fontId="0" fillId="0" borderId="0" xfId="85" applyFont="1" applyAlignment="1">
      <alignment horizontal="right"/>
    </xf>
    <xf numFmtId="43" fontId="17" fillId="35" borderId="10" xfId="85" applyFont="1" applyFill="1" applyBorder="1" applyAlignment="1">
      <alignment horizontal="center"/>
    </xf>
    <xf numFmtId="43" fontId="0" fillId="0" borderId="10" xfId="85" applyFont="1" applyBorder="1" applyAlignment="1">
      <alignment horizontal="right"/>
    </xf>
    <xf numFmtId="165" fontId="17" fillId="35" borderId="10" xfId="85" applyNumberFormat="1" applyFont="1" applyFill="1" applyBorder="1" applyAlignment="1">
      <alignment horizontal="center"/>
    </xf>
    <xf numFmtId="165" fontId="0" fillId="0" borderId="10" xfId="85" applyNumberFormat="1" applyFont="1" applyBorder="1" applyAlignment="1">
      <alignment horizontal="right"/>
    </xf>
    <xf numFmtId="165" fontId="0" fillId="0" borderId="0" xfId="85" applyNumberFormat="1" applyFont="1" applyAlignment="1">
      <alignment horizontal="right"/>
    </xf>
    <xf numFmtId="165" fontId="34" fillId="0" borderId="0" xfId="85" applyNumberFormat="1" applyFont="1" applyAlignment="1">
      <alignment horizontal="right"/>
    </xf>
    <xf numFmtId="43" fontId="37" fillId="0" borderId="10" xfId="85" applyFont="1" applyBorder="1" applyAlignment="1">
      <alignment horizontal="right"/>
    </xf>
    <xf numFmtId="9" fontId="37" fillId="0" borderId="10" xfId="86" applyFont="1" applyBorder="1" applyAlignment="1">
      <alignment horizontal="right"/>
    </xf>
    <xf numFmtId="9" fontId="37" fillId="0" borderId="0" xfId="86" applyFont="1" applyBorder="1" applyAlignment="1">
      <alignment horizontal="right"/>
    </xf>
    <xf numFmtId="0" fontId="37" fillId="0" borderId="10" xfId="0" applyFont="1" applyBorder="1" applyAlignment="1">
      <alignment horizontal="center"/>
    </xf>
    <xf numFmtId="0" fontId="38" fillId="0" borderId="10" xfId="0" applyFont="1" applyBorder="1"/>
    <xf numFmtId="0" fontId="37" fillId="0" borderId="10" xfId="0" applyFont="1" applyBorder="1" applyAlignment="1">
      <alignment horizontal="right"/>
    </xf>
    <xf numFmtId="0" fontId="37" fillId="35" borderId="10" xfId="0" applyFont="1" applyFill="1" applyBorder="1" applyAlignment="1">
      <alignment horizontal="center"/>
    </xf>
    <xf numFmtId="2" fontId="38" fillId="0" borderId="10" xfId="0" applyNumberFormat="1" applyFont="1" applyBorder="1"/>
    <xf numFmtId="0" fontId="37" fillId="34" borderId="1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8" fillId="35" borderId="10" xfId="0" applyFont="1" applyFill="1" applyBorder="1"/>
    <xf numFmtId="165" fontId="0" fillId="0" borderId="0" xfId="86" applyNumberFormat="1" applyFont="1" applyAlignment="1">
      <alignment horizontal="center"/>
    </xf>
    <xf numFmtId="9" fontId="0" fillId="0" borderId="0" xfId="86" applyFont="1" applyAlignment="1">
      <alignment horizontal="center"/>
    </xf>
    <xf numFmtId="43" fontId="0" fillId="0" borderId="0" xfId="85" applyFont="1" applyAlignment="1">
      <alignment horizontal="center"/>
    </xf>
    <xf numFmtId="0" fontId="37" fillId="0" borderId="10" xfId="0" applyFont="1" applyBorder="1"/>
    <xf numFmtId="0" fontId="37" fillId="35" borderId="10" xfId="0" applyFont="1" applyFill="1" applyBorder="1" applyAlignment="1">
      <alignment horizontal="center"/>
    </xf>
    <xf numFmtId="0" fontId="37" fillId="35" borderId="10" xfId="0" applyFont="1" applyFill="1" applyBorder="1"/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0" fillId="37" borderId="10" xfId="0" applyFont="1" applyFill="1" applyBorder="1"/>
    <xf numFmtId="0" fontId="17" fillId="0" borderId="10" xfId="0" applyFont="1" applyBorder="1"/>
    <xf numFmtId="0" fontId="41" fillId="0" borderId="10" xfId="101" applyBorder="1"/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37" fillId="36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9" borderId="10" xfId="0" applyFont="1" applyFill="1" applyBorder="1"/>
    <xf numFmtId="0" fontId="0" fillId="39" borderId="10" xfId="0" applyFill="1" applyBorder="1" applyAlignment="1">
      <alignment horizontal="center"/>
    </xf>
    <xf numFmtId="0" fontId="0" fillId="38" borderId="1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86" applyFont="1" applyBorder="1" applyAlignment="1">
      <alignment horizontal="center"/>
    </xf>
    <xf numFmtId="0" fontId="0" fillId="0" borderId="0" xfId="0" applyBorder="1"/>
    <xf numFmtId="0" fontId="42" fillId="0" borderId="10" xfId="0" applyFont="1" applyFill="1" applyBorder="1" applyAlignment="1">
      <alignment horizontal="center"/>
    </xf>
    <xf numFmtId="0" fontId="42" fillId="0" borderId="10" xfId="0" applyFont="1" applyFill="1" applyBorder="1"/>
    <xf numFmtId="0" fontId="42" fillId="0" borderId="10" xfId="0" applyFont="1" applyFill="1" applyBorder="1" applyAlignment="1">
      <alignment wrapText="1"/>
    </xf>
    <xf numFmtId="0" fontId="42" fillId="0" borderId="10" xfId="0" applyFont="1" applyBorder="1" applyAlignment="1">
      <alignment horizontal="center"/>
    </xf>
    <xf numFmtId="9" fontId="42" fillId="0" borderId="10" xfId="86" applyFont="1" applyBorder="1" applyAlignment="1">
      <alignment horizontal="center"/>
    </xf>
    <xf numFmtId="165" fontId="42" fillId="0" borderId="10" xfId="85" applyNumberFormat="1" applyFont="1" applyBorder="1" applyAlignment="1">
      <alignment horizontal="center"/>
    </xf>
    <xf numFmtId="164" fontId="42" fillId="0" borderId="10" xfId="85" applyNumberFormat="1" applyFont="1" applyBorder="1" applyAlignment="1">
      <alignment horizontal="center"/>
    </xf>
    <xf numFmtId="0" fontId="42" fillId="0" borderId="10" xfId="0" applyFont="1" applyBorder="1"/>
    <xf numFmtId="0" fontId="42" fillId="0" borderId="0" xfId="0" applyFont="1"/>
    <xf numFmtId="43" fontId="0" fillId="0" borderId="10" xfId="85" applyNumberFormat="1" applyFont="1" applyBorder="1" applyAlignment="1">
      <alignment horizontal="center"/>
    </xf>
    <xf numFmtId="43" fontId="0" fillId="0" borderId="10" xfId="85" applyFont="1" applyBorder="1" applyAlignment="1">
      <alignment horizontal="center"/>
    </xf>
    <xf numFmtId="43" fontId="0" fillId="0" borderId="0" xfId="85" applyNumberFormat="1" applyFont="1" applyBorder="1" applyAlignment="1">
      <alignment horizontal="center"/>
    </xf>
    <xf numFmtId="43" fontId="0" fillId="0" borderId="0" xfId="85" applyFont="1" applyBorder="1" applyAlignment="1">
      <alignment horizontal="center"/>
    </xf>
    <xf numFmtId="0" fontId="41" fillId="0" borderId="0" xfId="101" applyBorder="1"/>
    <xf numFmtId="0" fontId="0" fillId="39" borderId="10" xfId="0" applyFill="1" applyBorder="1"/>
    <xf numFmtId="0" fontId="0" fillId="39" borderId="10" xfId="0" applyFill="1" applyBorder="1" applyAlignment="1">
      <alignment wrapText="1"/>
    </xf>
    <xf numFmtId="0" fontId="0" fillId="40" borderId="10" xfId="0" applyFont="1" applyFill="1" applyBorder="1" applyAlignment="1">
      <alignment horizontal="left"/>
    </xf>
    <xf numFmtId="0" fontId="0" fillId="0" borderId="0" xfId="0" applyFont="1"/>
    <xf numFmtId="0" fontId="17" fillId="35" borderId="0" xfId="0" applyFont="1" applyFill="1"/>
    <xf numFmtId="0" fontId="0" fillId="38" borderId="0" xfId="0" applyFill="1"/>
    <xf numFmtId="0" fontId="0" fillId="39" borderId="0" xfId="0" applyFill="1"/>
    <xf numFmtId="0" fontId="0" fillId="35" borderId="0" xfId="0" applyFill="1"/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3" fontId="43" fillId="0" borderId="10" xfId="0" applyNumberFormat="1" applyFont="1" applyBorder="1" applyAlignment="1">
      <alignment horizontal="right" vertical="center" wrapText="1"/>
    </xf>
    <xf numFmtId="0" fontId="45" fillId="0" borderId="10" xfId="0" applyFont="1" applyBorder="1" applyAlignment="1">
      <alignment wrapText="1"/>
    </xf>
    <xf numFmtId="3" fontId="43" fillId="0" borderId="10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vertical="center" wrapText="1"/>
    </xf>
    <xf numFmtId="3" fontId="46" fillId="0" borderId="10" xfId="0" applyNumberFormat="1" applyFont="1" applyBorder="1" applyAlignment="1">
      <alignment horizontal="right" vertical="center" wrapText="1"/>
    </xf>
    <xf numFmtId="3" fontId="45" fillId="0" borderId="10" xfId="0" applyNumberFormat="1" applyFont="1" applyBorder="1" applyAlignment="1">
      <alignment horizontal="right" vertical="center" wrapText="1"/>
    </xf>
    <xf numFmtId="168" fontId="47" fillId="0" borderId="10" xfId="102" applyNumberFormat="1" applyFont="1" applyFill="1" applyBorder="1" applyAlignment="1">
      <alignment horizontal="left" wrapText="1"/>
    </xf>
    <xf numFmtId="168" fontId="48" fillId="0" borderId="10" xfId="102" applyNumberFormat="1" applyFont="1" applyFill="1" applyBorder="1" applyAlignment="1">
      <alignment horizontal="left" vertical="center" wrapText="1"/>
    </xf>
    <xf numFmtId="168" fontId="48" fillId="0" borderId="10" xfId="102" applyNumberFormat="1" applyFont="1" applyFill="1" applyBorder="1" applyAlignment="1">
      <alignment horizontal="left" wrapText="1"/>
    </xf>
    <xf numFmtId="0" fontId="48" fillId="0" borderId="10" xfId="102" applyFont="1" applyBorder="1" applyAlignment="1">
      <alignment vertical="center" wrapText="1"/>
    </xf>
    <xf numFmtId="0" fontId="44" fillId="39" borderId="10" xfId="0" applyFont="1" applyFill="1" applyBorder="1" applyAlignment="1">
      <alignment horizontal="center" vertical="center" wrapText="1"/>
    </xf>
    <xf numFmtId="0" fontId="47" fillId="39" borderId="10" xfId="0" applyFont="1" applyFill="1" applyBorder="1" applyAlignment="1">
      <alignment vertical="center" wrapText="1"/>
    </xf>
    <xf numFmtId="0" fontId="49" fillId="39" borderId="10" xfId="0" applyFont="1" applyFill="1" applyBorder="1" applyAlignment="1">
      <alignment vertical="center" wrapText="1"/>
    </xf>
    <xf numFmtId="3" fontId="45" fillId="39" borderId="10" xfId="0" applyNumberFormat="1" applyFont="1" applyFill="1" applyBorder="1" applyAlignment="1">
      <alignment vertical="center" wrapText="1"/>
    </xf>
    <xf numFmtId="3" fontId="44" fillId="39" borderId="10" xfId="0" applyNumberFormat="1" applyFont="1" applyFill="1" applyBorder="1" applyAlignment="1">
      <alignment vertical="center" wrapText="1"/>
    </xf>
    <xf numFmtId="0" fontId="45" fillId="39" borderId="10" xfId="0" applyFont="1" applyFill="1" applyBorder="1" applyAlignment="1">
      <alignment wrapText="1"/>
    </xf>
    <xf numFmtId="0" fontId="45" fillId="0" borderId="10" xfId="0" applyFont="1" applyBorder="1" applyAlignment="1">
      <alignment horizontal="right" vertical="center" wrapText="1"/>
    </xf>
    <xf numFmtId="3" fontId="44" fillId="0" borderId="10" xfId="0" applyNumberFormat="1" applyFont="1" applyBorder="1" applyAlignment="1">
      <alignment horizontal="right" vertical="center" wrapText="1"/>
    </xf>
    <xf numFmtId="0" fontId="47" fillId="0" borderId="10" xfId="0" applyFont="1" applyFill="1" applyBorder="1" applyAlignment="1">
      <alignment vertical="center" wrapText="1"/>
    </xf>
    <xf numFmtId="3" fontId="44" fillId="0" borderId="10" xfId="0" applyNumberFormat="1" applyFont="1" applyBorder="1" applyAlignment="1">
      <alignment vertical="center" wrapText="1"/>
    </xf>
    <xf numFmtId="9" fontId="45" fillId="0" borderId="10" xfId="0" applyNumberFormat="1" applyFont="1" applyBorder="1" applyAlignment="1">
      <alignment horizontal="center" vertical="center" wrapText="1"/>
    </xf>
    <xf numFmtId="0" fontId="44" fillId="39" borderId="10" xfId="0" applyFont="1" applyFill="1" applyBorder="1" applyAlignment="1">
      <alignment vertical="center" wrapText="1"/>
    </xf>
    <xf numFmtId="3" fontId="50" fillId="39" borderId="10" xfId="0" applyNumberFormat="1" applyFont="1" applyFill="1" applyBorder="1" applyAlignment="1">
      <alignment horizontal="right" vertical="center" wrapText="1"/>
    </xf>
    <xf numFmtId="3" fontId="44" fillId="39" borderId="10" xfId="0" applyNumberFormat="1" applyFont="1" applyFill="1" applyBorder="1" applyAlignment="1">
      <alignment horizontal="right" vertical="center" wrapText="1"/>
    </xf>
    <xf numFmtId="0" fontId="45" fillId="39" borderId="10" xfId="0" quotePrefix="1" applyFont="1" applyFill="1" applyBorder="1" applyAlignment="1">
      <alignment wrapText="1"/>
    </xf>
    <xf numFmtId="0" fontId="34" fillId="35" borderId="0" xfId="0" applyFont="1" applyFill="1"/>
    <xf numFmtId="4" fontId="34" fillId="35" borderId="0" xfId="0" applyNumberFormat="1" applyFont="1" applyFill="1"/>
    <xf numFmtId="0" fontId="46" fillId="0" borderId="10" xfId="0" applyFont="1" applyBorder="1" applyAlignment="1">
      <alignment vertical="center" wrapText="1"/>
    </xf>
    <xf numFmtId="0" fontId="34" fillId="0" borderId="0" xfId="0" applyFont="1" applyFill="1"/>
    <xf numFmtId="3" fontId="51" fillId="0" borderId="10" xfId="0" applyNumberFormat="1" applyFont="1" applyBorder="1" applyAlignment="1">
      <alignment horizontal="right" vertical="center" wrapText="1"/>
    </xf>
    <xf numFmtId="0" fontId="51" fillId="0" borderId="10" xfId="0" applyFont="1" applyBorder="1" applyAlignment="1">
      <alignment vertical="center" wrapText="1"/>
    </xf>
    <xf numFmtId="0" fontId="47" fillId="0" borderId="10" xfId="0" applyFont="1" applyFill="1" applyBorder="1" applyAlignment="1">
      <alignment wrapText="1"/>
    </xf>
    <xf numFmtId="0" fontId="47" fillId="0" borderId="10" xfId="0" applyFont="1" applyBorder="1" applyAlignment="1">
      <alignment wrapText="1"/>
    </xf>
    <xf numFmtId="0" fontId="44" fillId="0" borderId="10" xfId="0" applyFont="1" applyBorder="1" applyAlignment="1">
      <alignment horizontal="right" vertical="center" wrapText="1"/>
    </xf>
    <xf numFmtId="169" fontId="47" fillId="0" borderId="10" xfId="103" applyNumberFormat="1" applyFont="1" applyFill="1" applyBorder="1" applyAlignment="1">
      <alignment horizontal="right" vertical="center" wrapText="1"/>
    </xf>
    <xf numFmtId="0" fontId="44" fillId="0" borderId="0" xfId="0" applyFont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 wrapText="1"/>
    </xf>
    <xf numFmtId="170" fontId="45" fillId="0" borderId="0" xfId="85" applyNumberFormat="1" applyFont="1" applyBorder="1" applyAlignment="1">
      <alignment horizontal="center" vertical="center" wrapText="1"/>
    </xf>
    <xf numFmtId="3" fontId="45" fillId="0" borderId="0" xfId="0" applyNumberFormat="1" applyFont="1" applyBorder="1" applyAlignment="1">
      <alignment horizontal="right" vertical="center" wrapText="1"/>
    </xf>
    <xf numFmtId="3" fontId="44" fillId="0" borderId="0" xfId="0" applyNumberFormat="1" applyFont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170" fontId="0" fillId="0" borderId="0" xfId="85" applyNumberFormat="1" applyFont="1"/>
    <xf numFmtId="43" fontId="0" fillId="0" borderId="0" xfId="85" applyFont="1"/>
    <xf numFmtId="9" fontId="0" fillId="0" borderId="0" xfId="86" applyFont="1"/>
    <xf numFmtId="0" fontId="43" fillId="0" borderId="11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04">
    <cellStyle name="20% - Accent1" xfId="19" builtinId="30" customBuiltin="1"/>
    <cellStyle name="20% - Accent1 2" xfId="61"/>
    <cellStyle name="20% - Accent1 2 2" xfId="89"/>
    <cellStyle name="20% - Accent2" xfId="23" builtinId="34" customBuiltin="1"/>
    <cellStyle name="20% - Accent2 2" xfId="65"/>
    <cellStyle name="20% - Accent2 2 2" xfId="91"/>
    <cellStyle name="20% - Accent3" xfId="27" builtinId="38" customBuiltin="1"/>
    <cellStyle name="20% - Accent3 2" xfId="69"/>
    <cellStyle name="20% - Accent3 2 2" xfId="93"/>
    <cellStyle name="20% - Accent4" xfId="31" builtinId="42" customBuiltin="1"/>
    <cellStyle name="20% - Accent4 2" xfId="73"/>
    <cellStyle name="20% - Accent4 2 2" xfId="95"/>
    <cellStyle name="20% - Accent5" xfId="35" builtinId="46" customBuiltin="1"/>
    <cellStyle name="20% - Accent5 2" xfId="77"/>
    <cellStyle name="20% - Accent5 2 2" xfId="97"/>
    <cellStyle name="20% - Accent6" xfId="39" builtinId="50" customBuiltin="1"/>
    <cellStyle name="20% - Accent6 2" xfId="81"/>
    <cellStyle name="20% - Accent6 2 2" xfId="99"/>
    <cellStyle name="40% - Accent1" xfId="20" builtinId="31" customBuiltin="1"/>
    <cellStyle name="40% - Accent1 2" xfId="62"/>
    <cellStyle name="40% - Accent1 2 2" xfId="90"/>
    <cellStyle name="40% - Accent2" xfId="24" builtinId="35" customBuiltin="1"/>
    <cellStyle name="40% - Accent2 2" xfId="66"/>
    <cellStyle name="40% - Accent2 2 2" xfId="92"/>
    <cellStyle name="40% - Accent3" xfId="28" builtinId="39" customBuiltin="1"/>
    <cellStyle name="40% - Accent3 2" xfId="70"/>
    <cellStyle name="40% - Accent3 2 2" xfId="94"/>
    <cellStyle name="40% - Accent4" xfId="32" builtinId="43" customBuiltin="1"/>
    <cellStyle name="40% - Accent4 2" xfId="74"/>
    <cellStyle name="40% - Accent4 2 2" xfId="96"/>
    <cellStyle name="40% - Accent5" xfId="36" builtinId="47" customBuiltin="1"/>
    <cellStyle name="40% - Accent5 2" xfId="78"/>
    <cellStyle name="40% - Accent5 2 2" xfId="98"/>
    <cellStyle name="40% - Accent6" xfId="40" builtinId="51" customBuiltin="1"/>
    <cellStyle name="40% - Accent6 2" xfId="82"/>
    <cellStyle name="40% - Accent6 2 2" xfId="100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Comma" xfId="85" builtinId="3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Hyperlink" xfId="101" builtinId="8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rmal 2 2" xfId="87"/>
    <cellStyle name="Normal 3" xfId="102"/>
    <cellStyle name="Note" xfId="15" builtinId="10" customBuiltin="1"/>
    <cellStyle name="Note 2" xfId="57"/>
    <cellStyle name="Note 2 2" xfId="88"/>
    <cellStyle name="Output" xfId="10" builtinId="21" customBuiltin="1"/>
    <cellStyle name="Output 2" xfId="52"/>
    <cellStyle name="Percent" xfId="86" builtinId="5"/>
    <cellStyle name="Percent 2" xfId="103"/>
    <cellStyle name="Style 1" xfId="84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56</xdr:row>
      <xdr:rowOff>44823</xdr:rowOff>
    </xdr:from>
    <xdr:to>
      <xdr:col>6</xdr:col>
      <xdr:colOff>1207989</xdr:colOff>
      <xdr:row>78</xdr:row>
      <xdr:rowOff>134471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7" y="10712823"/>
          <a:ext cx="10475253" cy="4280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thientruongpc.com.vn/index.php?route=product/product&amp;path=20_253&amp;product_id=2978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hientruongpc.com.vn/index.php?route=product/product&amp;path=393&amp;product_id=2445" TargetMode="External"/><Relationship Id="rId1" Type="http://schemas.openxmlformats.org/officeDocument/2006/relationships/hyperlink" Target="http://at-sky.com.vn/san-pham/1052-2dbi-gsm-antenna-jcg025.html" TargetMode="External"/><Relationship Id="rId6" Type="http://schemas.openxmlformats.org/officeDocument/2006/relationships/hyperlink" Target="http://thientruongpc.com.vn/index.php?route=product/product&amp;path=33_393&amp;product_id=1908" TargetMode="External"/><Relationship Id="rId5" Type="http://schemas.openxmlformats.org/officeDocument/2006/relationships/hyperlink" Target="http://banlinhkien.vn/goods-6025-dau-cos-y-sv1-25-3-2-xanh-kep-cang-cua-10c-.html" TargetMode="External"/><Relationship Id="rId4" Type="http://schemas.openxmlformats.org/officeDocument/2006/relationships/hyperlink" Target="http://banlinhkien.vn/goods-5589-pin-mp3-3-7v-200mah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8" workbookViewId="0">
      <selection activeCell="F59" sqref="F59"/>
    </sheetView>
  </sheetViews>
  <sheetFormatPr defaultRowHeight="15" x14ac:dyDescent="0.25"/>
  <cols>
    <col min="1" max="1" width="6.5703125" customWidth="1"/>
    <col min="2" max="2" width="29" style="89" customWidth="1"/>
    <col min="3" max="3" width="11.5703125" bestFit="1" customWidth="1"/>
    <col min="4" max="4" width="13.140625" bestFit="1" customWidth="1"/>
    <col min="5" max="5" width="17.5703125" customWidth="1"/>
    <col min="6" max="6" width="30.5703125" style="89" customWidth="1"/>
    <col min="7" max="7" width="7.85546875" customWidth="1"/>
    <col min="8" max="8" width="11.7109375" customWidth="1"/>
  </cols>
  <sheetData>
    <row r="1" spans="1:8" x14ac:dyDescent="0.25">
      <c r="A1" s="167" t="s">
        <v>760</v>
      </c>
      <c r="B1" s="167" t="s">
        <v>761</v>
      </c>
      <c r="C1" s="167" t="s">
        <v>762</v>
      </c>
      <c r="D1" s="167" t="s">
        <v>763</v>
      </c>
      <c r="E1" s="167" t="s">
        <v>764</v>
      </c>
      <c r="F1" s="167" t="s">
        <v>765</v>
      </c>
    </row>
    <row r="2" spans="1:8" x14ac:dyDescent="0.25">
      <c r="A2" s="168"/>
      <c r="B2" s="168"/>
      <c r="C2" s="168"/>
      <c r="D2" s="168"/>
      <c r="E2" s="168"/>
      <c r="F2" s="168"/>
    </row>
    <row r="3" spans="1:8" ht="15.75" x14ac:dyDescent="0.25">
      <c r="A3" s="119" t="s">
        <v>766</v>
      </c>
      <c r="B3" s="120" t="s">
        <v>767</v>
      </c>
      <c r="C3" s="119">
        <v>1000</v>
      </c>
      <c r="D3" s="121">
        <f>E3/C3</f>
        <v>1165310.1723551997</v>
      </c>
      <c r="E3" s="121">
        <f>E4+E7+E10</f>
        <v>1165310172.3551998</v>
      </c>
      <c r="F3" s="122"/>
    </row>
    <row r="4" spans="1:8" ht="31.5" x14ac:dyDescent="0.25">
      <c r="A4" s="119">
        <v>1</v>
      </c>
      <c r="B4" s="120" t="s">
        <v>768</v>
      </c>
      <c r="C4" s="123">
        <f>+$C$3</f>
        <v>1000</v>
      </c>
      <c r="D4" s="121">
        <f>E4/C4</f>
        <v>1033796.2838399999</v>
      </c>
      <c r="E4" s="121">
        <f>SUM(E5:E6)</f>
        <v>1033796283.8399999</v>
      </c>
      <c r="F4" s="122"/>
      <c r="H4" s="124"/>
    </row>
    <row r="5" spans="1:8" ht="31.5" x14ac:dyDescent="0.25">
      <c r="A5" s="125">
        <v>1.1000000000000001</v>
      </c>
      <c r="B5" s="126" t="s">
        <v>769</v>
      </c>
      <c r="C5" s="125">
        <f>+$C$3</f>
        <v>1000</v>
      </c>
      <c r="D5" s="127">
        <f>'MAIN+PWR+HOUSING'!C7</f>
        <v>1033796.2838399999</v>
      </c>
      <c r="E5" s="128">
        <f>+D5*C5</f>
        <v>1033796283.8399999</v>
      </c>
      <c r="F5" s="122"/>
    </row>
    <row r="6" spans="1:8" ht="31.5" x14ac:dyDescent="0.25">
      <c r="A6" s="125">
        <v>1.2</v>
      </c>
      <c r="B6" s="126" t="s">
        <v>770</v>
      </c>
      <c r="C6" s="125">
        <f>+$C$3</f>
        <v>1000</v>
      </c>
      <c r="D6" s="128"/>
      <c r="E6" s="128">
        <f>+D6*C6</f>
        <v>0</v>
      </c>
      <c r="F6" s="122" t="s">
        <v>771</v>
      </c>
    </row>
    <row r="7" spans="1:8" ht="15.75" x14ac:dyDescent="0.25">
      <c r="A7" s="119">
        <v>2</v>
      </c>
      <c r="B7" s="129" t="s">
        <v>772</v>
      </c>
      <c r="C7" s="119"/>
      <c r="D7" s="121"/>
      <c r="E7" s="121">
        <f>E8+E9</f>
        <v>82500000</v>
      </c>
      <c r="F7" s="122"/>
    </row>
    <row r="8" spans="1:8" ht="63" x14ac:dyDescent="0.25">
      <c r="A8" s="125">
        <v>2.1</v>
      </c>
      <c r="B8" s="130" t="s">
        <v>773</v>
      </c>
      <c r="C8" s="125">
        <v>2</v>
      </c>
      <c r="D8" s="127">
        <v>30000000</v>
      </c>
      <c r="E8" s="127">
        <f>C8*D8</f>
        <v>60000000</v>
      </c>
      <c r="F8" s="131" t="s">
        <v>774</v>
      </c>
    </row>
    <row r="9" spans="1:8" ht="63" x14ac:dyDescent="0.25">
      <c r="A9" s="125">
        <v>2.2000000000000002</v>
      </c>
      <c r="B9" s="132" t="s">
        <v>775</v>
      </c>
      <c r="C9" s="125">
        <v>0.75</v>
      </c>
      <c r="D9" s="127">
        <v>30000000</v>
      </c>
      <c r="E9" s="127">
        <f>C9*D9</f>
        <v>22500000</v>
      </c>
      <c r="F9" s="131" t="s">
        <v>776</v>
      </c>
    </row>
    <row r="10" spans="1:8" ht="15.75" x14ac:dyDescent="0.25">
      <c r="A10" s="119">
        <v>3</v>
      </c>
      <c r="B10" s="129" t="s">
        <v>777</v>
      </c>
      <c r="C10" s="119"/>
      <c r="D10" s="121"/>
      <c r="E10" s="121">
        <f>SUM(E11:E14)</f>
        <v>49013888.515199997</v>
      </c>
      <c r="F10" s="122"/>
    </row>
    <row r="11" spans="1:8" ht="15.75" x14ac:dyDescent="0.25">
      <c r="A11" s="125">
        <v>3.1</v>
      </c>
      <c r="B11" s="126" t="s">
        <v>778</v>
      </c>
      <c r="C11" s="125">
        <f>+$C$3</f>
        <v>1000</v>
      </c>
      <c r="D11" s="128"/>
      <c r="E11" s="128">
        <f>+D11*C11</f>
        <v>0</v>
      </c>
      <c r="F11" s="122"/>
      <c r="H11" s="124"/>
    </row>
    <row r="12" spans="1:8" ht="31.5" x14ac:dyDescent="0.25">
      <c r="A12" s="125">
        <v>3.2</v>
      </c>
      <c r="B12" s="126" t="s">
        <v>779</v>
      </c>
      <c r="C12" s="125"/>
      <c r="D12" s="128"/>
      <c r="E12" s="128">
        <f>E4*0.03</f>
        <v>31013888.515199997</v>
      </c>
      <c r="F12" s="122"/>
      <c r="H12" s="124"/>
    </row>
    <row r="13" spans="1:8" ht="15.75" x14ac:dyDescent="0.25">
      <c r="A13" s="125" t="s">
        <v>780</v>
      </c>
      <c r="B13" s="126" t="s">
        <v>781</v>
      </c>
      <c r="C13" s="125"/>
      <c r="D13" s="128"/>
      <c r="E13" s="128">
        <v>15000000</v>
      </c>
      <c r="F13" s="122"/>
      <c r="H13" s="124"/>
    </row>
    <row r="14" spans="1:8" ht="31.5" x14ac:dyDescent="0.25">
      <c r="A14" s="125" t="s">
        <v>782</v>
      </c>
      <c r="B14" s="126" t="s">
        <v>783</v>
      </c>
      <c r="C14" s="125"/>
      <c r="D14" s="128"/>
      <c r="E14" s="128">
        <v>3000000</v>
      </c>
      <c r="F14" s="122"/>
    </row>
    <row r="15" spans="1:8" s="28" customFormat="1" ht="15.75" x14ac:dyDescent="0.25">
      <c r="A15" s="133" t="s">
        <v>784</v>
      </c>
      <c r="B15" s="134" t="s">
        <v>785</v>
      </c>
      <c r="C15" s="135"/>
      <c r="D15" s="136"/>
      <c r="E15" s="137">
        <f>E3*0.085</f>
        <v>99051364.650191993</v>
      </c>
      <c r="F15" s="138" t="s">
        <v>786</v>
      </c>
    </row>
    <row r="16" spans="1:8" ht="15.75" x14ac:dyDescent="0.25">
      <c r="A16" s="119" t="s">
        <v>787</v>
      </c>
      <c r="B16" s="120" t="s">
        <v>788</v>
      </c>
      <c r="C16" s="126"/>
      <c r="D16" s="139"/>
      <c r="E16" s="140">
        <f>E3*0.03</f>
        <v>34959305.170655996</v>
      </c>
      <c r="F16" s="122" t="s">
        <v>789</v>
      </c>
    </row>
    <row r="17" spans="1:8" s="28" customFormat="1" ht="31.5" x14ac:dyDescent="0.25">
      <c r="A17" s="119" t="s">
        <v>790</v>
      </c>
      <c r="B17" s="141" t="s">
        <v>791</v>
      </c>
      <c r="C17" s="125"/>
      <c r="D17" s="128"/>
      <c r="E17" s="142">
        <f>10000000+4000000+700000</f>
        <v>14700000</v>
      </c>
      <c r="F17" s="126" t="s">
        <v>792</v>
      </c>
    </row>
    <row r="18" spans="1:8" s="28" customFormat="1" ht="15.75" x14ac:dyDescent="0.25">
      <c r="A18" s="119" t="s">
        <v>793</v>
      </c>
      <c r="B18" s="141" t="s">
        <v>794</v>
      </c>
      <c r="C18" s="119">
        <f>C3*0.05</f>
        <v>50</v>
      </c>
      <c r="D18" s="140">
        <f>E18/C18</f>
        <v>1165310.1723551999</v>
      </c>
      <c r="E18" s="142">
        <f>E3*0.05</f>
        <v>58265508.617759995</v>
      </c>
      <c r="F18" s="143">
        <v>0.05</v>
      </c>
    </row>
    <row r="19" spans="1:8" ht="15.75" x14ac:dyDescent="0.25">
      <c r="A19" s="133" t="s">
        <v>795</v>
      </c>
      <c r="B19" s="144" t="s">
        <v>796</v>
      </c>
      <c r="C19" s="133">
        <f>+$C$3</f>
        <v>1000</v>
      </c>
      <c r="D19" s="145">
        <f>E19/C19</f>
        <v>1372286.3507938078</v>
      </c>
      <c r="E19" s="146">
        <f>E3+E16+E15+E17+E18</f>
        <v>1372286350.7938077</v>
      </c>
      <c r="F19" s="147"/>
      <c r="G19" s="148" t="s">
        <v>797</v>
      </c>
      <c r="H19" s="149">
        <f>D19*1.1</f>
        <v>1509514.9858731886</v>
      </c>
    </row>
    <row r="20" spans="1:8" ht="15.75" x14ac:dyDescent="0.25">
      <c r="A20" s="119" t="s">
        <v>798</v>
      </c>
      <c r="B20" s="120" t="s">
        <v>799</v>
      </c>
      <c r="C20" s="125"/>
      <c r="D20" s="150"/>
      <c r="E20" s="121">
        <f>E21</f>
        <v>1646743620.9525692</v>
      </c>
      <c r="F20" s="122"/>
      <c r="H20" s="151"/>
    </row>
    <row r="21" spans="1:8" ht="15.75" x14ac:dyDescent="0.25">
      <c r="A21" s="125">
        <v>1</v>
      </c>
      <c r="B21" s="126" t="s">
        <v>800</v>
      </c>
      <c r="C21" s="125">
        <f>+$C$3</f>
        <v>1000</v>
      </c>
      <c r="D21" s="152">
        <f>D19*1.2</f>
        <v>1646743.6209525692</v>
      </c>
      <c r="E21" s="128">
        <f>C21*D21</f>
        <v>1646743620.9525692</v>
      </c>
      <c r="F21" s="153" t="s">
        <v>801</v>
      </c>
      <c r="G21" s="148" t="s">
        <v>797</v>
      </c>
      <c r="H21" s="149">
        <f>D21*1.1</f>
        <v>1811417.9830478262</v>
      </c>
    </row>
    <row r="22" spans="1:8" ht="15.75" x14ac:dyDescent="0.25">
      <c r="A22" s="119" t="s">
        <v>802</v>
      </c>
      <c r="B22" s="154" t="s">
        <v>803</v>
      </c>
      <c r="C22" s="126">
        <f>+C3</f>
        <v>1000</v>
      </c>
      <c r="D22" s="128">
        <f>+E22/C22</f>
        <v>274457.27015876153</v>
      </c>
      <c r="E22" s="140">
        <f>E20-E19</f>
        <v>274457270.1587615</v>
      </c>
      <c r="F22" s="122"/>
    </row>
    <row r="23" spans="1:8" ht="31.5" x14ac:dyDescent="0.25">
      <c r="A23" s="119" t="s">
        <v>804</v>
      </c>
      <c r="B23" s="155" t="s">
        <v>805</v>
      </c>
      <c r="C23" s="156"/>
      <c r="D23" s="121"/>
      <c r="E23" s="157">
        <f>E22/E20</f>
        <v>0.16666666666666663</v>
      </c>
      <c r="F23" s="122"/>
    </row>
    <row r="24" spans="1:8" ht="15.75" x14ac:dyDescent="0.25">
      <c r="A24" s="119"/>
      <c r="B24" s="155"/>
      <c r="C24" s="156"/>
      <c r="D24" s="121"/>
      <c r="E24" s="157"/>
      <c r="F24" s="122"/>
    </row>
    <row r="25" spans="1:8" s="28" customFormat="1" ht="31.5" x14ac:dyDescent="0.25">
      <c r="A25" s="119" t="s">
        <v>806</v>
      </c>
      <c r="B25" s="141" t="s">
        <v>807</v>
      </c>
      <c r="C25" s="125"/>
      <c r="D25" s="128"/>
      <c r="E25" s="142">
        <v>100000000</v>
      </c>
      <c r="F25" s="126"/>
    </row>
    <row r="26" spans="1:8" s="28" customFormat="1" ht="15.75" x14ac:dyDescent="0.25">
      <c r="A26" s="158"/>
      <c r="B26" s="159" t="s">
        <v>808</v>
      </c>
      <c r="C26" s="160">
        <f>+E25/D22</f>
        <v>364.35544207721068</v>
      </c>
      <c r="D26" s="161"/>
      <c r="E26" s="162"/>
      <c r="F26" s="163"/>
    </row>
    <row r="28" spans="1:8" x14ac:dyDescent="0.25">
      <c r="C28" s="164"/>
      <c r="D28" s="124"/>
      <c r="E28" s="165"/>
      <c r="F28"/>
      <c r="G28" s="89"/>
      <c r="H28" s="166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E78" sqref="E78"/>
    </sheetView>
  </sheetViews>
  <sheetFormatPr defaultRowHeight="15" x14ac:dyDescent="0.25"/>
  <cols>
    <col min="1" max="1" width="9.140625" customWidth="1"/>
    <col min="2" max="2" width="12.42578125" customWidth="1"/>
    <col min="3" max="3" width="9.5703125" customWidth="1"/>
  </cols>
  <sheetData>
    <row r="4" spans="2:3" x14ac:dyDescent="0.25">
      <c r="B4" t="s">
        <v>811</v>
      </c>
      <c r="C4">
        <f>Main_1K!K65+Pwr_1K!K56</f>
        <v>40.501596999999997</v>
      </c>
    </row>
    <row r="5" spans="2:3" x14ac:dyDescent="0.25">
      <c r="B5" t="s">
        <v>812</v>
      </c>
      <c r="C5">
        <v>5</v>
      </c>
    </row>
    <row r="6" spans="2:3" x14ac:dyDescent="0.25">
      <c r="B6" t="s">
        <v>637</v>
      </c>
      <c r="C6">
        <f>SUM(C4:C5)</f>
        <v>45.501596999999997</v>
      </c>
    </row>
    <row r="7" spans="2:3" x14ac:dyDescent="0.25">
      <c r="B7" t="s">
        <v>813</v>
      </c>
      <c r="C7">
        <f>C6*22720</f>
        <v>1033796.2838399999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F1" zoomScale="85" zoomScaleNormal="85" workbookViewId="0">
      <pane ySplit="1" topLeftCell="A17" activePane="bottomLeft" state="frozen"/>
      <selection pane="bottomLeft" activeCell="F50" sqref="F50"/>
    </sheetView>
  </sheetViews>
  <sheetFormatPr defaultRowHeight="15" x14ac:dyDescent="0.25"/>
  <cols>
    <col min="1" max="1" width="4.7109375" style="2" customWidth="1"/>
    <col min="2" max="2" width="9" style="2" hidden="1" customWidth="1"/>
    <col min="3" max="3" width="26.140625" hidden="1" customWidth="1"/>
    <col min="4" max="4" width="19.5703125" hidden="1" customWidth="1"/>
    <col min="5" max="5" width="35.85546875" hidden="1" customWidth="1"/>
    <col min="6" max="6" width="51" customWidth="1"/>
    <col min="7" max="7" width="17.5703125" customWidth="1"/>
    <col min="8" max="8" width="24.7109375" style="6" bestFit="1" customWidth="1"/>
    <col min="9" max="9" width="9.42578125" hidden="1" customWidth="1"/>
    <col min="10" max="10" width="18.42578125" hidden="1" customWidth="1"/>
    <col min="11" max="11" width="19.5703125" hidden="1" customWidth="1"/>
    <col min="12" max="12" width="28.85546875" hidden="1" customWidth="1"/>
    <col min="13" max="13" width="18.28515625" style="2" bestFit="1" customWidth="1"/>
    <col min="14" max="15" width="18.28515625" style="2" customWidth="1"/>
    <col min="16" max="16" width="18.28515625" style="28" customWidth="1"/>
    <col min="17" max="17" width="18.28515625" style="45" customWidth="1"/>
    <col min="18" max="18" width="18.28515625" style="53" customWidth="1"/>
    <col min="19" max="19" width="18.28515625" style="57" customWidth="1"/>
    <col min="20" max="20" width="18.28515625" style="62" customWidth="1"/>
    <col min="21" max="21" width="18.28515625" style="2" customWidth="1"/>
    <col min="22" max="22" width="35.42578125" customWidth="1"/>
    <col min="24" max="24" width="18" customWidth="1"/>
  </cols>
  <sheetData>
    <row r="1" spans="1:24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9" t="s">
        <v>270</v>
      </c>
      <c r="I1" s="8" t="s">
        <v>4</v>
      </c>
      <c r="J1" s="8" t="s">
        <v>5</v>
      </c>
      <c r="K1" s="8" t="s">
        <v>496</v>
      </c>
      <c r="L1" s="9" t="s">
        <v>497</v>
      </c>
      <c r="M1" s="7" t="s">
        <v>547</v>
      </c>
      <c r="N1" s="7"/>
      <c r="O1" s="7" t="s">
        <v>548</v>
      </c>
      <c r="P1" s="27" t="s">
        <v>472</v>
      </c>
      <c r="Q1" s="26" t="s">
        <v>473</v>
      </c>
      <c r="R1" s="54" t="s">
        <v>475</v>
      </c>
      <c r="S1" s="58" t="s">
        <v>489</v>
      </c>
      <c r="T1" s="60" t="s">
        <v>477</v>
      </c>
      <c r="U1" s="26" t="s">
        <v>481</v>
      </c>
      <c r="V1" s="7" t="s">
        <v>267</v>
      </c>
      <c r="W1" s="84"/>
      <c r="X1" s="84" t="s">
        <v>495</v>
      </c>
    </row>
    <row r="2" spans="1:24" x14ac:dyDescent="0.25">
      <c r="A2" s="3">
        <v>1</v>
      </c>
      <c r="B2" s="3">
        <v>4</v>
      </c>
      <c r="C2" s="4" t="s">
        <v>6</v>
      </c>
      <c r="D2" s="4" t="s">
        <v>7</v>
      </c>
      <c r="E2" s="4" t="s">
        <v>8</v>
      </c>
      <c r="F2" s="4" t="s">
        <v>9</v>
      </c>
      <c r="G2" s="32" t="s">
        <v>10</v>
      </c>
      <c r="H2" s="113" t="s">
        <v>11</v>
      </c>
      <c r="I2" s="32"/>
      <c r="J2" s="32"/>
      <c r="K2" s="32"/>
      <c r="L2" s="32"/>
      <c r="M2" s="33">
        <f>B2*1000</f>
        <v>4000</v>
      </c>
      <c r="N2" s="33"/>
      <c r="O2" s="33">
        <f>B2*10000</f>
        <v>40000</v>
      </c>
      <c r="P2" s="39">
        <v>0.09</v>
      </c>
      <c r="Q2" s="30">
        <f t="shared" ref="Q2:Q28" si="0">M2*P2</f>
        <v>360</v>
      </c>
      <c r="R2" s="55"/>
      <c r="S2" s="59">
        <f t="shared" ref="S2:S33" si="1">ROUND(Q2*(1+$Q$59)*(1+R2)*(1+$Q$60)*$Q$61/M2,0)</f>
        <v>2359</v>
      </c>
      <c r="T2" s="61">
        <f t="shared" ref="T2:T33" si="2">S2*M2</f>
        <v>9436000</v>
      </c>
      <c r="U2" s="33" t="s">
        <v>483</v>
      </c>
      <c r="V2" s="32"/>
      <c r="W2" s="4"/>
      <c r="X2" s="4"/>
    </row>
    <row r="3" spans="1:24" x14ac:dyDescent="0.25">
      <c r="A3" s="3">
        <v>2</v>
      </c>
      <c r="B3" s="3">
        <v>27</v>
      </c>
      <c r="C3" s="4" t="s">
        <v>12</v>
      </c>
      <c r="D3" s="4" t="s">
        <v>13</v>
      </c>
      <c r="E3" s="4" t="s">
        <v>8</v>
      </c>
      <c r="F3" s="4" t="s">
        <v>14</v>
      </c>
      <c r="G3" s="32" t="s">
        <v>10</v>
      </c>
      <c r="H3" s="113" t="s">
        <v>15</v>
      </c>
      <c r="I3" s="32"/>
      <c r="J3" s="32"/>
      <c r="K3" s="32"/>
      <c r="L3" s="32"/>
      <c r="M3" s="33">
        <f t="shared" ref="M3:M55" si="3">B3*1000</f>
        <v>27000</v>
      </c>
      <c r="N3" s="33"/>
      <c r="O3" s="33">
        <f t="shared" ref="O3:O55" si="4">B3*10000</f>
        <v>270000</v>
      </c>
      <c r="P3" s="40">
        <v>3.9600000000000003E-2</v>
      </c>
      <c r="Q3" s="30">
        <f t="shared" si="0"/>
        <v>1069.2</v>
      </c>
      <c r="R3" s="55"/>
      <c r="S3" s="59">
        <f t="shared" si="1"/>
        <v>1038</v>
      </c>
      <c r="T3" s="61">
        <f t="shared" si="2"/>
        <v>28026000</v>
      </c>
      <c r="U3" s="33" t="s">
        <v>483</v>
      </c>
      <c r="V3" s="32"/>
      <c r="W3" s="4"/>
      <c r="X3" s="4"/>
    </row>
    <row r="4" spans="1:24" x14ac:dyDescent="0.25">
      <c r="A4" s="3">
        <v>3</v>
      </c>
      <c r="B4" s="3">
        <v>2</v>
      </c>
      <c r="C4" s="4" t="s">
        <v>16</v>
      </c>
      <c r="D4" s="4" t="s">
        <v>17</v>
      </c>
      <c r="E4" s="4" t="s">
        <v>8</v>
      </c>
      <c r="F4" s="4" t="s">
        <v>18</v>
      </c>
      <c r="G4" s="32" t="s">
        <v>10</v>
      </c>
      <c r="H4" s="113" t="s">
        <v>19</v>
      </c>
      <c r="I4" s="32"/>
      <c r="J4" s="32"/>
      <c r="K4" s="32"/>
      <c r="L4" s="32"/>
      <c r="M4" s="33">
        <f t="shared" si="3"/>
        <v>2000</v>
      </c>
      <c r="N4" s="33"/>
      <c r="O4" s="33">
        <f t="shared" si="4"/>
        <v>20000</v>
      </c>
      <c r="P4" s="29">
        <v>0.17799999999999999</v>
      </c>
      <c r="Q4" s="30">
        <f t="shared" si="0"/>
        <v>356</v>
      </c>
      <c r="R4" s="55"/>
      <c r="S4" s="59">
        <f t="shared" si="1"/>
        <v>4666</v>
      </c>
      <c r="T4" s="61">
        <f t="shared" si="2"/>
        <v>9332000</v>
      </c>
      <c r="U4" s="33" t="s">
        <v>483</v>
      </c>
      <c r="V4" s="32"/>
      <c r="W4" s="4"/>
      <c r="X4" s="4"/>
    </row>
    <row r="5" spans="1:24" x14ac:dyDescent="0.25">
      <c r="A5" s="3">
        <v>4</v>
      </c>
      <c r="B5" s="3">
        <v>4</v>
      </c>
      <c r="C5" s="4" t="s">
        <v>20</v>
      </c>
      <c r="D5" s="4" t="s">
        <v>21</v>
      </c>
      <c r="E5" s="4" t="s">
        <v>8</v>
      </c>
      <c r="F5" s="4" t="s">
        <v>22</v>
      </c>
      <c r="G5" s="32" t="s">
        <v>23</v>
      </c>
      <c r="H5" s="113" t="s">
        <v>24</v>
      </c>
      <c r="I5" s="32"/>
      <c r="J5" s="32"/>
      <c r="K5" s="32"/>
      <c r="L5" s="32"/>
      <c r="M5" s="33">
        <f t="shared" si="3"/>
        <v>4000</v>
      </c>
      <c r="N5" s="33"/>
      <c r="O5" s="33">
        <f t="shared" si="4"/>
        <v>40000</v>
      </c>
      <c r="P5" s="29">
        <v>7.0999999999999994E-2</v>
      </c>
      <c r="Q5" s="30">
        <f t="shared" si="0"/>
        <v>284</v>
      </c>
      <c r="R5" s="55"/>
      <c r="S5" s="59">
        <f t="shared" si="1"/>
        <v>1861</v>
      </c>
      <c r="T5" s="61">
        <f t="shared" si="2"/>
        <v>7444000</v>
      </c>
      <c r="U5" s="33" t="s">
        <v>483</v>
      </c>
      <c r="V5" s="32"/>
      <c r="W5" s="4"/>
      <c r="X5" s="4"/>
    </row>
    <row r="6" spans="1:24" x14ac:dyDescent="0.25">
      <c r="A6" s="3">
        <v>5</v>
      </c>
      <c r="B6" s="3">
        <v>6</v>
      </c>
      <c r="C6" s="4" t="s">
        <v>25</v>
      </c>
      <c r="D6" s="4" t="s">
        <v>26</v>
      </c>
      <c r="E6" s="4" t="s">
        <v>8</v>
      </c>
      <c r="F6" s="4" t="s">
        <v>27</v>
      </c>
      <c r="G6" s="32" t="s">
        <v>23</v>
      </c>
      <c r="H6" s="113" t="s">
        <v>28</v>
      </c>
      <c r="I6" s="32"/>
      <c r="J6" s="32"/>
      <c r="K6" s="32"/>
      <c r="L6" s="32"/>
      <c r="M6" s="33">
        <f t="shared" si="3"/>
        <v>6000</v>
      </c>
      <c r="N6" s="33"/>
      <c r="O6" s="33">
        <f t="shared" si="4"/>
        <v>60000</v>
      </c>
      <c r="P6" s="29">
        <v>7.0999999999999994E-2</v>
      </c>
      <c r="Q6" s="30">
        <f t="shared" si="0"/>
        <v>425.99999999999994</v>
      </c>
      <c r="R6" s="55"/>
      <c r="S6" s="59">
        <f t="shared" si="1"/>
        <v>1861</v>
      </c>
      <c r="T6" s="61">
        <f t="shared" si="2"/>
        <v>11166000</v>
      </c>
      <c r="U6" s="33" t="s">
        <v>483</v>
      </c>
      <c r="V6" s="32"/>
      <c r="W6" s="4"/>
      <c r="X6" s="4"/>
    </row>
    <row r="7" spans="1:24" x14ac:dyDescent="0.25">
      <c r="A7" s="3">
        <v>6</v>
      </c>
      <c r="B7" s="3">
        <v>2</v>
      </c>
      <c r="C7" s="4" t="s">
        <v>29</v>
      </c>
      <c r="D7" s="4" t="s">
        <v>30</v>
      </c>
      <c r="E7" s="4" t="s">
        <v>8</v>
      </c>
      <c r="F7" s="4" t="s">
        <v>31</v>
      </c>
      <c r="G7" s="32" t="s">
        <v>10</v>
      </c>
      <c r="H7" s="113" t="s">
        <v>32</v>
      </c>
      <c r="I7" s="32"/>
      <c r="J7" s="32"/>
      <c r="K7" s="32"/>
      <c r="L7" s="32"/>
      <c r="M7" s="33">
        <f t="shared" si="3"/>
        <v>2000</v>
      </c>
      <c r="N7" s="33"/>
      <c r="O7" s="33">
        <f t="shared" si="4"/>
        <v>20000</v>
      </c>
      <c r="P7" s="29">
        <v>5.7000000000000002E-2</v>
      </c>
      <c r="Q7" s="30">
        <f t="shared" si="0"/>
        <v>114</v>
      </c>
      <c r="R7" s="55"/>
      <c r="S7" s="59">
        <f t="shared" si="1"/>
        <v>1494</v>
      </c>
      <c r="T7" s="61">
        <f t="shared" si="2"/>
        <v>2988000</v>
      </c>
      <c r="U7" s="33" t="s">
        <v>483</v>
      </c>
      <c r="V7" s="32"/>
      <c r="W7" s="4"/>
      <c r="X7" s="4"/>
    </row>
    <row r="8" spans="1:24" x14ac:dyDescent="0.25">
      <c r="A8" s="3">
        <v>7</v>
      </c>
      <c r="B8" s="3">
        <v>1</v>
      </c>
      <c r="C8" s="4" t="s">
        <v>33</v>
      </c>
      <c r="D8" s="4" t="s">
        <v>34</v>
      </c>
      <c r="E8" s="4" t="s">
        <v>35</v>
      </c>
      <c r="F8" s="4" t="s">
        <v>36</v>
      </c>
      <c r="G8" s="32" t="s">
        <v>37</v>
      </c>
      <c r="H8" s="113" t="s">
        <v>38</v>
      </c>
      <c r="I8" s="32"/>
      <c r="J8" s="32"/>
      <c r="K8" s="32"/>
      <c r="L8" s="32"/>
      <c r="M8" s="33">
        <f t="shared" si="3"/>
        <v>1000</v>
      </c>
      <c r="N8" s="33"/>
      <c r="O8" s="33">
        <f t="shared" si="4"/>
        <v>10000</v>
      </c>
      <c r="P8" s="29">
        <v>0.66900000000000004</v>
      </c>
      <c r="Q8" s="30">
        <f t="shared" si="0"/>
        <v>669</v>
      </c>
      <c r="R8" s="55"/>
      <c r="S8" s="59">
        <f t="shared" si="1"/>
        <v>17535</v>
      </c>
      <c r="T8" s="61">
        <f t="shared" si="2"/>
        <v>17535000</v>
      </c>
      <c r="U8" s="33" t="s">
        <v>483</v>
      </c>
      <c r="V8" s="32"/>
      <c r="W8" s="4"/>
      <c r="X8" s="4"/>
    </row>
    <row r="9" spans="1:24" x14ac:dyDescent="0.25">
      <c r="A9" s="3">
        <v>8</v>
      </c>
      <c r="B9" s="3">
        <v>2</v>
      </c>
      <c r="C9" s="4" t="s">
        <v>40</v>
      </c>
      <c r="D9" s="4" t="s">
        <v>34</v>
      </c>
      <c r="E9" s="4" t="s">
        <v>41</v>
      </c>
      <c r="F9" s="4" t="s">
        <v>42</v>
      </c>
      <c r="G9" s="32" t="s">
        <v>10</v>
      </c>
      <c r="H9" s="113" t="s">
        <v>43</v>
      </c>
      <c r="I9" s="32"/>
      <c r="J9" s="32"/>
      <c r="K9" s="32"/>
      <c r="L9" s="32"/>
      <c r="M9" s="33">
        <f t="shared" si="3"/>
        <v>2000</v>
      </c>
      <c r="N9" s="33"/>
      <c r="O9" s="33">
        <f t="shared" si="4"/>
        <v>20000</v>
      </c>
      <c r="P9" s="41">
        <v>0.441</v>
      </c>
      <c r="Q9" s="37">
        <f t="shared" si="0"/>
        <v>882</v>
      </c>
      <c r="R9" s="55"/>
      <c r="S9" s="59">
        <f t="shared" si="1"/>
        <v>11559</v>
      </c>
      <c r="T9" s="61">
        <f t="shared" si="2"/>
        <v>23118000</v>
      </c>
      <c r="U9" s="33" t="s">
        <v>483</v>
      </c>
      <c r="V9" s="32"/>
      <c r="W9" s="4"/>
      <c r="X9" s="4"/>
    </row>
    <row r="10" spans="1:24" x14ac:dyDescent="0.25">
      <c r="A10" s="3">
        <v>9</v>
      </c>
      <c r="B10" s="3">
        <v>1</v>
      </c>
      <c r="C10" s="4" t="s">
        <v>44</v>
      </c>
      <c r="D10" s="4" t="s">
        <v>45</v>
      </c>
      <c r="E10" s="4" t="s">
        <v>46</v>
      </c>
      <c r="F10" s="4" t="s">
        <v>47</v>
      </c>
      <c r="G10" s="32" t="s">
        <v>48</v>
      </c>
      <c r="H10" s="113" t="s">
        <v>49</v>
      </c>
      <c r="I10" s="32"/>
      <c r="J10" s="32"/>
      <c r="K10" s="32"/>
      <c r="L10" s="32"/>
      <c r="M10" s="33">
        <f t="shared" si="3"/>
        <v>1000</v>
      </c>
      <c r="N10" s="33"/>
      <c r="O10" s="33">
        <f t="shared" si="4"/>
        <v>10000</v>
      </c>
      <c r="P10" s="41">
        <v>0.24</v>
      </c>
      <c r="Q10" s="37">
        <f t="shared" si="0"/>
        <v>240</v>
      </c>
      <c r="R10" s="55"/>
      <c r="S10" s="59">
        <f t="shared" si="1"/>
        <v>6291</v>
      </c>
      <c r="T10" s="61">
        <f t="shared" si="2"/>
        <v>6291000</v>
      </c>
      <c r="U10" s="33" t="s">
        <v>483</v>
      </c>
      <c r="V10" s="32"/>
      <c r="W10" s="4"/>
      <c r="X10" s="4"/>
    </row>
    <row r="11" spans="1:24" x14ac:dyDescent="0.25">
      <c r="A11" s="3">
        <v>10</v>
      </c>
      <c r="B11" s="3">
        <v>1</v>
      </c>
      <c r="C11" s="4" t="s">
        <v>50</v>
      </c>
      <c r="D11" s="4" t="s">
        <v>51</v>
      </c>
      <c r="E11" s="4" t="s">
        <v>46</v>
      </c>
      <c r="F11" s="4" t="s">
        <v>52</v>
      </c>
      <c r="G11" s="32" t="s">
        <v>48</v>
      </c>
      <c r="H11" s="113" t="s">
        <v>53</v>
      </c>
      <c r="I11" s="32"/>
      <c r="J11" s="32"/>
      <c r="K11" s="32"/>
      <c r="L11" s="32"/>
      <c r="M11" s="33">
        <f t="shared" si="3"/>
        <v>1000</v>
      </c>
      <c r="N11" s="33"/>
      <c r="O11" s="33">
        <f t="shared" si="4"/>
        <v>10000</v>
      </c>
      <c r="P11" s="41">
        <v>0.24</v>
      </c>
      <c r="Q11" s="37">
        <f t="shared" si="0"/>
        <v>240</v>
      </c>
      <c r="R11" s="55"/>
      <c r="S11" s="59">
        <f t="shared" si="1"/>
        <v>6291</v>
      </c>
      <c r="T11" s="61">
        <f t="shared" si="2"/>
        <v>6291000</v>
      </c>
      <c r="U11" s="33" t="s">
        <v>483</v>
      </c>
      <c r="V11" s="32"/>
      <c r="W11" s="4"/>
      <c r="X11" s="4"/>
    </row>
    <row r="12" spans="1:24" x14ac:dyDescent="0.25">
      <c r="A12" s="3">
        <v>11</v>
      </c>
      <c r="B12" s="3">
        <v>1</v>
      </c>
      <c r="C12" s="4" t="s">
        <v>54</v>
      </c>
      <c r="D12" s="4" t="s">
        <v>55</v>
      </c>
      <c r="E12" s="4" t="s">
        <v>46</v>
      </c>
      <c r="F12" s="4" t="s">
        <v>56</v>
      </c>
      <c r="G12" s="32" t="s">
        <v>48</v>
      </c>
      <c r="H12" s="113" t="s">
        <v>57</v>
      </c>
      <c r="I12" s="32"/>
      <c r="J12" s="32"/>
      <c r="K12" s="32"/>
      <c r="L12" s="32"/>
      <c r="M12" s="33">
        <f t="shared" si="3"/>
        <v>1000</v>
      </c>
      <c r="N12" s="33"/>
      <c r="O12" s="33">
        <f t="shared" si="4"/>
        <v>10000</v>
      </c>
      <c r="P12" s="41">
        <v>0.24</v>
      </c>
      <c r="Q12" s="37">
        <f t="shared" si="0"/>
        <v>240</v>
      </c>
      <c r="R12" s="55"/>
      <c r="S12" s="59">
        <f t="shared" si="1"/>
        <v>6291</v>
      </c>
      <c r="T12" s="61">
        <f t="shared" si="2"/>
        <v>6291000</v>
      </c>
      <c r="U12" s="33" t="s">
        <v>483</v>
      </c>
      <c r="V12" s="32"/>
      <c r="W12" s="4"/>
      <c r="X12" s="4"/>
    </row>
    <row r="13" spans="1:24" x14ac:dyDescent="0.25">
      <c r="A13" s="3">
        <v>12</v>
      </c>
      <c r="B13" s="3">
        <v>2</v>
      </c>
      <c r="C13" s="4" t="s">
        <v>58</v>
      </c>
      <c r="D13" s="4" t="s">
        <v>59</v>
      </c>
      <c r="E13" s="4" t="s">
        <v>60</v>
      </c>
      <c r="F13" s="4" t="s">
        <v>61</v>
      </c>
      <c r="G13" s="32" t="s">
        <v>62</v>
      </c>
      <c r="H13" s="113" t="s">
        <v>59</v>
      </c>
      <c r="I13" s="32"/>
      <c r="J13" s="32"/>
      <c r="K13" s="32"/>
      <c r="L13" s="32"/>
      <c r="M13" s="33">
        <f t="shared" si="3"/>
        <v>2000</v>
      </c>
      <c r="N13" s="33"/>
      <c r="O13" s="33">
        <f t="shared" si="4"/>
        <v>20000</v>
      </c>
      <c r="P13" s="41">
        <v>0.29480000000000001</v>
      </c>
      <c r="Q13" s="37">
        <f t="shared" si="0"/>
        <v>589.6</v>
      </c>
      <c r="R13" s="55"/>
      <c r="S13" s="59">
        <f t="shared" si="1"/>
        <v>7727</v>
      </c>
      <c r="T13" s="61">
        <f t="shared" si="2"/>
        <v>15454000</v>
      </c>
      <c r="U13" s="33" t="s">
        <v>483</v>
      </c>
      <c r="V13" s="32"/>
      <c r="W13" s="4"/>
      <c r="X13" s="4"/>
    </row>
    <row r="14" spans="1:24" x14ac:dyDescent="0.25">
      <c r="A14" s="3">
        <v>13</v>
      </c>
      <c r="B14" s="3">
        <v>4</v>
      </c>
      <c r="C14" s="4" t="s">
        <v>63</v>
      </c>
      <c r="D14" s="4" t="s">
        <v>64</v>
      </c>
      <c r="E14" s="4" t="s">
        <v>65</v>
      </c>
      <c r="F14" s="4" t="s">
        <v>66</v>
      </c>
      <c r="G14" s="32" t="s">
        <v>67</v>
      </c>
      <c r="H14" s="113" t="s">
        <v>68</v>
      </c>
      <c r="I14" s="32"/>
      <c r="J14" s="32"/>
      <c r="K14" s="32"/>
      <c r="L14" s="32"/>
      <c r="M14" s="33">
        <f t="shared" si="3"/>
        <v>4000</v>
      </c>
      <c r="N14" s="33"/>
      <c r="O14" s="33">
        <f t="shared" si="4"/>
        <v>40000</v>
      </c>
      <c r="P14" s="41">
        <v>0.17100000000000001</v>
      </c>
      <c r="Q14" s="37">
        <f t="shared" si="0"/>
        <v>684</v>
      </c>
      <c r="R14" s="55"/>
      <c r="S14" s="59">
        <f t="shared" si="1"/>
        <v>4482</v>
      </c>
      <c r="T14" s="61">
        <f t="shared" si="2"/>
        <v>17928000</v>
      </c>
      <c r="U14" s="33" t="s">
        <v>483</v>
      </c>
      <c r="V14" s="32"/>
      <c r="W14" s="4"/>
      <c r="X14" s="4"/>
    </row>
    <row r="15" spans="1:24" x14ac:dyDescent="0.25">
      <c r="A15" s="3">
        <v>14</v>
      </c>
      <c r="B15" s="3">
        <v>1</v>
      </c>
      <c r="C15" s="4" t="s">
        <v>71</v>
      </c>
      <c r="D15" s="4" t="s">
        <v>72</v>
      </c>
      <c r="E15" s="4" t="s">
        <v>73</v>
      </c>
      <c r="F15" s="4" t="s">
        <v>74</v>
      </c>
      <c r="G15" s="32" t="s">
        <v>75</v>
      </c>
      <c r="H15" s="113" t="s">
        <v>72</v>
      </c>
      <c r="I15" s="32"/>
      <c r="J15" s="32"/>
      <c r="K15" s="32"/>
      <c r="L15" s="32"/>
      <c r="M15" s="33">
        <f t="shared" si="3"/>
        <v>1000</v>
      </c>
      <c r="N15" s="33"/>
      <c r="O15" s="33">
        <f t="shared" si="4"/>
        <v>10000</v>
      </c>
      <c r="P15" s="41">
        <v>0.497</v>
      </c>
      <c r="Q15" s="37">
        <f t="shared" si="0"/>
        <v>497</v>
      </c>
      <c r="R15" s="55">
        <v>0.15</v>
      </c>
      <c r="S15" s="59">
        <f t="shared" si="1"/>
        <v>14981</v>
      </c>
      <c r="T15" s="61">
        <f t="shared" si="2"/>
        <v>14981000</v>
      </c>
      <c r="U15" s="33" t="s">
        <v>483</v>
      </c>
      <c r="V15" s="32"/>
      <c r="W15" s="4"/>
      <c r="X15" s="4"/>
    </row>
    <row r="16" spans="1:24" x14ac:dyDescent="0.25">
      <c r="A16" s="3">
        <v>15</v>
      </c>
      <c r="B16" s="3">
        <v>1</v>
      </c>
      <c r="C16" s="4" t="s">
        <v>76</v>
      </c>
      <c r="D16" s="4" t="s">
        <v>77</v>
      </c>
      <c r="E16" s="4" t="s">
        <v>78</v>
      </c>
      <c r="F16" s="4" t="s">
        <v>79</v>
      </c>
      <c r="G16" s="32" t="s">
        <v>80</v>
      </c>
      <c r="H16" s="113" t="s">
        <v>81</v>
      </c>
      <c r="I16" s="32"/>
      <c r="J16" s="32"/>
      <c r="K16" s="32"/>
      <c r="L16" s="32"/>
      <c r="M16" s="33">
        <f t="shared" si="3"/>
        <v>1000</v>
      </c>
      <c r="N16" s="33"/>
      <c r="O16" s="33">
        <f t="shared" si="4"/>
        <v>10000</v>
      </c>
      <c r="P16" s="41">
        <v>1.423</v>
      </c>
      <c r="Q16" s="37">
        <f t="shared" si="0"/>
        <v>1423</v>
      </c>
      <c r="R16" s="55">
        <v>0.15</v>
      </c>
      <c r="S16" s="59">
        <f t="shared" si="1"/>
        <v>42894</v>
      </c>
      <c r="T16" s="61">
        <f t="shared" si="2"/>
        <v>42894000</v>
      </c>
      <c r="U16" s="33" t="s">
        <v>483</v>
      </c>
      <c r="V16" s="32"/>
      <c r="W16" s="4"/>
      <c r="X16" s="4"/>
    </row>
    <row r="17" spans="1:24" x14ac:dyDescent="0.25">
      <c r="A17" s="3">
        <v>16</v>
      </c>
      <c r="B17" s="3">
        <v>1</v>
      </c>
      <c r="C17" s="4" t="s">
        <v>82</v>
      </c>
      <c r="D17" s="4" t="s">
        <v>83</v>
      </c>
      <c r="E17" s="4" t="s">
        <v>84</v>
      </c>
      <c r="F17" s="4" t="s">
        <v>85</v>
      </c>
      <c r="G17" s="32" t="s">
        <v>80</v>
      </c>
      <c r="H17" s="113" t="s">
        <v>86</v>
      </c>
      <c r="I17" s="32"/>
      <c r="J17" s="32"/>
      <c r="K17" s="32"/>
      <c r="L17" s="32"/>
      <c r="M17" s="33">
        <f t="shared" si="3"/>
        <v>1000</v>
      </c>
      <c r="N17" s="33"/>
      <c r="O17" s="33">
        <f t="shared" si="4"/>
        <v>10000</v>
      </c>
      <c r="P17" s="41">
        <v>1.1990000000000001</v>
      </c>
      <c r="Q17" s="37">
        <f t="shared" si="0"/>
        <v>1199</v>
      </c>
      <c r="R17" s="55">
        <v>0.15</v>
      </c>
      <c r="S17" s="59">
        <f t="shared" si="1"/>
        <v>36142</v>
      </c>
      <c r="T17" s="61">
        <f t="shared" si="2"/>
        <v>36142000</v>
      </c>
      <c r="U17" s="33" t="s">
        <v>483</v>
      </c>
      <c r="V17" s="32"/>
      <c r="W17" s="4"/>
      <c r="X17" s="4"/>
    </row>
    <row r="18" spans="1:24" x14ac:dyDescent="0.25">
      <c r="A18" s="3">
        <v>17</v>
      </c>
      <c r="B18" s="3">
        <v>1</v>
      </c>
      <c r="C18" s="4" t="s">
        <v>87</v>
      </c>
      <c r="D18" s="4" t="s">
        <v>88</v>
      </c>
      <c r="E18" s="4" t="s">
        <v>89</v>
      </c>
      <c r="F18" s="4" t="s">
        <v>90</v>
      </c>
      <c r="G18" s="32" t="s">
        <v>91</v>
      </c>
      <c r="H18" s="113" t="s">
        <v>92</v>
      </c>
      <c r="I18" s="32"/>
      <c r="J18" s="32"/>
      <c r="K18" s="32"/>
      <c r="L18" s="32"/>
      <c r="M18" s="33">
        <f t="shared" si="3"/>
        <v>1000</v>
      </c>
      <c r="N18" s="33"/>
      <c r="O18" s="33">
        <f t="shared" si="4"/>
        <v>10000</v>
      </c>
      <c r="P18" s="41">
        <v>0.14899999999999999</v>
      </c>
      <c r="Q18" s="37">
        <f t="shared" si="0"/>
        <v>149</v>
      </c>
      <c r="R18" s="55">
        <v>0.15</v>
      </c>
      <c r="S18" s="59">
        <f t="shared" si="1"/>
        <v>4491</v>
      </c>
      <c r="T18" s="61">
        <f t="shared" si="2"/>
        <v>4491000</v>
      </c>
      <c r="U18" s="47" t="s">
        <v>484</v>
      </c>
      <c r="V18" s="32"/>
      <c r="W18" s="4"/>
      <c r="X18" s="4"/>
    </row>
    <row r="19" spans="1:24" x14ac:dyDescent="0.25">
      <c r="A19" s="3">
        <v>18</v>
      </c>
      <c r="B19" s="3">
        <v>4</v>
      </c>
      <c r="C19" s="4" t="s">
        <v>93</v>
      </c>
      <c r="D19" s="4" t="s">
        <v>94</v>
      </c>
      <c r="E19" s="4" t="s">
        <v>95</v>
      </c>
      <c r="F19" s="4" t="s">
        <v>96</v>
      </c>
      <c r="G19" s="32" t="s">
        <v>97</v>
      </c>
      <c r="H19" s="113" t="s">
        <v>94</v>
      </c>
      <c r="I19" s="32"/>
      <c r="J19" s="32"/>
      <c r="K19" s="32"/>
      <c r="L19" s="32"/>
      <c r="M19" s="33">
        <f t="shared" si="3"/>
        <v>4000</v>
      </c>
      <c r="N19" s="33"/>
      <c r="O19" s="33">
        <f t="shared" si="4"/>
        <v>40000</v>
      </c>
      <c r="P19" s="41">
        <v>0.308</v>
      </c>
      <c r="Q19" s="37">
        <f t="shared" si="0"/>
        <v>1232</v>
      </c>
      <c r="R19" s="55"/>
      <c r="S19" s="59">
        <f t="shared" si="1"/>
        <v>8073</v>
      </c>
      <c r="T19" s="61">
        <f t="shared" si="2"/>
        <v>32292000</v>
      </c>
      <c r="U19" s="33" t="s">
        <v>483</v>
      </c>
      <c r="V19" s="32"/>
      <c r="W19" s="4"/>
      <c r="X19" s="4"/>
    </row>
    <row r="20" spans="1:24" x14ac:dyDescent="0.25">
      <c r="A20" s="3">
        <v>19</v>
      </c>
      <c r="B20" s="3">
        <v>2</v>
      </c>
      <c r="C20" s="4" t="s">
        <v>98</v>
      </c>
      <c r="D20" s="4" t="s">
        <v>99</v>
      </c>
      <c r="E20" s="4" t="s">
        <v>100</v>
      </c>
      <c r="F20" s="4" t="s">
        <v>101</v>
      </c>
      <c r="G20" s="32" t="s">
        <v>102</v>
      </c>
      <c r="H20" s="113" t="s">
        <v>103</v>
      </c>
      <c r="I20" s="32"/>
      <c r="J20" s="32"/>
      <c r="K20" s="32"/>
      <c r="L20" s="32"/>
      <c r="M20" s="33">
        <f t="shared" si="3"/>
        <v>2000</v>
      </c>
      <c r="N20" s="33"/>
      <c r="O20" s="33">
        <f t="shared" si="4"/>
        <v>20000</v>
      </c>
      <c r="P20" s="41">
        <v>0.35120000000000001</v>
      </c>
      <c r="Q20" s="37">
        <f t="shared" si="0"/>
        <v>702.4</v>
      </c>
      <c r="R20" s="55">
        <v>0.15</v>
      </c>
      <c r="S20" s="59">
        <f t="shared" si="1"/>
        <v>10586</v>
      </c>
      <c r="T20" s="61">
        <f t="shared" si="2"/>
        <v>21172000</v>
      </c>
      <c r="U20" s="33" t="s">
        <v>483</v>
      </c>
      <c r="V20" s="32"/>
      <c r="W20" s="4"/>
      <c r="X20" s="4"/>
    </row>
    <row r="21" spans="1:24" x14ac:dyDescent="0.25">
      <c r="A21" s="3">
        <v>20</v>
      </c>
      <c r="B21" s="3">
        <v>1</v>
      </c>
      <c r="C21" s="4" t="s">
        <v>104</v>
      </c>
      <c r="D21" s="4" t="s">
        <v>105</v>
      </c>
      <c r="E21" s="4" t="s">
        <v>106</v>
      </c>
      <c r="F21" s="4" t="s">
        <v>107</v>
      </c>
      <c r="G21" s="32" t="s">
        <v>108</v>
      </c>
      <c r="H21" s="113" t="s">
        <v>109</v>
      </c>
      <c r="I21" s="32"/>
      <c r="J21" s="32"/>
      <c r="K21" s="32"/>
      <c r="L21" s="32"/>
      <c r="M21" s="33">
        <f t="shared" si="3"/>
        <v>1000</v>
      </c>
      <c r="N21" s="33"/>
      <c r="O21" s="33">
        <f t="shared" si="4"/>
        <v>10000</v>
      </c>
      <c r="P21" s="41">
        <v>3.1920000000000002</v>
      </c>
      <c r="Q21" s="37">
        <f t="shared" si="0"/>
        <v>3192</v>
      </c>
      <c r="R21" s="55">
        <v>0.15</v>
      </c>
      <c r="S21" s="59">
        <f t="shared" si="1"/>
        <v>96217</v>
      </c>
      <c r="T21" s="61">
        <f t="shared" si="2"/>
        <v>96217000</v>
      </c>
      <c r="U21" s="33" t="s">
        <v>483</v>
      </c>
      <c r="V21" s="32"/>
      <c r="W21" s="4"/>
      <c r="X21" s="4"/>
    </row>
    <row r="22" spans="1:24" x14ac:dyDescent="0.25">
      <c r="A22" s="3">
        <v>21</v>
      </c>
      <c r="B22" s="3">
        <v>1</v>
      </c>
      <c r="C22" s="4" t="s">
        <v>110</v>
      </c>
      <c r="D22" s="4">
        <v>785260001</v>
      </c>
      <c r="E22" s="4" t="s">
        <v>111</v>
      </c>
      <c r="F22" s="4" t="s">
        <v>112</v>
      </c>
      <c r="G22" s="32" t="s">
        <v>113</v>
      </c>
      <c r="H22" s="113">
        <v>785260001</v>
      </c>
      <c r="I22" s="32"/>
      <c r="J22" s="32"/>
      <c r="K22" s="32"/>
      <c r="L22" s="32"/>
      <c r="M22" s="33">
        <f t="shared" si="3"/>
        <v>1000</v>
      </c>
      <c r="N22" s="33"/>
      <c r="O22" s="33">
        <f t="shared" si="4"/>
        <v>10000</v>
      </c>
      <c r="P22" s="41">
        <v>1.427</v>
      </c>
      <c r="Q22" s="37">
        <f t="shared" si="0"/>
        <v>1427</v>
      </c>
      <c r="R22" s="55">
        <v>0.15</v>
      </c>
      <c r="S22" s="59">
        <f t="shared" si="1"/>
        <v>43014</v>
      </c>
      <c r="T22" s="61">
        <f t="shared" si="2"/>
        <v>43014000</v>
      </c>
      <c r="U22" s="33" t="s">
        <v>483</v>
      </c>
      <c r="V22" s="32"/>
      <c r="W22" s="4"/>
      <c r="X22" s="4"/>
    </row>
    <row r="23" spans="1:24" x14ac:dyDescent="0.25">
      <c r="A23" s="3">
        <v>22</v>
      </c>
      <c r="B23" s="3">
        <v>1</v>
      </c>
      <c r="C23" s="4" t="s">
        <v>114</v>
      </c>
      <c r="D23" s="4" t="s">
        <v>115</v>
      </c>
      <c r="E23" s="4" t="s">
        <v>116</v>
      </c>
      <c r="F23" s="4" t="s">
        <v>117</v>
      </c>
      <c r="G23" s="32" t="s">
        <v>118</v>
      </c>
      <c r="H23" s="113" t="s">
        <v>115</v>
      </c>
      <c r="I23" s="32"/>
      <c r="J23" s="32"/>
      <c r="K23" s="32"/>
      <c r="L23" s="32"/>
      <c r="M23" s="33">
        <f t="shared" si="3"/>
        <v>1000</v>
      </c>
      <c r="N23" s="33"/>
      <c r="O23" s="33">
        <f t="shared" si="4"/>
        <v>10000</v>
      </c>
      <c r="P23" s="41">
        <v>0.14199999999999999</v>
      </c>
      <c r="Q23" s="37">
        <f t="shared" si="0"/>
        <v>142</v>
      </c>
      <c r="R23" s="55"/>
      <c r="S23" s="59">
        <f t="shared" si="1"/>
        <v>3722</v>
      </c>
      <c r="T23" s="61">
        <f t="shared" si="2"/>
        <v>3722000</v>
      </c>
      <c r="U23" s="33" t="s">
        <v>483</v>
      </c>
      <c r="V23" s="32"/>
      <c r="W23" s="4"/>
      <c r="X23" s="4"/>
    </row>
    <row r="24" spans="1:24" x14ac:dyDescent="0.25">
      <c r="A24" s="3">
        <v>23</v>
      </c>
      <c r="B24" s="3">
        <v>1</v>
      </c>
      <c r="C24" s="4" t="s">
        <v>119</v>
      </c>
      <c r="D24" s="4" t="s">
        <v>120</v>
      </c>
      <c r="E24" s="4" t="s">
        <v>121</v>
      </c>
      <c r="F24" s="4" t="s">
        <v>122</v>
      </c>
      <c r="G24" s="32" t="s">
        <v>118</v>
      </c>
      <c r="H24" s="113" t="s">
        <v>120</v>
      </c>
      <c r="I24" s="32"/>
      <c r="J24" s="32"/>
      <c r="K24" s="32"/>
      <c r="L24" s="32"/>
      <c r="M24" s="33">
        <f t="shared" si="3"/>
        <v>1000</v>
      </c>
      <c r="N24" s="33"/>
      <c r="O24" s="33">
        <f t="shared" si="4"/>
        <v>10000</v>
      </c>
      <c r="P24" s="41">
        <v>0.114</v>
      </c>
      <c r="Q24" s="37">
        <f t="shared" si="0"/>
        <v>114</v>
      </c>
      <c r="R24" s="55"/>
      <c r="S24" s="59">
        <f t="shared" si="1"/>
        <v>2988</v>
      </c>
      <c r="T24" s="61">
        <f t="shared" si="2"/>
        <v>2988000</v>
      </c>
      <c r="U24" s="33" t="s">
        <v>483</v>
      </c>
      <c r="V24" s="32"/>
      <c r="W24" s="4"/>
      <c r="X24" s="4"/>
    </row>
    <row r="25" spans="1:24" x14ac:dyDescent="0.25">
      <c r="A25" s="3">
        <v>24</v>
      </c>
      <c r="B25" s="3">
        <v>1</v>
      </c>
      <c r="C25" s="4" t="s">
        <v>123</v>
      </c>
      <c r="D25" s="4" t="s">
        <v>124</v>
      </c>
      <c r="E25" s="4" t="s">
        <v>125</v>
      </c>
      <c r="F25" s="4" t="s">
        <v>126</v>
      </c>
      <c r="G25" s="32" t="s">
        <v>127</v>
      </c>
      <c r="H25" s="113" t="s">
        <v>124</v>
      </c>
      <c r="I25" s="32"/>
      <c r="J25" s="32"/>
      <c r="K25" s="32"/>
      <c r="L25" s="32"/>
      <c r="M25" s="33">
        <f t="shared" si="3"/>
        <v>1000</v>
      </c>
      <c r="N25" s="33"/>
      <c r="O25" s="33">
        <f t="shared" si="4"/>
        <v>10000</v>
      </c>
      <c r="P25" s="41">
        <v>0.34200000000000003</v>
      </c>
      <c r="Q25" s="37">
        <f t="shared" si="0"/>
        <v>342</v>
      </c>
      <c r="R25" s="55"/>
      <c r="S25" s="59">
        <f t="shared" si="1"/>
        <v>8964</v>
      </c>
      <c r="T25" s="61">
        <f t="shared" si="2"/>
        <v>8964000</v>
      </c>
      <c r="U25" s="33" t="s">
        <v>483</v>
      </c>
      <c r="V25" s="32"/>
      <c r="W25" s="4"/>
      <c r="X25" s="4"/>
    </row>
    <row r="26" spans="1:24" x14ac:dyDescent="0.25">
      <c r="A26" s="3">
        <v>25</v>
      </c>
      <c r="B26" s="3">
        <v>2</v>
      </c>
      <c r="C26" s="4" t="s">
        <v>128</v>
      </c>
      <c r="D26" s="4" t="s">
        <v>129</v>
      </c>
      <c r="E26" s="4" t="s">
        <v>130</v>
      </c>
      <c r="F26" s="4" t="s">
        <v>131</v>
      </c>
      <c r="G26" s="32" t="s">
        <v>132</v>
      </c>
      <c r="H26" s="113" t="s">
        <v>129</v>
      </c>
      <c r="I26" s="32"/>
      <c r="J26" s="32"/>
      <c r="K26" s="32"/>
      <c r="L26" s="32"/>
      <c r="M26" s="33">
        <f t="shared" si="3"/>
        <v>2000</v>
      </c>
      <c r="N26" s="33"/>
      <c r="O26" s="33">
        <f t="shared" si="4"/>
        <v>20000</v>
      </c>
      <c r="P26" s="41">
        <v>0.26200000000000001</v>
      </c>
      <c r="Q26" s="37">
        <f t="shared" si="0"/>
        <v>524</v>
      </c>
      <c r="R26" s="55"/>
      <c r="S26" s="59">
        <f t="shared" si="1"/>
        <v>6867</v>
      </c>
      <c r="T26" s="61">
        <f t="shared" si="2"/>
        <v>13734000</v>
      </c>
      <c r="U26" s="33" t="s">
        <v>483</v>
      </c>
      <c r="V26" s="32"/>
      <c r="W26" s="4"/>
      <c r="X26" s="4"/>
    </row>
    <row r="27" spans="1:24" x14ac:dyDescent="0.25">
      <c r="A27" s="3">
        <v>26</v>
      </c>
      <c r="B27" s="3">
        <v>4</v>
      </c>
      <c r="C27" s="4" t="s">
        <v>133</v>
      </c>
      <c r="D27" s="4" t="s">
        <v>134</v>
      </c>
      <c r="E27" s="4" t="s">
        <v>135</v>
      </c>
      <c r="F27" s="4" t="s">
        <v>136</v>
      </c>
      <c r="G27" s="32" t="s">
        <v>137</v>
      </c>
      <c r="H27" s="113" t="s">
        <v>138</v>
      </c>
      <c r="I27" s="34" t="s">
        <v>139</v>
      </c>
      <c r="J27" s="34" t="s">
        <v>140</v>
      </c>
      <c r="K27" s="83" t="s">
        <v>498</v>
      </c>
      <c r="L27" s="83" t="s">
        <v>499</v>
      </c>
      <c r="M27" s="33">
        <f t="shared" si="3"/>
        <v>4000</v>
      </c>
      <c r="N27" s="33"/>
      <c r="O27" s="33">
        <f t="shared" si="4"/>
        <v>40000</v>
      </c>
      <c r="P27" s="42">
        <v>1.2999999999999999E-2</v>
      </c>
      <c r="Q27" s="38">
        <f t="shared" si="0"/>
        <v>52</v>
      </c>
      <c r="R27" s="56"/>
      <c r="S27" s="59">
        <f t="shared" si="1"/>
        <v>341</v>
      </c>
      <c r="T27" s="61">
        <f t="shared" si="2"/>
        <v>1364000</v>
      </c>
      <c r="U27" s="35" t="s">
        <v>483</v>
      </c>
      <c r="V27" s="32" t="s">
        <v>529</v>
      </c>
      <c r="W27" s="4"/>
      <c r="X27" s="4"/>
    </row>
    <row r="28" spans="1:24" x14ac:dyDescent="0.25">
      <c r="A28" s="3">
        <v>27</v>
      </c>
      <c r="B28" s="3">
        <v>3</v>
      </c>
      <c r="C28" s="4" t="s">
        <v>141</v>
      </c>
      <c r="D28" s="4" t="s">
        <v>142</v>
      </c>
      <c r="E28" s="4" t="s">
        <v>135</v>
      </c>
      <c r="F28" s="4" t="s">
        <v>143</v>
      </c>
      <c r="G28" s="32" t="s">
        <v>137</v>
      </c>
      <c r="H28" s="113" t="s">
        <v>144</v>
      </c>
      <c r="I28" s="34" t="s">
        <v>139</v>
      </c>
      <c r="J28" s="34" t="s">
        <v>145</v>
      </c>
      <c r="K28" s="83" t="s">
        <v>498</v>
      </c>
      <c r="L28" s="83" t="s">
        <v>500</v>
      </c>
      <c r="M28" s="33">
        <f t="shared" si="3"/>
        <v>3000</v>
      </c>
      <c r="N28" s="33"/>
      <c r="O28" s="33">
        <f t="shared" si="4"/>
        <v>30000</v>
      </c>
      <c r="P28" s="42">
        <v>1.2999999999999999E-2</v>
      </c>
      <c r="Q28" s="38">
        <f t="shared" si="0"/>
        <v>39</v>
      </c>
      <c r="R28" s="56"/>
      <c r="S28" s="59">
        <f t="shared" si="1"/>
        <v>341</v>
      </c>
      <c r="T28" s="61">
        <f t="shared" si="2"/>
        <v>1023000</v>
      </c>
      <c r="U28" s="35" t="s">
        <v>483</v>
      </c>
      <c r="V28" s="32" t="s">
        <v>529</v>
      </c>
      <c r="W28" s="33" t="s">
        <v>485</v>
      </c>
      <c r="X28" s="4"/>
    </row>
    <row r="29" spans="1:24" x14ac:dyDescent="0.25">
      <c r="A29" s="3">
        <v>28</v>
      </c>
      <c r="B29" s="3">
        <v>1</v>
      </c>
      <c r="C29" s="4" t="s">
        <v>146</v>
      </c>
      <c r="D29" s="4">
        <v>120</v>
      </c>
      <c r="E29" s="4" t="s">
        <v>147</v>
      </c>
      <c r="F29" s="4" t="s">
        <v>148</v>
      </c>
      <c r="G29" s="32" t="s">
        <v>139</v>
      </c>
      <c r="H29" s="113" t="s">
        <v>149</v>
      </c>
      <c r="I29" s="32"/>
      <c r="J29" s="32"/>
      <c r="K29" s="83" t="s">
        <v>498</v>
      </c>
      <c r="L29" s="83" t="s">
        <v>513</v>
      </c>
      <c r="M29" s="33">
        <f t="shared" si="3"/>
        <v>1000</v>
      </c>
      <c r="N29" s="33"/>
      <c r="O29" s="33">
        <f t="shared" si="4"/>
        <v>10000</v>
      </c>
      <c r="P29" s="41">
        <v>1.7000000000000001E-2</v>
      </c>
      <c r="Q29" s="37">
        <f t="shared" ref="Q29:Q41" si="5">M29*P29</f>
        <v>17</v>
      </c>
      <c r="R29" s="55"/>
      <c r="S29" s="59">
        <f t="shared" si="1"/>
        <v>446</v>
      </c>
      <c r="T29" s="61">
        <f t="shared" si="2"/>
        <v>446000</v>
      </c>
      <c r="U29" s="35" t="s">
        <v>483</v>
      </c>
      <c r="V29" s="32" t="s">
        <v>529</v>
      </c>
      <c r="W29" s="4"/>
      <c r="X29" s="4"/>
    </row>
    <row r="30" spans="1:24" x14ac:dyDescent="0.25">
      <c r="A30" s="3">
        <v>29</v>
      </c>
      <c r="B30" s="3">
        <v>5</v>
      </c>
      <c r="C30" s="4" t="s">
        <v>150</v>
      </c>
      <c r="D30" s="4" t="s">
        <v>151</v>
      </c>
      <c r="E30" s="4" t="s">
        <v>135</v>
      </c>
      <c r="F30" s="4" t="s">
        <v>152</v>
      </c>
      <c r="G30" s="32" t="s">
        <v>139</v>
      </c>
      <c r="H30" s="113" t="s">
        <v>153</v>
      </c>
      <c r="I30" s="32"/>
      <c r="J30" s="32"/>
      <c r="K30" s="83" t="s">
        <v>498</v>
      </c>
      <c r="L30" s="83" t="s">
        <v>501</v>
      </c>
      <c r="M30" s="33">
        <f t="shared" si="3"/>
        <v>5000</v>
      </c>
      <c r="N30" s="33"/>
      <c r="O30" s="33">
        <f t="shared" si="4"/>
        <v>50000</v>
      </c>
      <c r="P30" s="41">
        <v>1.2999999999999999E-2</v>
      </c>
      <c r="Q30" s="37">
        <f t="shared" si="5"/>
        <v>65</v>
      </c>
      <c r="R30" s="55"/>
      <c r="S30" s="59">
        <f t="shared" si="1"/>
        <v>341</v>
      </c>
      <c r="T30" s="61">
        <f t="shared" si="2"/>
        <v>1705000</v>
      </c>
      <c r="U30" s="35" t="s">
        <v>483</v>
      </c>
      <c r="V30" s="32" t="s">
        <v>529</v>
      </c>
      <c r="W30" s="4"/>
      <c r="X30" s="4"/>
    </row>
    <row r="31" spans="1:24" x14ac:dyDescent="0.25">
      <c r="A31" s="3">
        <v>30</v>
      </c>
      <c r="B31" s="3">
        <v>4</v>
      </c>
      <c r="C31" s="4" t="s">
        <v>154</v>
      </c>
      <c r="D31" s="4">
        <v>0</v>
      </c>
      <c r="E31" s="4" t="s">
        <v>135</v>
      </c>
      <c r="F31" s="4" t="s">
        <v>155</v>
      </c>
      <c r="G31" s="32" t="s">
        <v>137</v>
      </c>
      <c r="H31" s="113" t="s">
        <v>156</v>
      </c>
      <c r="I31" s="32"/>
      <c r="J31" s="32"/>
      <c r="K31" s="83" t="s">
        <v>498</v>
      </c>
      <c r="L31" s="83" t="s">
        <v>502</v>
      </c>
      <c r="M31" s="33">
        <f t="shared" si="3"/>
        <v>4000</v>
      </c>
      <c r="N31" s="33"/>
      <c r="O31" s="33">
        <f t="shared" si="4"/>
        <v>40000</v>
      </c>
      <c r="P31" s="41">
        <v>6.7999999999999996E-3</v>
      </c>
      <c r="Q31" s="37">
        <f t="shared" si="5"/>
        <v>27.2</v>
      </c>
      <c r="R31" s="55"/>
      <c r="S31" s="59">
        <f t="shared" si="1"/>
        <v>178</v>
      </c>
      <c r="T31" s="61">
        <f t="shared" si="2"/>
        <v>712000</v>
      </c>
      <c r="U31" s="35" t="s">
        <v>483</v>
      </c>
      <c r="V31" s="32" t="s">
        <v>529</v>
      </c>
      <c r="W31" s="4"/>
      <c r="X31" s="4"/>
    </row>
    <row r="32" spans="1:24" x14ac:dyDescent="0.25">
      <c r="A32" s="3">
        <v>31</v>
      </c>
      <c r="B32" s="3">
        <v>1</v>
      </c>
      <c r="C32" s="4" t="s">
        <v>157</v>
      </c>
      <c r="D32" s="4" t="s">
        <v>158</v>
      </c>
      <c r="E32" s="4" t="s">
        <v>135</v>
      </c>
      <c r="F32" s="4" t="s">
        <v>159</v>
      </c>
      <c r="G32" s="32" t="s">
        <v>137</v>
      </c>
      <c r="H32" s="113" t="s">
        <v>160</v>
      </c>
      <c r="I32" s="34" t="s">
        <v>139</v>
      </c>
      <c r="J32" s="34" t="s">
        <v>161</v>
      </c>
      <c r="K32" s="83" t="s">
        <v>498</v>
      </c>
      <c r="L32" s="83" t="s">
        <v>503</v>
      </c>
      <c r="M32" s="33">
        <f t="shared" si="3"/>
        <v>1000</v>
      </c>
      <c r="N32" s="33"/>
      <c r="O32" s="33">
        <f t="shared" si="4"/>
        <v>10000</v>
      </c>
      <c r="P32" s="42">
        <v>1.2999999999999999E-2</v>
      </c>
      <c r="Q32" s="38">
        <f t="shared" si="5"/>
        <v>13</v>
      </c>
      <c r="R32" s="56"/>
      <c r="S32" s="59">
        <f t="shared" si="1"/>
        <v>341</v>
      </c>
      <c r="T32" s="61">
        <f t="shared" si="2"/>
        <v>341000</v>
      </c>
      <c r="U32" s="35" t="s">
        <v>483</v>
      </c>
      <c r="V32" s="32" t="s">
        <v>529</v>
      </c>
      <c r="W32" s="4"/>
      <c r="X32" s="4"/>
    </row>
    <row r="33" spans="1:24" x14ac:dyDescent="0.25">
      <c r="A33" s="3">
        <v>32</v>
      </c>
      <c r="B33" s="3">
        <v>2</v>
      </c>
      <c r="C33" s="4" t="s">
        <v>162</v>
      </c>
      <c r="D33" s="4" t="s">
        <v>163</v>
      </c>
      <c r="E33" s="4" t="s">
        <v>135</v>
      </c>
      <c r="F33" s="4" t="s">
        <v>164</v>
      </c>
      <c r="G33" s="32" t="s">
        <v>137</v>
      </c>
      <c r="H33" s="113" t="s">
        <v>165</v>
      </c>
      <c r="I33" s="34" t="s">
        <v>139</v>
      </c>
      <c r="J33" s="34" t="s">
        <v>166</v>
      </c>
      <c r="K33" s="83" t="s">
        <v>498</v>
      </c>
      <c r="L33" s="83" t="s">
        <v>504</v>
      </c>
      <c r="M33" s="33">
        <f t="shared" si="3"/>
        <v>2000</v>
      </c>
      <c r="N33" s="33"/>
      <c r="O33" s="33">
        <f t="shared" si="4"/>
        <v>20000</v>
      </c>
      <c r="P33" s="42">
        <v>1.2999999999999999E-2</v>
      </c>
      <c r="Q33" s="38">
        <f t="shared" si="5"/>
        <v>26</v>
      </c>
      <c r="R33" s="56"/>
      <c r="S33" s="59">
        <f t="shared" si="1"/>
        <v>341</v>
      </c>
      <c r="T33" s="61">
        <f t="shared" si="2"/>
        <v>682000</v>
      </c>
      <c r="U33" s="35" t="s">
        <v>483</v>
      </c>
      <c r="V33" s="32" t="s">
        <v>529</v>
      </c>
      <c r="W33" s="4"/>
      <c r="X33" s="4"/>
    </row>
    <row r="34" spans="1:24" x14ac:dyDescent="0.25">
      <c r="A34" s="3">
        <v>33</v>
      </c>
      <c r="B34" s="3">
        <v>4</v>
      </c>
      <c r="C34" s="4" t="s">
        <v>167</v>
      </c>
      <c r="D34" s="4" t="s">
        <v>168</v>
      </c>
      <c r="E34" s="4" t="s">
        <v>147</v>
      </c>
      <c r="F34" s="4" t="s">
        <v>169</v>
      </c>
      <c r="G34" s="32" t="s">
        <v>139</v>
      </c>
      <c r="H34" s="113" t="s">
        <v>170</v>
      </c>
      <c r="I34" s="32"/>
      <c r="J34" s="32"/>
      <c r="K34" s="83" t="s">
        <v>498</v>
      </c>
      <c r="L34" s="83" t="s">
        <v>505</v>
      </c>
      <c r="M34" s="33">
        <f t="shared" si="3"/>
        <v>4000</v>
      </c>
      <c r="N34" s="33"/>
      <c r="O34" s="33">
        <f t="shared" si="4"/>
        <v>40000</v>
      </c>
      <c r="P34" s="41">
        <v>2.3E-2</v>
      </c>
      <c r="Q34" s="37">
        <f t="shared" si="5"/>
        <v>92</v>
      </c>
      <c r="R34" s="55"/>
      <c r="S34" s="59">
        <f t="shared" ref="S34:S55" si="6">ROUND(Q34*(1+$Q$59)*(1+R34)*(1+$Q$60)*$Q$61/M34,0)</f>
        <v>603</v>
      </c>
      <c r="T34" s="61">
        <f t="shared" ref="T34:T55" si="7">S34*M34</f>
        <v>2412000</v>
      </c>
      <c r="U34" s="35" t="s">
        <v>483</v>
      </c>
      <c r="V34" s="32" t="s">
        <v>529</v>
      </c>
      <c r="W34" s="4"/>
      <c r="X34" s="4"/>
    </row>
    <row r="35" spans="1:24" x14ac:dyDescent="0.25">
      <c r="A35" s="3">
        <v>34</v>
      </c>
      <c r="B35" s="3">
        <v>1</v>
      </c>
      <c r="C35" s="4" t="s">
        <v>171</v>
      </c>
      <c r="D35" s="4" t="s">
        <v>134</v>
      </c>
      <c r="E35" s="4" t="s">
        <v>147</v>
      </c>
      <c r="F35" s="4" t="s">
        <v>172</v>
      </c>
      <c r="G35" s="32" t="s">
        <v>139</v>
      </c>
      <c r="H35" s="113" t="s">
        <v>173</v>
      </c>
      <c r="I35" s="32"/>
      <c r="J35" s="32"/>
      <c r="K35" s="83" t="s">
        <v>498</v>
      </c>
      <c r="L35" s="83" t="s">
        <v>506</v>
      </c>
      <c r="M35" s="33">
        <f t="shared" si="3"/>
        <v>1000</v>
      </c>
      <c r="N35" s="33"/>
      <c r="O35" s="33">
        <f t="shared" si="4"/>
        <v>10000</v>
      </c>
      <c r="P35" s="41">
        <v>3.6999999999999998E-2</v>
      </c>
      <c r="Q35" s="37">
        <f t="shared" si="5"/>
        <v>37</v>
      </c>
      <c r="R35" s="55"/>
      <c r="S35" s="59">
        <f t="shared" si="6"/>
        <v>970</v>
      </c>
      <c r="T35" s="61">
        <f t="shared" si="7"/>
        <v>970000</v>
      </c>
      <c r="U35" s="35" t="s">
        <v>483</v>
      </c>
      <c r="V35" s="32" t="s">
        <v>529</v>
      </c>
      <c r="W35" s="4"/>
      <c r="X35" s="4"/>
    </row>
    <row r="36" spans="1:24" x14ac:dyDescent="0.25">
      <c r="A36" s="3">
        <v>35</v>
      </c>
      <c r="B36" s="3">
        <v>16</v>
      </c>
      <c r="C36" s="4" t="s">
        <v>174</v>
      </c>
      <c r="D36" s="4" t="s">
        <v>175</v>
      </c>
      <c r="E36" s="4" t="s">
        <v>147</v>
      </c>
      <c r="F36" s="4" t="s">
        <v>176</v>
      </c>
      <c r="G36" s="32" t="s">
        <v>139</v>
      </c>
      <c r="H36" s="113" t="s">
        <v>177</v>
      </c>
      <c r="I36" s="32"/>
      <c r="J36" s="32"/>
      <c r="K36" s="83" t="s">
        <v>498</v>
      </c>
      <c r="L36" s="83" t="s">
        <v>507</v>
      </c>
      <c r="M36" s="33">
        <f t="shared" si="3"/>
        <v>16000</v>
      </c>
      <c r="N36" s="33"/>
      <c r="O36" s="33">
        <f t="shared" si="4"/>
        <v>160000</v>
      </c>
      <c r="P36" s="41">
        <v>6.7000000000000002E-3</v>
      </c>
      <c r="Q36" s="37">
        <f t="shared" si="5"/>
        <v>107.2</v>
      </c>
      <c r="R36" s="55"/>
      <c r="S36" s="59">
        <f t="shared" si="6"/>
        <v>176</v>
      </c>
      <c r="T36" s="61">
        <f t="shared" si="7"/>
        <v>2816000</v>
      </c>
      <c r="U36" s="35" t="s">
        <v>483</v>
      </c>
      <c r="V36" s="32" t="s">
        <v>529</v>
      </c>
      <c r="W36" s="4"/>
      <c r="X36" s="4"/>
    </row>
    <row r="37" spans="1:24" x14ac:dyDescent="0.25">
      <c r="A37" s="3">
        <v>36</v>
      </c>
      <c r="B37" s="3">
        <v>2</v>
      </c>
      <c r="C37" s="4" t="s">
        <v>178</v>
      </c>
      <c r="D37" s="4">
        <v>100</v>
      </c>
      <c r="E37" s="4" t="s">
        <v>135</v>
      </c>
      <c r="F37" s="4" t="s">
        <v>179</v>
      </c>
      <c r="G37" s="32" t="s">
        <v>137</v>
      </c>
      <c r="H37" s="113" t="s">
        <v>180</v>
      </c>
      <c r="I37" s="34"/>
      <c r="J37" s="34"/>
      <c r="K37" s="83" t="s">
        <v>498</v>
      </c>
      <c r="L37" s="83" t="s">
        <v>508</v>
      </c>
      <c r="M37" s="33">
        <f t="shared" si="3"/>
        <v>2000</v>
      </c>
      <c r="N37" s="33"/>
      <c r="O37" s="33">
        <f t="shared" si="4"/>
        <v>20000</v>
      </c>
      <c r="P37" s="42">
        <v>1.2999999999999999E-2</v>
      </c>
      <c r="Q37" s="38">
        <f t="shared" si="5"/>
        <v>26</v>
      </c>
      <c r="R37" s="56"/>
      <c r="S37" s="59">
        <f t="shared" si="6"/>
        <v>341</v>
      </c>
      <c r="T37" s="61">
        <f t="shared" si="7"/>
        <v>682000</v>
      </c>
      <c r="U37" s="35" t="s">
        <v>483</v>
      </c>
      <c r="V37" s="32" t="s">
        <v>529</v>
      </c>
      <c r="W37" s="4"/>
      <c r="X37" s="4"/>
    </row>
    <row r="38" spans="1:24" x14ac:dyDescent="0.25">
      <c r="A38" s="3">
        <v>37</v>
      </c>
      <c r="B38" s="3">
        <v>1</v>
      </c>
      <c r="C38" s="4" t="s">
        <v>181</v>
      </c>
      <c r="D38" s="4" t="s">
        <v>158</v>
      </c>
      <c r="E38" s="4" t="s">
        <v>135</v>
      </c>
      <c r="F38" s="4" t="s">
        <v>182</v>
      </c>
      <c r="G38" s="32" t="s">
        <v>137</v>
      </c>
      <c r="H38" s="113" t="s">
        <v>183</v>
      </c>
      <c r="I38" s="32" t="s">
        <v>139</v>
      </c>
      <c r="J38" s="32" t="s">
        <v>184</v>
      </c>
      <c r="K38" s="83" t="s">
        <v>509</v>
      </c>
      <c r="L38" s="83" t="s">
        <v>510</v>
      </c>
      <c r="M38" s="33">
        <f t="shared" si="3"/>
        <v>1000</v>
      </c>
      <c r="N38" s="33"/>
      <c r="O38" s="33">
        <f t="shared" si="4"/>
        <v>10000</v>
      </c>
      <c r="P38" s="41">
        <v>2.5000000000000001E-2</v>
      </c>
      <c r="Q38" s="37">
        <f t="shared" si="5"/>
        <v>25</v>
      </c>
      <c r="R38" s="55"/>
      <c r="S38" s="59">
        <f t="shared" si="6"/>
        <v>655</v>
      </c>
      <c r="T38" s="61">
        <f t="shared" si="7"/>
        <v>655000</v>
      </c>
      <c r="U38" s="35" t="s">
        <v>483</v>
      </c>
      <c r="V38" s="32" t="s">
        <v>529</v>
      </c>
      <c r="W38" s="4"/>
      <c r="X38" s="4"/>
    </row>
    <row r="39" spans="1:24" x14ac:dyDescent="0.25">
      <c r="A39" s="3">
        <v>38</v>
      </c>
      <c r="B39" s="3">
        <v>1</v>
      </c>
      <c r="C39" s="4" t="s">
        <v>185</v>
      </c>
      <c r="D39" s="4" t="s">
        <v>186</v>
      </c>
      <c r="E39" s="4" t="s">
        <v>135</v>
      </c>
      <c r="F39" s="4" t="s">
        <v>187</v>
      </c>
      <c r="G39" s="32" t="s">
        <v>188</v>
      </c>
      <c r="H39" s="113" t="s">
        <v>189</v>
      </c>
      <c r="I39" s="32"/>
      <c r="J39" s="32"/>
      <c r="K39" s="83" t="s">
        <v>498</v>
      </c>
      <c r="L39" s="83" t="s">
        <v>511</v>
      </c>
      <c r="M39" s="33">
        <f t="shared" si="3"/>
        <v>1000</v>
      </c>
      <c r="N39" s="33"/>
      <c r="O39" s="33">
        <f t="shared" si="4"/>
        <v>10000</v>
      </c>
      <c r="P39" s="43">
        <v>1.7000000000000001E-2</v>
      </c>
      <c r="Q39" s="37">
        <f t="shared" si="5"/>
        <v>17</v>
      </c>
      <c r="R39" s="55"/>
      <c r="S39" s="59">
        <f t="shared" si="6"/>
        <v>446</v>
      </c>
      <c r="T39" s="61">
        <f t="shared" si="7"/>
        <v>446000</v>
      </c>
      <c r="U39" s="35" t="s">
        <v>483</v>
      </c>
      <c r="V39" s="32" t="s">
        <v>529</v>
      </c>
      <c r="W39" s="4"/>
      <c r="X39" s="4"/>
    </row>
    <row r="40" spans="1:24" x14ac:dyDescent="0.25">
      <c r="A40" s="3">
        <v>39</v>
      </c>
      <c r="B40" s="3">
        <v>1</v>
      </c>
      <c r="C40" s="4" t="s">
        <v>190</v>
      </c>
      <c r="D40" s="4" t="s">
        <v>191</v>
      </c>
      <c r="E40" s="4" t="s">
        <v>135</v>
      </c>
      <c r="F40" s="4" t="s">
        <v>192</v>
      </c>
      <c r="G40" s="32" t="s">
        <v>137</v>
      </c>
      <c r="H40" s="113" t="s">
        <v>193</v>
      </c>
      <c r="I40" s="32" t="s">
        <v>139</v>
      </c>
      <c r="J40" s="32" t="s">
        <v>194</v>
      </c>
      <c r="K40" s="83" t="s">
        <v>498</v>
      </c>
      <c r="L40" s="83" t="s">
        <v>512</v>
      </c>
      <c r="M40" s="33">
        <f t="shared" si="3"/>
        <v>1000</v>
      </c>
      <c r="N40" s="33"/>
      <c r="O40" s="33">
        <f t="shared" si="4"/>
        <v>10000</v>
      </c>
      <c r="P40" s="41">
        <v>1.7000000000000001E-2</v>
      </c>
      <c r="Q40" s="37">
        <f t="shared" si="5"/>
        <v>17</v>
      </c>
      <c r="R40" s="55"/>
      <c r="S40" s="59">
        <f t="shared" si="6"/>
        <v>446</v>
      </c>
      <c r="T40" s="61">
        <f t="shared" si="7"/>
        <v>446000</v>
      </c>
      <c r="U40" s="35" t="s">
        <v>483</v>
      </c>
      <c r="V40" s="32" t="s">
        <v>529</v>
      </c>
      <c r="W40" s="4"/>
      <c r="X40" s="4"/>
    </row>
    <row r="41" spans="1:24" x14ac:dyDescent="0.25">
      <c r="A41" s="3">
        <v>40</v>
      </c>
      <c r="B41" s="3">
        <v>2</v>
      </c>
      <c r="C41" s="4" t="s">
        <v>195</v>
      </c>
      <c r="D41" s="4" t="s">
        <v>168</v>
      </c>
      <c r="E41" s="4" t="s">
        <v>135</v>
      </c>
      <c r="F41" s="4" t="s">
        <v>196</v>
      </c>
      <c r="G41" s="32" t="s">
        <v>137</v>
      </c>
      <c r="H41" s="113" t="s">
        <v>197</v>
      </c>
      <c r="I41" s="32" t="s">
        <v>139</v>
      </c>
      <c r="J41" s="32" t="s">
        <v>198</v>
      </c>
      <c r="K41" s="90" t="s">
        <v>532</v>
      </c>
      <c r="L41" s="90" t="s">
        <v>533</v>
      </c>
      <c r="M41" s="33">
        <f t="shared" si="3"/>
        <v>2000</v>
      </c>
      <c r="N41" s="33"/>
      <c r="O41" s="33">
        <f t="shared" si="4"/>
        <v>20000</v>
      </c>
      <c r="P41" s="92"/>
      <c r="Q41" s="37">
        <f t="shared" si="5"/>
        <v>0</v>
      </c>
      <c r="R41" s="55"/>
      <c r="S41" s="59">
        <f t="shared" si="6"/>
        <v>0</v>
      </c>
      <c r="T41" s="61">
        <f t="shared" si="7"/>
        <v>0</v>
      </c>
      <c r="U41" s="35" t="s">
        <v>483</v>
      </c>
      <c r="V41" s="32" t="s">
        <v>529</v>
      </c>
      <c r="W41" s="4"/>
      <c r="X41" s="4"/>
    </row>
    <row r="42" spans="1:24" x14ac:dyDescent="0.25">
      <c r="A42" s="3">
        <v>41</v>
      </c>
      <c r="B42" s="3">
        <v>2</v>
      </c>
      <c r="C42" s="4" t="s">
        <v>199</v>
      </c>
      <c r="D42" s="4" t="s">
        <v>200</v>
      </c>
      <c r="E42" s="4" t="s">
        <v>200</v>
      </c>
      <c r="F42" s="4" t="s">
        <v>201</v>
      </c>
      <c r="G42" s="32" t="s">
        <v>202</v>
      </c>
      <c r="H42" s="113" t="s">
        <v>200</v>
      </c>
      <c r="I42" s="32"/>
      <c r="J42" s="32"/>
      <c r="K42" s="32"/>
      <c r="L42" s="32"/>
      <c r="M42" s="33">
        <f t="shared" si="3"/>
        <v>2000</v>
      </c>
      <c r="N42" s="33"/>
      <c r="O42" s="33">
        <f t="shared" si="4"/>
        <v>20000</v>
      </c>
      <c r="P42" s="41">
        <v>0.28079999999999999</v>
      </c>
      <c r="Q42" s="37">
        <f t="shared" ref="Q42:Q55" si="8">M42*P42</f>
        <v>561.6</v>
      </c>
      <c r="R42" s="55">
        <v>0.25</v>
      </c>
      <c r="S42" s="59">
        <f t="shared" si="6"/>
        <v>9200</v>
      </c>
      <c r="T42" s="61">
        <f t="shared" si="7"/>
        <v>18400000</v>
      </c>
      <c r="U42" s="33" t="s">
        <v>483</v>
      </c>
      <c r="V42" s="32"/>
      <c r="W42" s="4"/>
      <c r="X42" s="4"/>
    </row>
    <row r="43" spans="1:24" x14ac:dyDescent="0.25">
      <c r="A43" s="3">
        <v>42</v>
      </c>
      <c r="B43" s="3">
        <v>4</v>
      </c>
      <c r="C43" s="4" t="s">
        <v>203</v>
      </c>
      <c r="D43" s="4" t="s">
        <v>204</v>
      </c>
      <c r="E43" s="4" t="s">
        <v>205</v>
      </c>
      <c r="F43" s="4" t="s">
        <v>206</v>
      </c>
      <c r="G43" s="32" t="s">
        <v>62</v>
      </c>
      <c r="H43" s="113" t="s">
        <v>204</v>
      </c>
      <c r="I43" s="32"/>
      <c r="J43" s="32"/>
      <c r="K43" s="32"/>
      <c r="L43" s="32"/>
      <c r="M43" s="33">
        <f t="shared" si="3"/>
        <v>4000</v>
      </c>
      <c r="N43" s="33"/>
      <c r="O43" s="33">
        <f t="shared" si="4"/>
        <v>40000</v>
      </c>
      <c r="P43" s="41">
        <v>0.30559999999999998</v>
      </c>
      <c r="Q43" s="37">
        <f t="shared" si="8"/>
        <v>1222.3999999999999</v>
      </c>
      <c r="R43" s="55"/>
      <c r="S43" s="59">
        <f t="shared" si="6"/>
        <v>8010</v>
      </c>
      <c r="T43" s="61">
        <f t="shared" si="7"/>
        <v>32040000</v>
      </c>
      <c r="U43" s="33" t="s">
        <v>483</v>
      </c>
      <c r="V43" s="32"/>
      <c r="W43" s="4"/>
      <c r="X43" s="4"/>
    </row>
    <row r="44" spans="1:24" x14ac:dyDescent="0.25">
      <c r="A44" s="3">
        <v>43</v>
      </c>
      <c r="B44" s="3">
        <v>1</v>
      </c>
      <c r="C44" s="4" t="s">
        <v>207</v>
      </c>
      <c r="D44" s="4" t="s">
        <v>208</v>
      </c>
      <c r="E44" s="4" t="s">
        <v>209</v>
      </c>
      <c r="F44" s="4" t="s">
        <v>210</v>
      </c>
      <c r="G44" s="32" t="s">
        <v>70</v>
      </c>
      <c r="H44" s="113" t="s">
        <v>208</v>
      </c>
      <c r="I44" s="32"/>
      <c r="J44" s="32"/>
      <c r="K44" s="32"/>
      <c r="L44" s="32"/>
      <c r="M44" s="33">
        <f t="shared" si="3"/>
        <v>1000</v>
      </c>
      <c r="N44" s="33"/>
      <c r="O44" s="33">
        <f t="shared" si="4"/>
        <v>10000</v>
      </c>
      <c r="P44" s="41">
        <v>0.318</v>
      </c>
      <c r="Q44" s="37">
        <f t="shared" si="8"/>
        <v>318</v>
      </c>
      <c r="R44" s="55"/>
      <c r="S44" s="59">
        <f t="shared" si="6"/>
        <v>8335</v>
      </c>
      <c r="T44" s="61">
        <f t="shared" si="7"/>
        <v>8335000</v>
      </c>
      <c r="U44" s="33" t="s">
        <v>483</v>
      </c>
      <c r="V44" s="32"/>
      <c r="W44" s="4"/>
      <c r="X44" s="4"/>
    </row>
    <row r="45" spans="1:24" x14ac:dyDescent="0.25">
      <c r="A45" s="3">
        <v>44</v>
      </c>
      <c r="B45" s="3">
        <v>1</v>
      </c>
      <c r="C45" s="4" t="s">
        <v>211</v>
      </c>
      <c r="D45" s="4" t="s">
        <v>212</v>
      </c>
      <c r="E45" s="4" t="s">
        <v>213</v>
      </c>
      <c r="F45" s="4" t="s">
        <v>214</v>
      </c>
      <c r="G45" s="32" t="s">
        <v>70</v>
      </c>
      <c r="H45" s="113" t="s">
        <v>212</v>
      </c>
      <c r="I45" s="32"/>
      <c r="J45" s="32"/>
      <c r="K45" s="32"/>
      <c r="L45" s="32"/>
      <c r="M45" s="33">
        <f t="shared" si="3"/>
        <v>1000</v>
      </c>
      <c r="N45" s="33"/>
      <c r="O45" s="33">
        <f t="shared" si="4"/>
        <v>10000</v>
      </c>
      <c r="P45" s="41">
        <v>0.1363</v>
      </c>
      <c r="Q45" s="37">
        <f t="shared" si="8"/>
        <v>136.30000000000001</v>
      </c>
      <c r="R45" s="55"/>
      <c r="S45" s="59">
        <f t="shared" si="6"/>
        <v>3573</v>
      </c>
      <c r="T45" s="61">
        <f t="shared" si="7"/>
        <v>3573000</v>
      </c>
      <c r="U45" s="33" t="s">
        <v>486</v>
      </c>
      <c r="V45" s="32"/>
      <c r="W45" s="4"/>
      <c r="X45" s="4"/>
    </row>
    <row r="46" spans="1:24" x14ac:dyDescent="0.25">
      <c r="A46" s="10">
        <v>45</v>
      </c>
      <c r="B46" s="10">
        <v>1</v>
      </c>
      <c r="C46" s="11" t="s">
        <v>215</v>
      </c>
      <c r="D46" s="11" t="s">
        <v>216</v>
      </c>
      <c r="E46" s="11" t="s">
        <v>217</v>
      </c>
      <c r="F46" s="11" t="s">
        <v>218</v>
      </c>
      <c r="G46" s="36" t="s">
        <v>219</v>
      </c>
      <c r="H46" s="113" t="s">
        <v>457</v>
      </c>
      <c r="I46" s="36"/>
      <c r="J46" s="36"/>
      <c r="K46" s="36"/>
      <c r="L46" s="36"/>
      <c r="M46" s="33">
        <f t="shared" si="3"/>
        <v>1000</v>
      </c>
      <c r="N46" s="33"/>
      <c r="O46" s="33">
        <f t="shared" si="4"/>
        <v>10000</v>
      </c>
      <c r="P46" s="41">
        <v>10.565</v>
      </c>
      <c r="Q46" s="37">
        <f t="shared" si="8"/>
        <v>10565</v>
      </c>
      <c r="R46" s="55"/>
      <c r="S46" s="59">
        <f t="shared" si="6"/>
        <v>276923</v>
      </c>
      <c r="T46" s="61">
        <f t="shared" si="7"/>
        <v>276923000</v>
      </c>
      <c r="U46" s="33" t="s">
        <v>483</v>
      </c>
      <c r="V46" s="34" t="s">
        <v>458</v>
      </c>
      <c r="W46" s="4"/>
      <c r="X46" s="4"/>
    </row>
    <row r="47" spans="1:24" x14ac:dyDescent="0.25">
      <c r="A47" s="3">
        <v>46</v>
      </c>
      <c r="B47" s="3">
        <v>1</v>
      </c>
      <c r="C47" s="4" t="s">
        <v>220</v>
      </c>
      <c r="D47" s="4" t="s">
        <v>221</v>
      </c>
      <c r="E47" s="4" t="s">
        <v>222</v>
      </c>
      <c r="F47" s="4" t="s">
        <v>223</v>
      </c>
      <c r="G47" s="32" t="s">
        <v>224</v>
      </c>
      <c r="H47" s="113" t="s">
        <v>221</v>
      </c>
      <c r="I47" s="32"/>
      <c r="J47" s="32"/>
      <c r="K47" s="32"/>
      <c r="L47" s="32"/>
      <c r="M47" s="33">
        <f t="shared" si="3"/>
        <v>1000</v>
      </c>
      <c r="N47" s="33"/>
      <c r="O47" s="33">
        <f t="shared" si="4"/>
        <v>10000</v>
      </c>
      <c r="P47" s="41">
        <v>3.3660000000000001</v>
      </c>
      <c r="Q47" s="37">
        <f t="shared" si="8"/>
        <v>3366</v>
      </c>
      <c r="R47" s="55"/>
      <c r="S47" s="59">
        <f t="shared" si="6"/>
        <v>88227</v>
      </c>
      <c r="T47" s="61">
        <f t="shared" si="7"/>
        <v>88227000</v>
      </c>
      <c r="U47" s="33" t="s">
        <v>483</v>
      </c>
      <c r="V47" s="32"/>
      <c r="W47" s="4"/>
      <c r="X47" s="4"/>
    </row>
    <row r="48" spans="1:24" x14ac:dyDescent="0.25">
      <c r="A48" s="3">
        <v>47</v>
      </c>
      <c r="B48" s="3">
        <v>1</v>
      </c>
      <c r="C48" s="4" t="s">
        <v>225</v>
      </c>
      <c r="D48" s="4" t="s">
        <v>226</v>
      </c>
      <c r="E48" s="4" t="s">
        <v>227</v>
      </c>
      <c r="F48" s="4" t="s">
        <v>228</v>
      </c>
      <c r="G48" s="32" t="s">
        <v>219</v>
      </c>
      <c r="H48" s="113" t="s">
        <v>226</v>
      </c>
      <c r="I48" s="32"/>
      <c r="J48" s="32"/>
      <c r="K48" s="32"/>
      <c r="L48" s="32"/>
      <c r="M48" s="33">
        <f t="shared" si="3"/>
        <v>1000</v>
      </c>
      <c r="N48" s="33"/>
      <c r="O48" s="33">
        <f t="shared" si="4"/>
        <v>10000</v>
      </c>
      <c r="P48" s="41">
        <v>1.0760000000000001</v>
      </c>
      <c r="Q48" s="37">
        <f t="shared" si="8"/>
        <v>1076</v>
      </c>
      <c r="R48" s="55"/>
      <c r="S48" s="59">
        <f t="shared" si="6"/>
        <v>28203</v>
      </c>
      <c r="T48" s="61">
        <f t="shared" si="7"/>
        <v>28203000</v>
      </c>
      <c r="U48" s="33" t="s">
        <v>483</v>
      </c>
      <c r="V48" s="32"/>
      <c r="W48" s="4"/>
      <c r="X48" s="4"/>
    </row>
    <row r="49" spans="1:24" x14ac:dyDescent="0.25">
      <c r="A49" s="3">
        <v>48</v>
      </c>
      <c r="B49" s="3">
        <v>1</v>
      </c>
      <c r="C49" s="4" t="s">
        <v>229</v>
      </c>
      <c r="D49" s="4" t="s">
        <v>230</v>
      </c>
      <c r="E49" s="4" t="s">
        <v>231</v>
      </c>
      <c r="F49" s="4" t="s">
        <v>232</v>
      </c>
      <c r="G49" s="32" t="s">
        <v>233</v>
      </c>
      <c r="H49" s="113" t="s">
        <v>230</v>
      </c>
      <c r="I49" s="32"/>
      <c r="J49" s="32"/>
      <c r="K49" s="32"/>
      <c r="L49" s="32"/>
      <c r="M49" s="33">
        <f t="shared" si="3"/>
        <v>1000</v>
      </c>
      <c r="N49" s="33"/>
      <c r="O49" s="33">
        <f t="shared" si="4"/>
        <v>10000</v>
      </c>
      <c r="P49" s="41">
        <v>1.74</v>
      </c>
      <c r="Q49" s="37">
        <f t="shared" si="8"/>
        <v>1740</v>
      </c>
      <c r="R49" s="55"/>
      <c r="S49" s="59">
        <f t="shared" si="6"/>
        <v>45608</v>
      </c>
      <c r="T49" s="61">
        <f t="shared" si="7"/>
        <v>45608000</v>
      </c>
      <c r="U49" s="33" t="s">
        <v>483</v>
      </c>
      <c r="V49" s="32"/>
      <c r="W49" s="4"/>
      <c r="X49" s="4"/>
    </row>
    <row r="50" spans="1:24" x14ac:dyDescent="0.25">
      <c r="A50" s="3">
        <v>49</v>
      </c>
      <c r="B50" s="3">
        <v>1</v>
      </c>
      <c r="C50" s="4" t="s">
        <v>234</v>
      </c>
      <c r="D50" s="4" t="s">
        <v>235</v>
      </c>
      <c r="E50" s="4" t="s">
        <v>236</v>
      </c>
      <c r="F50" s="31" t="s">
        <v>237</v>
      </c>
      <c r="G50" s="34" t="s">
        <v>238</v>
      </c>
      <c r="H50" s="113" t="s">
        <v>235</v>
      </c>
      <c r="I50" s="34"/>
      <c r="J50" s="34"/>
      <c r="K50" s="34"/>
      <c r="L50" s="34"/>
      <c r="M50" s="33">
        <f t="shared" si="3"/>
        <v>1000</v>
      </c>
      <c r="N50" s="33"/>
      <c r="O50" s="33">
        <f t="shared" si="4"/>
        <v>10000</v>
      </c>
      <c r="P50" s="44"/>
      <c r="Q50" s="38">
        <f t="shared" si="8"/>
        <v>0</v>
      </c>
      <c r="R50" s="56"/>
      <c r="S50" s="59">
        <f t="shared" si="6"/>
        <v>0</v>
      </c>
      <c r="T50" s="61">
        <f t="shared" si="7"/>
        <v>0</v>
      </c>
      <c r="U50" s="35"/>
      <c r="W50" s="4"/>
      <c r="X50" s="34" t="s">
        <v>528</v>
      </c>
    </row>
    <row r="51" spans="1:24" x14ac:dyDescent="0.25">
      <c r="A51" s="3">
        <v>50</v>
      </c>
      <c r="B51" s="3">
        <v>2</v>
      </c>
      <c r="C51" s="4" t="s">
        <v>239</v>
      </c>
      <c r="D51" s="4" t="s">
        <v>240</v>
      </c>
      <c r="E51" s="4" t="s">
        <v>241</v>
      </c>
      <c r="F51" s="4" t="s">
        <v>242</v>
      </c>
      <c r="G51" s="32" t="s">
        <v>243</v>
      </c>
      <c r="H51" s="113" t="s">
        <v>240</v>
      </c>
      <c r="I51" s="32"/>
      <c r="J51" s="32"/>
      <c r="K51" s="32"/>
      <c r="L51" s="32"/>
      <c r="M51" s="33">
        <f t="shared" si="3"/>
        <v>2000</v>
      </c>
      <c r="N51" s="33"/>
      <c r="O51" s="33">
        <f t="shared" si="4"/>
        <v>20000</v>
      </c>
      <c r="P51" s="41">
        <v>0.70399999999999996</v>
      </c>
      <c r="Q51" s="37">
        <f t="shared" si="8"/>
        <v>1408</v>
      </c>
      <c r="R51" s="55"/>
      <c r="S51" s="59">
        <f t="shared" si="6"/>
        <v>18453</v>
      </c>
      <c r="T51" s="61">
        <f t="shared" si="7"/>
        <v>36906000</v>
      </c>
      <c r="U51" s="33" t="s">
        <v>483</v>
      </c>
      <c r="V51" s="32"/>
      <c r="W51" s="4"/>
      <c r="X51" s="4"/>
    </row>
    <row r="52" spans="1:24" x14ac:dyDescent="0.25">
      <c r="A52" s="3">
        <v>51</v>
      </c>
      <c r="B52" s="3">
        <v>1</v>
      </c>
      <c r="C52" s="4" t="s">
        <v>244</v>
      </c>
      <c r="D52" s="4" t="s">
        <v>245</v>
      </c>
      <c r="E52" s="4" t="s">
        <v>246</v>
      </c>
      <c r="F52" s="4" t="s">
        <v>247</v>
      </c>
      <c r="G52" s="32" t="s">
        <v>248</v>
      </c>
      <c r="H52" s="113" t="s">
        <v>245</v>
      </c>
      <c r="I52" s="32"/>
      <c r="J52" s="32"/>
      <c r="K52" s="32"/>
      <c r="L52" s="32"/>
      <c r="M52" s="33">
        <f t="shared" si="3"/>
        <v>1000</v>
      </c>
      <c r="N52" s="33"/>
      <c r="O52" s="33">
        <f t="shared" si="4"/>
        <v>10000</v>
      </c>
      <c r="P52" s="41">
        <v>2.33</v>
      </c>
      <c r="Q52" s="37">
        <f t="shared" si="8"/>
        <v>2330</v>
      </c>
      <c r="R52" s="55"/>
      <c r="S52" s="59">
        <f t="shared" si="6"/>
        <v>61072</v>
      </c>
      <c r="T52" s="61">
        <f t="shared" si="7"/>
        <v>61072000</v>
      </c>
      <c r="U52" s="47" t="s">
        <v>484</v>
      </c>
      <c r="V52" s="4"/>
      <c r="W52" s="4"/>
      <c r="X52" s="4"/>
    </row>
    <row r="53" spans="1:24" x14ac:dyDescent="0.25">
      <c r="A53" s="3">
        <v>52</v>
      </c>
      <c r="B53" s="3">
        <v>1</v>
      </c>
      <c r="C53" s="4" t="s">
        <v>249</v>
      </c>
      <c r="D53" s="4" t="s">
        <v>250</v>
      </c>
      <c r="E53" s="4" t="s">
        <v>251</v>
      </c>
      <c r="F53" s="4" t="s">
        <v>252</v>
      </c>
      <c r="G53" s="32" t="s">
        <v>253</v>
      </c>
      <c r="H53" s="113" t="s">
        <v>250</v>
      </c>
      <c r="I53" s="32"/>
      <c r="J53" s="32"/>
      <c r="K53" s="32"/>
      <c r="L53" s="32"/>
      <c r="M53" s="33">
        <f t="shared" si="3"/>
        <v>1000</v>
      </c>
      <c r="N53" s="33"/>
      <c r="O53" s="33">
        <f t="shared" si="4"/>
        <v>10000</v>
      </c>
      <c r="P53" s="41">
        <v>0.63100000000000001</v>
      </c>
      <c r="Q53" s="37">
        <f t="shared" si="8"/>
        <v>631</v>
      </c>
      <c r="R53" s="55"/>
      <c r="S53" s="59">
        <f t="shared" si="6"/>
        <v>16539</v>
      </c>
      <c r="T53" s="61">
        <f t="shared" si="7"/>
        <v>16539000</v>
      </c>
      <c r="U53" s="33" t="s">
        <v>483</v>
      </c>
      <c r="V53" s="32"/>
      <c r="W53" s="4"/>
      <c r="X53" s="4"/>
    </row>
    <row r="54" spans="1:24" x14ac:dyDescent="0.25">
      <c r="A54" s="3">
        <v>53</v>
      </c>
      <c r="B54" s="3">
        <v>1</v>
      </c>
      <c r="C54" s="4" t="s">
        <v>254</v>
      </c>
      <c r="D54" s="4" t="s">
        <v>255</v>
      </c>
      <c r="E54" s="4" t="s">
        <v>256</v>
      </c>
      <c r="F54" s="4" t="s">
        <v>257</v>
      </c>
      <c r="G54" s="32" t="s">
        <v>258</v>
      </c>
      <c r="H54" s="113" t="s">
        <v>259</v>
      </c>
      <c r="I54" s="32"/>
      <c r="J54" s="32"/>
      <c r="K54" s="32"/>
      <c r="L54" s="32"/>
      <c r="M54" s="33">
        <f t="shared" si="3"/>
        <v>1000</v>
      </c>
      <c r="N54" s="33"/>
      <c r="O54" s="33">
        <f t="shared" si="4"/>
        <v>10000</v>
      </c>
      <c r="P54" s="41">
        <v>0.495</v>
      </c>
      <c r="Q54" s="37">
        <f t="shared" si="8"/>
        <v>495</v>
      </c>
      <c r="R54" s="55"/>
      <c r="S54" s="59">
        <f t="shared" si="6"/>
        <v>12975</v>
      </c>
      <c r="T54" s="61">
        <f t="shared" si="7"/>
        <v>12975000</v>
      </c>
      <c r="U54" s="33" t="s">
        <v>483</v>
      </c>
      <c r="V54" s="32"/>
      <c r="W54" s="4"/>
      <c r="X54" s="4"/>
    </row>
    <row r="55" spans="1:24" x14ac:dyDescent="0.25">
      <c r="A55" s="3">
        <v>54</v>
      </c>
      <c r="B55" s="3">
        <v>1</v>
      </c>
      <c r="C55" s="4" t="s">
        <v>260</v>
      </c>
      <c r="D55" s="4" t="s">
        <v>261</v>
      </c>
      <c r="E55" s="4" t="s">
        <v>262</v>
      </c>
      <c r="F55" s="4" t="s">
        <v>263</v>
      </c>
      <c r="G55" s="32" t="s">
        <v>264</v>
      </c>
      <c r="H55" s="113" t="s">
        <v>265</v>
      </c>
      <c r="I55" s="32"/>
      <c r="J55" s="32"/>
      <c r="K55" s="32"/>
      <c r="L55" s="32"/>
      <c r="M55" s="33">
        <f t="shared" si="3"/>
        <v>1000</v>
      </c>
      <c r="N55" s="33"/>
      <c r="O55" s="33">
        <f t="shared" si="4"/>
        <v>10000</v>
      </c>
      <c r="P55" s="41">
        <v>0.75900000000000001</v>
      </c>
      <c r="Q55" s="37">
        <f t="shared" si="8"/>
        <v>759</v>
      </c>
      <c r="R55" s="55"/>
      <c r="S55" s="59">
        <f t="shared" si="6"/>
        <v>19894</v>
      </c>
      <c r="T55" s="61">
        <f t="shared" si="7"/>
        <v>19894000</v>
      </c>
      <c r="U55" s="33" t="s">
        <v>483</v>
      </c>
      <c r="V55" s="32"/>
      <c r="W55" s="4"/>
      <c r="X55" s="4"/>
    </row>
    <row r="57" spans="1:24" x14ac:dyDescent="0.25">
      <c r="P57" s="28" t="s">
        <v>487</v>
      </c>
      <c r="Q57" s="46">
        <f>SUM(Q2:Q56)</f>
        <v>42265.899999999994</v>
      </c>
      <c r="T57" s="63">
        <f>SUM(T2:T56)</f>
        <v>1145306000</v>
      </c>
    </row>
    <row r="58" spans="1:24" x14ac:dyDescent="0.25">
      <c r="P58" s="28" t="s">
        <v>488</v>
      </c>
      <c r="Q58" s="45">
        <f>120*3</f>
        <v>360</v>
      </c>
      <c r="T58" s="63">
        <f>T57*0.1</f>
        <v>114530600</v>
      </c>
    </row>
    <row r="59" spans="1:24" x14ac:dyDescent="0.25">
      <c r="Q59" s="53">
        <f>Q58/Q57</f>
        <v>8.5175046550528925E-3</v>
      </c>
      <c r="T59" s="63">
        <f>T57+T58</f>
        <v>1259836600</v>
      </c>
    </row>
    <row r="60" spans="1:24" x14ac:dyDescent="0.25">
      <c r="P60" s="28" t="s">
        <v>490</v>
      </c>
      <c r="Q60" s="53">
        <v>0.13</v>
      </c>
    </row>
    <row r="61" spans="1:24" x14ac:dyDescent="0.25">
      <c r="P61" s="28" t="s">
        <v>491</v>
      </c>
      <c r="Q61" s="57">
        <v>23000</v>
      </c>
    </row>
    <row r="64" spans="1:24" x14ac:dyDescent="0.25">
      <c r="K64" s="89"/>
      <c r="L64" s="28"/>
    </row>
  </sheetData>
  <autoFilter ref="A1:W1"/>
  <sortState ref="A2:V81">
    <sortCondition ref="V2:V81"/>
  </sortState>
  <pageMargins left="0.75" right="0.75" top="1" bottom="1" header="0.5" footer="0.5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pane ySplit="1" topLeftCell="A11" activePane="bottomLeft" state="frozen"/>
      <selection pane="bottomLeft" activeCell="G44" sqref="G44"/>
    </sheetView>
  </sheetViews>
  <sheetFormatPr defaultRowHeight="15" x14ac:dyDescent="0.25"/>
  <cols>
    <col min="1" max="1" width="4.5703125" style="2" bestFit="1" customWidth="1"/>
    <col min="2" max="2" width="5" style="2" customWidth="1"/>
    <col min="3" max="3" width="33" customWidth="1"/>
    <col min="4" max="4" width="19.5703125" customWidth="1"/>
    <col min="5" max="5" width="28" customWidth="1"/>
    <col min="6" max="6" width="50.28515625" bestFit="1" customWidth="1"/>
    <col min="7" max="7" width="32.85546875" bestFit="1" customWidth="1"/>
    <col min="8" max="8" width="24.7109375" bestFit="1" customWidth="1"/>
    <col min="9" max="10" width="9" customWidth="1"/>
    <col min="11" max="11" width="5" style="2" customWidth="1"/>
    <col min="12" max="12" width="22.28515625" bestFit="1" customWidth="1"/>
    <col min="13" max="13" width="26.85546875" bestFit="1" customWidth="1"/>
    <col min="14" max="14" width="18.28515625" style="2" bestFit="1" customWidth="1"/>
    <col min="15" max="16" width="18.28515625" style="2" customWidth="1"/>
    <col min="17" max="17" width="18.28515625" style="76" customWidth="1"/>
    <col min="18" max="19" width="18.28515625" style="77" customWidth="1"/>
    <col min="20" max="20" width="18.28515625" style="2" customWidth="1"/>
    <col min="21" max="21" width="37" customWidth="1"/>
    <col min="22" max="22" width="24.7109375" customWidth="1"/>
  </cols>
  <sheetData>
    <row r="1" spans="1:22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8" t="s">
        <v>270</v>
      </c>
      <c r="I1" s="8" t="s">
        <v>4</v>
      </c>
      <c r="J1" s="8" t="s">
        <v>5</v>
      </c>
      <c r="K1" s="7" t="s">
        <v>268</v>
      </c>
      <c r="L1" s="8" t="s">
        <v>496</v>
      </c>
      <c r="M1" s="9" t="s">
        <v>497</v>
      </c>
      <c r="N1" s="7" t="s">
        <v>459</v>
      </c>
      <c r="O1" s="26" t="s">
        <v>472</v>
      </c>
      <c r="P1" s="26" t="s">
        <v>473</v>
      </c>
      <c r="Q1" s="54" t="s">
        <v>475</v>
      </c>
      <c r="R1" s="58" t="s">
        <v>489</v>
      </c>
      <c r="S1" s="58" t="s">
        <v>477</v>
      </c>
      <c r="T1" s="26" t="s">
        <v>482</v>
      </c>
      <c r="U1" s="7" t="s">
        <v>267</v>
      </c>
      <c r="V1" s="7" t="s">
        <v>495</v>
      </c>
    </row>
    <row r="2" spans="1:22" x14ac:dyDescent="0.25">
      <c r="A2" s="3">
        <v>1</v>
      </c>
      <c r="B2" s="3">
        <v>2</v>
      </c>
      <c r="C2" s="4" t="s">
        <v>279</v>
      </c>
      <c r="D2" s="4" t="s">
        <v>13</v>
      </c>
      <c r="E2" s="4" t="s">
        <v>280</v>
      </c>
      <c r="F2" s="4" t="s">
        <v>281</v>
      </c>
      <c r="G2" s="4" t="s">
        <v>282</v>
      </c>
      <c r="H2" s="4" t="s">
        <v>283</v>
      </c>
      <c r="I2" s="4"/>
      <c r="J2" s="4"/>
      <c r="K2" s="3">
        <v>2</v>
      </c>
      <c r="L2" s="4"/>
      <c r="M2" s="4"/>
      <c r="N2" s="3">
        <f t="shared" ref="N2:N47" si="0">B2*16</f>
        <v>32</v>
      </c>
      <c r="O2" s="68">
        <v>0.748</v>
      </c>
      <c r="P2" s="69">
        <f>N2*O2</f>
        <v>23.936</v>
      </c>
      <c r="Q2" s="65"/>
      <c r="R2" s="64">
        <f>ROUND(P2*(1+$P$50)*(1+Q2)*(1+$P$52)*$P$51/N2,0)</f>
        <v>27389</v>
      </c>
      <c r="S2" s="64">
        <f>R2*N2</f>
        <v>876448</v>
      </c>
      <c r="T2" s="67" t="s">
        <v>483</v>
      </c>
      <c r="U2" s="78"/>
      <c r="V2" s="4"/>
    </row>
    <row r="3" spans="1:22" x14ac:dyDescent="0.25">
      <c r="A3" s="3">
        <v>2</v>
      </c>
      <c r="B3" s="3">
        <v>2</v>
      </c>
      <c r="C3" s="4" t="s">
        <v>284</v>
      </c>
      <c r="D3" s="4" t="s">
        <v>285</v>
      </c>
      <c r="E3" s="4" t="s">
        <v>286</v>
      </c>
      <c r="F3" s="4" t="s">
        <v>287</v>
      </c>
      <c r="G3" s="4" t="s">
        <v>288</v>
      </c>
      <c r="H3" s="4" t="s">
        <v>289</v>
      </c>
      <c r="I3" s="4"/>
      <c r="J3" s="4"/>
      <c r="K3" s="3">
        <v>2</v>
      </c>
      <c r="L3" s="4"/>
      <c r="M3" s="4"/>
      <c r="N3" s="3">
        <f t="shared" si="0"/>
        <v>32</v>
      </c>
      <c r="O3" s="68">
        <v>0.75</v>
      </c>
      <c r="P3" s="69">
        <f t="shared" ref="P3:P47" si="1">N3*O3</f>
        <v>24</v>
      </c>
      <c r="Q3" s="65"/>
      <c r="R3" s="64">
        <f t="shared" ref="R3:R47" si="2">ROUND(P3*(1+$P$50)*(1+Q3)*(1+$P$52)*$P$51/N3,0)</f>
        <v>27462</v>
      </c>
      <c r="S3" s="64">
        <f t="shared" ref="S3:S47" si="3">R3*N3</f>
        <v>878784</v>
      </c>
      <c r="T3" s="67" t="s">
        <v>483</v>
      </c>
      <c r="U3" s="78"/>
      <c r="V3" s="4"/>
    </row>
    <row r="4" spans="1:22" x14ac:dyDescent="0.25">
      <c r="A4" s="3">
        <v>3</v>
      </c>
      <c r="B4" s="3">
        <v>1</v>
      </c>
      <c r="C4" s="4" t="s">
        <v>290</v>
      </c>
      <c r="D4" s="4" t="s">
        <v>13</v>
      </c>
      <c r="E4" s="4" t="s">
        <v>291</v>
      </c>
      <c r="F4" s="4" t="s">
        <v>292</v>
      </c>
      <c r="G4" s="4" t="s">
        <v>293</v>
      </c>
      <c r="H4" s="4" t="s">
        <v>294</v>
      </c>
      <c r="I4" s="4"/>
      <c r="J4" s="4"/>
      <c r="K4" s="3">
        <v>1</v>
      </c>
      <c r="L4" s="4"/>
      <c r="M4" s="4"/>
      <c r="N4" s="3">
        <f t="shared" si="0"/>
        <v>16</v>
      </c>
      <c r="O4" s="68">
        <v>1.103</v>
      </c>
      <c r="P4" s="69">
        <f t="shared" si="1"/>
        <v>17.648</v>
      </c>
      <c r="Q4" s="65"/>
      <c r="R4" s="64">
        <f t="shared" si="2"/>
        <v>40388</v>
      </c>
      <c r="S4" s="64">
        <f t="shared" si="3"/>
        <v>646208</v>
      </c>
      <c r="T4" s="67" t="s">
        <v>483</v>
      </c>
      <c r="U4" s="78"/>
      <c r="V4" s="4"/>
    </row>
    <row r="5" spans="1:22" x14ac:dyDescent="0.25">
      <c r="A5" s="3">
        <v>4</v>
      </c>
      <c r="B5" s="3">
        <v>1</v>
      </c>
      <c r="C5" s="4" t="s">
        <v>295</v>
      </c>
      <c r="D5" s="4" t="s">
        <v>296</v>
      </c>
      <c r="E5" s="4" t="s">
        <v>297</v>
      </c>
      <c r="F5" s="4" t="s">
        <v>298</v>
      </c>
      <c r="G5" s="4" t="s">
        <v>293</v>
      </c>
      <c r="H5" s="4" t="s">
        <v>299</v>
      </c>
      <c r="I5" s="4"/>
      <c r="J5" s="4"/>
      <c r="K5" s="3">
        <v>1</v>
      </c>
      <c r="L5" s="4"/>
      <c r="M5" s="4"/>
      <c r="N5" s="3">
        <f t="shared" si="0"/>
        <v>16</v>
      </c>
      <c r="O5" s="68">
        <v>1.5409999999999999</v>
      </c>
      <c r="P5" s="69">
        <f t="shared" si="1"/>
        <v>24.655999999999999</v>
      </c>
      <c r="Q5" s="65"/>
      <c r="R5" s="64">
        <f t="shared" si="2"/>
        <v>56426</v>
      </c>
      <c r="S5" s="64">
        <f t="shared" si="3"/>
        <v>902816</v>
      </c>
      <c r="T5" s="67" t="s">
        <v>483</v>
      </c>
      <c r="U5" s="78"/>
      <c r="V5" s="4"/>
    </row>
    <row r="6" spans="1:22" x14ac:dyDescent="0.25">
      <c r="A6" s="3">
        <v>5</v>
      </c>
      <c r="B6" s="3">
        <v>3</v>
      </c>
      <c r="C6" s="4" t="s">
        <v>300</v>
      </c>
      <c r="D6" s="4" t="s">
        <v>301</v>
      </c>
      <c r="E6" s="4" t="s">
        <v>302</v>
      </c>
      <c r="F6" s="4" t="s">
        <v>303</v>
      </c>
      <c r="G6" s="4" t="s">
        <v>293</v>
      </c>
      <c r="H6" s="4" t="s">
        <v>304</v>
      </c>
      <c r="I6" s="4"/>
      <c r="J6" s="4"/>
      <c r="K6" s="3">
        <v>3</v>
      </c>
      <c r="L6" s="4"/>
      <c r="M6" s="4"/>
      <c r="N6" s="3">
        <f t="shared" si="0"/>
        <v>48</v>
      </c>
      <c r="O6" s="68">
        <v>0.57199999999999995</v>
      </c>
      <c r="P6" s="69">
        <f t="shared" si="1"/>
        <v>27.455999999999996</v>
      </c>
      <c r="Q6" s="65"/>
      <c r="R6" s="64">
        <f t="shared" si="2"/>
        <v>20945</v>
      </c>
      <c r="S6" s="64">
        <f t="shared" si="3"/>
        <v>1005360</v>
      </c>
      <c r="T6" s="67" t="s">
        <v>483</v>
      </c>
      <c r="U6" s="78"/>
      <c r="V6" s="4"/>
    </row>
    <row r="7" spans="1:22" x14ac:dyDescent="0.25">
      <c r="A7" s="3">
        <v>6</v>
      </c>
      <c r="B7" s="3">
        <v>1</v>
      </c>
      <c r="C7" s="4" t="s">
        <v>305</v>
      </c>
      <c r="D7" s="4" t="s">
        <v>306</v>
      </c>
      <c r="E7" s="4" t="s">
        <v>41</v>
      </c>
      <c r="F7" s="4" t="s">
        <v>307</v>
      </c>
      <c r="G7" s="4" t="s">
        <v>188</v>
      </c>
      <c r="H7" s="4" t="s">
        <v>308</v>
      </c>
      <c r="I7" s="4"/>
      <c r="J7" s="4"/>
      <c r="K7" s="3">
        <v>1</v>
      </c>
      <c r="L7" s="4"/>
      <c r="M7" s="4"/>
      <c r="N7" s="3">
        <f t="shared" si="0"/>
        <v>16</v>
      </c>
      <c r="O7" s="68">
        <v>0.17299999999999999</v>
      </c>
      <c r="P7" s="69">
        <f t="shared" si="1"/>
        <v>2.7679999999999998</v>
      </c>
      <c r="Q7" s="65"/>
      <c r="R7" s="64">
        <f t="shared" si="2"/>
        <v>6335</v>
      </c>
      <c r="S7" s="64">
        <f t="shared" si="3"/>
        <v>101360</v>
      </c>
      <c r="T7" s="67" t="s">
        <v>483</v>
      </c>
      <c r="U7" s="78"/>
      <c r="V7" s="4"/>
    </row>
    <row r="8" spans="1:22" x14ac:dyDescent="0.25">
      <c r="A8" s="3">
        <v>7</v>
      </c>
      <c r="B8" s="3">
        <v>1</v>
      </c>
      <c r="C8" s="4" t="s">
        <v>309</v>
      </c>
      <c r="D8" s="4" t="s">
        <v>310</v>
      </c>
      <c r="E8" s="4" t="s">
        <v>311</v>
      </c>
      <c r="F8" s="4" t="s">
        <v>312</v>
      </c>
      <c r="G8" s="4" t="s">
        <v>188</v>
      </c>
      <c r="H8" s="4" t="s">
        <v>313</v>
      </c>
      <c r="I8" s="4"/>
      <c r="J8" s="4"/>
      <c r="K8" s="3">
        <v>1</v>
      </c>
      <c r="L8" s="4"/>
      <c r="M8" s="4"/>
      <c r="N8" s="3">
        <f t="shared" si="0"/>
        <v>16</v>
      </c>
      <c r="O8" s="68">
        <v>5.1999999999999998E-2</v>
      </c>
      <c r="P8" s="69">
        <f t="shared" si="1"/>
        <v>0.83199999999999996</v>
      </c>
      <c r="Q8" s="65"/>
      <c r="R8" s="64">
        <f t="shared" si="2"/>
        <v>1904</v>
      </c>
      <c r="S8" s="64">
        <f t="shared" si="3"/>
        <v>30464</v>
      </c>
      <c r="T8" s="67" t="s">
        <v>483</v>
      </c>
      <c r="U8" s="78"/>
      <c r="V8" s="4"/>
    </row>
    <row r="9" spans="1:22" x14ac:dyDescent="0.25">
      <c r="A9" s="3">
        <v>8</v>
      </c>
      <c r="B9" s="3">
        <v>3</v>
      </c>
      <c r="C9" s="4" t="s">
        <v>314</v>
      </c>
      <c r="D9" s="4" t="s">
        <v>315</v>
      </c>
      <c r="E9" s="4" t="s">
        <v>316</v>
      </c>
      <c r="F9" s="4" t="s">
        <v>317</v>
      </c>
      <c r="G9" s="4" t="s">
        <v>318</v>
      </c>
      <c r="H9" s="4" t="s">
        <v>319</v>
      </c>
      <c r="I9" s="4"/>
      <c r="J9" s="4"/>
      <c r="K9" s="3">
        <v>3</v>
      </c>
      <c r="L9" s="4"/>
      <c r="M9" s="4"/>
      <c r="N9" s="3">
        <f t="shared" si="0"/>
        <v>48</v>
      </c>
      <c r="O9" s="68">
        <v>0.33800000000000002</v>
      </c>
      <c r="P9" s="69">
        <f t="shared" si="1"/>
        <v>16.224</v>
      </c>
      <c r="Q9" s="65"/>
      <c r="R9" s="64">
        <f t="shared" si="2"/>
        <v>12376</v>
      </c>
      <c r="S9" s="64">
        <f t="shared" si="3"/>
        <v>594048</v>
      </c>
      <c r="T9" s="67" t="s">
        <v>483</v>
      </c>
      <c r="U9" s="78"/>
      <c r="V9" s="4"/>
    </row>
    <row r="10" spans="1:22" x14ac:dyDescent="0.25">
      <c r="A10" s="3">
        <v>9</v>
      </c>
      <c r="B10" s="3">
        <v>4</v>
      </c>
      <c r="C10" s="4" t="s">
        <v>320</v>
      </c>
      <c r="D10" s="4" t="s">
        <v>13</v>
      </c>
      <c r="E10" s="4" t="s">
        <v>311</v>
      </c>
      <c r="F10" s="4" t="s">
        <v>321</v>
      </c>
      <c r="G10" s="4" t="s">
        <v>188</v>
      </c>
      <c r="H10" s="4" t="s">
        <v>322</v>
      </c>
      <c r="I10" s="4"/>
      <c r="J10" s="4"/>
      <c r="K10" s="3">
        <v>4</v>
      </c>
      <c r="L10" s="4"/>
      <c r="M10" s="4"/>
      <c r="N10" s="3">
        <f t="shared" si="0"/>
        <v>64</v>
      </c>
      <c r="O10" s="68">
        <v>3.6999999999999998E-2</v>
      </c>
      <c r="P10" s="69">
        <f t="shared" si="1"/>
        <v>2.3679999999999999</v>
      </c>
      <c r="Q10" s="65"/>
      <c r="R10" s="64">
        <f t="shared" si="2"/>
        <v>1355</v>
      </c>
      <c r="S10" s="64">
        <f t="shared" si="3"/>
        <v>86720</v>
      </c>
      <c r="T10" s="70" t="s">
        <v>484</v>
      </c>
      <c r="U10" s="78"/>
      <c r="V10" s="4"/>
    </row>
    <row r="11" spans="1:22" x14ac:dyDescent="0.25">
      <c r="A11" s="3">
        <v>10</v>
      </c>
      <c r="B11" s="3">
        <v>1</v>
      </c>
      <c r="C11" s="4" t="s">
        <v>323</v>
      </c>
      <c r="D11" s="4" t="s">
        <v>310</v>
      </c>
      <c r="E11" s="4" t="s">
        <v>324</v>
      </c>
      <c r="F11" s="4" t="s">
        <v>325</v>
      </c>
      <c r="G11" s="4" t="s">
        <v>293</v>
      </c>
      <c r="H11" s="4" t="s">
        <v>326</v>
      </c>
      <c r="I11" s="4"/>
      <c r="J11" s="4"/>
      <c r="K11" s="3">
        <v>1</v>
      </c>
      <c r="L11" s="4"/>
      <c r="M11" s="4"/>
      <c r="N11" s="3">
        <f t="shared" si="0"/>
        <v>16</v>
      </c>
      <c r="O11" s="68">
        <v>0.318</v>
      </c>
      <c r="P11" s="69">
        <f t="shared" si="1"/>
        <v>5.0880000000000001</v>
      </c>
      <c r="Q11" s="65"/>
      <c r="R11" s="64">
        <f t="shared" si="2"/>
        <v>11644</v>
      </c>
      <c r="S11" s="64">
        <f t="shared" si="3"/>
        <v>186304</v>
      </c>
      <c r="T11" s="67" t="s">
        <v>483</v>
      </c>
      <c r="U11" s="78"/>
      <c r="V11" s="4"/>
    </row>
    <row r="12" spans="1:22" x14ac:dyDescent="0.25">
      <c r="A12" s="3">
        <v>11</v>
      </c>
      <c r="B12" s="3">
        <v>1</v>
      </c>
      <c r="C12" s="4" t="s">
        <v>327</v>
      </c>
      <c r="D12" s="4" t="s">
        <v>328</v>
      </c>
      <c r="E12" s="4" t="s">
        <v>311</v>
      </c>
      <c r="F12" s="4" t="s">
        <v>329</v>
      </c>
      <c r="G12" s="4" t="s">
        <v>188</v>
      </c>
      <c r="H12" s="4" t="s">
        <v>330</v>
      </c>
      <c r="I12" s="4"/>
      <c r="J12" s="4"/>
      <c r="K12" s="3">
        <v>1</v>
      </c>
      <c r="L12" s="4"/>
      <c r="M12" s="4"/>
      <c r="N12" s="3">
        <f t="shared" si="0"/>
        <v>16</v>
      </c>
      <c r="O12" s="68">
        <v>6.0999999999999999E-2</v>
      </c>
      <c r="P12" s="69">
        <f t="shared" si="1"/>
        <v>0.97599999999999998</v>
      </c>
      <c r="Q12" s="65"/>
      <c r="R12" s="64">
        <f t="shared" si="2"/>
        <v>2234</v>
      </c>
      <c r="S12" s="64">
        <f t="shared" si="3"/>
        <v>35744</v>
      </c>
      <c r="T12" s="67" t="s">
        <v>483</v>
      </c>
      <c r="U12" s="78"/>
      <c r="V12" s="4"/>
    </row>
    <row r="13" spans="1:22" x14ac:dyDescent="0.25">
      <c r="A13" s="3">
        <v>12</v>
      </c>
      <c r="B13" s="3">
        <v>1</v>
      </c>
      <c r="C13" s="4" t="s">
        <v>331</v>
      </c>
      <c r="D13" s="4" t="s">
        <v>39</v>
      </c>
      <c r="E13" s="4" t="s">
        <v>41</v>
      </c>
      <c r="F13" s="4" t="s">
        <v>332</v>
      </c>
      <c r="G13" s="4" t="s">
        <v>10</v>
      </c>
      <c r="H13" s="4" t="s">
        <v>333</v>
      </c>
      <c r="I13" s="4"/>
      <c r="J13" s="4"/>
      <c r="K13" s="3">
        <v>1</v>
      </c>
      <c r="L13" s="4"/>
      <c r="M13" s="4"/>
      <c r="N13" s="3">
        <f t="shared" si="0"/>
        <v>16</v>
      </c>
      <c r="O13" s="68">
        <v>0.27600000000000002</v>
      </c>
      <c r="P13" s="69">
        <f t="shared" si="1"/>
        <v>4.4160000000000004</v>
      </c>
      <c r="Q13" s="65"/>
      <c r="R13" s="64">
        <f t="shared" si="2"/>
        <v>10106</v>
      </c>
      <c r="S13" s="64">
        <f t="shared" si="3"/>
        <v>161696</v>
      </c>
      <c r="T13" s="67" t="s">
        <v>483</v>
      </c>
      <c r="U13" s="78"/>
      <c r="V13" s="4"/>
    </row>
    <row r="14" spans="1:22" x14ac:dyDescent="0.25">
      <c r="A14" s="3">
        <v>13</v>
      </c>
      <c r="B14" s="3">
        <v>4</v>
      </c>
      <c r="C14" s="4" t="s">
        <v>334</v>
      </c>
      <c r="D14" s="4" t="s">
        <v>296</v>
      </c>
      <c r="E14" s="4" t="s">
        <v>335</v>
      </c>
      <c r="F14" s="4" t="s">
        <v>336</v>
      </c>
      <c r="G14" s="4" t="s">
        <v>23</v>
      </c>
      <c r="H14" s="4" t="s">
        <v>337</v>
      </c>
      <c r="I14" s="4"/>
      <c r="J14" s="4"/>
      <c r="K14" s="3">
        <v>4</v>
      </c>
      <c r="L14" s="4"/>
      <c r="M14" s="4"/>
      <c r="N14" s="3">
        <f t="shared" si="0"/>
        <v>64</v>
      </c>
      <c r="O14" s="68">
        <v>0.316</v>
      </c>
      <c r="P14" s="69">
        <f t="shared" si="1"/>
        <v>20.224</v>
      </c>
      <c r="Q14" s="65"/>
      <c r="R14" s="64">
        <f t="shared" si="2"/>
        <v>11571</v>
      </c>
      <c r="S14" s="64">
        <f t="shared" si="3"/>
        <v>740544</v>
      </c>
      <c r="T14" s="67" t="s">
        <v>483</v>
      </c>
      <c r="U14" s="78"/>
      <c r="V14" s="4"/>
    </row>
    <row r="15" spans="1:22" x14ac:dyDescent="0.25">
      <c r="A15" s="3">
        <v>14</v>
      </c>
      <c r="B15" s="3">
        <v>1</v>
      </c>
      <c r="C15" s="4" t="s">
        <v>338</v>
      </c>
      <c r="D15" s="4" t="s">
        <v>30</v>
      </c>
      <c r="E15" s="4" t="s">
        <v>311</v>
      </c>
      <c r="F15" s="4" t="s">
        <v>339</v>
      </c>
      <c r="G15" s="4" t="s">
        <v>188</v>
      </c>
      <c r="H15" s="4" t="s">
        <v>340</v>
      </c>
      <c r="I15" s="4"/>
      <c r="J15" s="4"/>
      <c r="K15" s="3">
        <v>1</v>
      </c>
      <c r="L15" s="4"/>
      <c r="M15" s="4"/>
      <c r="N15" s="3">
        <f t="shared" si="0"/>
        <v>16</v>
      </c>
      <c r="O15" s="68">
        <v>3.5000000000000003E-2</v>
      </c>
      <c r="P15" s="69">
        <f t="shared" si="1"/>
        <v>0.56000000000000005</v>
      </c>
      <c r="Q15" s="65"/>
      <c r="R15" s="64">
        <f t="shared" si="2"/>
        <v>1282</v>
      </c>
      <c r="S15" s="64">
        <f t="shared" si="3"/>
        <v>20512</v>
      </c>
      <c r="T15" s="67" t="s">
        <v>483</v>
      </c>
      <c r="U15" s="78"/>
      <c r="V15" s="4"/>
    </row>
    <row r="16" spans="1:22" x14ac:dyDescent="0.25">
      <c r="A16" s="3">
        <v>15</v>
      </c>
      <c r="B16" s="3">
        <v>4</v>
      </c>
      <c r="C16" s="4" t="s">
        <v>341</v>
      </c>
      <c r="D16" s="4" t="s">
        <v>342</v>
      </c>
      <c r="E16" s="4" t="s">
        <v>343</v>
      </c>
      <c r="F16" s="4" t="s">
        <v>344</v>
      </c>
      <c r="G16" s="4" t="s">
        <v>345</v>
      </c>
      <c r="H16" s="4" t="s">
        <v>346</v>
      </c>
      <c r="I16" s="4"/>
      <c r="J16" s="4"/>
      <c r="K16" s="3">
        <v>4</v>
      </c>
      <c r="L16" s="4"/>
      <c r="M16" s="4"/>
      <c r="N16" s="3">
        <f t="shared" si="0"/>
        <v>64</v>
      </c>
      <c r="O16" s="68">
        <v>0.39639999999999997</v>
      </c>
      <c r="P16" s="69">
        <f t="shared" si="1"/>
        <v>25.369599999999998</v>
      </c>
      <c r="Q16" s="65"/>
      <c r="R16" s="64">
        <f t="shared" si="2"/>
        <v>14515</v>
      </c>
      <c r="S16" s="64">
        <f t="shared" si="3"/>
        <v>928960</v>
      </c>
      <c r="T16" s="67" t="s">
        <v>483</v>
      </c>
      <c r="U16" s="78"/>
      <c r="V16" s="4"/>
    </row>
    <row r="17" spans="1:22" x14ac:dyDescent="0.25">
      <c r="A17" s="3">
        <v>16</v>
      </c>
      <c r="B17" s="3">
        <v>9</v>
      </c>
      <c r="C17" s="4" t="s">
        <v>347</v>
      </c>
      <c r="D17" s="4" t="s">
        <v>348</v>
      </c>
      <c r="E17" s="4" t="s">
        <v>349</v>
      </c>
      <c r="F17" s="4" t="s">
        <v>350</v>
      </c>
      <c r="G17" s="4" t="s">
        <v>70</v>
      </c>
      <c r="H17" s="4" t="s">
        <v>348</v>
      </c>
      <c r="I17" s="4"/>
      <c r="J17" s="4"/>
      <c r="K17" s="3">
        <v>9</v>
      </c>
      <c r="L17" s="4"/>
      <c r="M17" s="4"/>
      <c r="N17" s="3">
        <f t="shared" si="0"/>
        <v>144</v>
      </c>
      <c r="O17" s="68">
        <v>0.14149999999999999</v>
      </c>
      <c r="P17" s="69">
        <f t="shared" si="1"/>
        <v>20.375999999999998</v>
      </c>
      <c r="Q17" s="65"/>
      <c r="R17" s="64">
        <f t="shared" si="2"/>
        <v>5181</v>
      </c>
      <c r="S17" s="64">
        <f t="shared" si="3"/>
        <v>746064</v>
      </c>
      <c r="T17" s="67" t="s">
        <v>483</v>
      </c>
      <c r="U17" s="78"/>
      <c r="V17" s="4"/>
    </row>
    <row r="18" spans="1:22" x14ac:dyDescent="0.25">
      <c r="A18" s="3">
        <v>17</v>
      </c>
      <c r="B18" s="3">
        <v>1</v>
      </c>
      <c r="C18" s="4" t="s">
        <v>351</v>
      </c>
      <c r="D18" s="4" t="s">
        <v>352</v>
      </c>
      <c r="E18" s="4" t="s">
        <v>353</v>
      </c>
      <c r="F18" s="4" t="s">
        <v>354</v>
      </c>
      <c r="G18" s="4" t="s">
        <v>355</v>
      </c>
      <c r="H18" s="4" t="s">
        <v>352</v>
      </c>
      <c r="I18" s="4"/>
      <c r="J18" s="4"/>
      <c r="K18" s="3">
        <v>1</v>
      </c>
      <c r="L18" s="4"/>
      <c r="M18" s="4"/>
      <c r="N18" s="3">
        <f t="shared" si="0"/>
        <v>16</v>
      </c>
      <c r="O18" s="68">
        <v>0.32</v>
      </c>
      <c r="P18" s="69">
        <f t="shared" si="1"/>
        <v>5.12</v>
      </c>
      <c r="Q18" s="65"/>
      <c r="R18" s="64">
        <f t="shared" si="2"/>
        <v>11717</v>
      </c>
      <c r="S18" s="64">
        <f t="shared" si="3"/>
        <v>187472</v>
      </c>
      <c r="T18" s="67" t="s">
        <v>483</v>
      </c>
      <c r="U18" s="78"/>
      <c r="V18" s="4"/>
    </row>
    <row r="19" spans="1:22" x14ac:dyDescent="0.25">
      <c r="A19" s="3">
        <v>18</v>
      </c>
      <c r="B19" s="3">
        <v>1</v>
      </c>
      <c r="C19" s="4" t="s">
        <v>356</v>
      </c>
      <c r="D19" s="4" t="s">
        <v>357</v>
      </c>
      <c r="E19" s="4" t="s">
        <v>69</v>
      </c>
      <c r="F19" s="4" t="s">
        <v>358</v>
      </c>
      <c r="G19" s="4" t="s">
        <v>70</v>
      </c>
      <c r="H19" s="4" t="s">
        <v>357</v>
      </c>
      <c r="I19" s="4"/>
      <c r="J19" s="4"/>
      <c r="K19" s="3">
        <v>1</v>
      </c>
      <c r="L19" s="4"/>
      <c r="M19" s="4"/>
      <c r="N19" s="3">
        <f t="shared" si="0"/>
        <v>16</v>
      </c>
      <c r="O19" s="68">
        <v>0.27200000000000002</v>
      </c>
      <c r="P19" s="69">
        <f t="shared" si="1"/>
        <v>4.3520000000000003</v>
      </c>
      <c r="Q19" s="65"/>
      <c r="R19" s="64">
        <f t="shared" si="2"/>
        <v>9960</v>
      </c>
      <c r="S19" s="64">
        <f t="shared" si="3"/>
        <v>159360</v>
      </c>
      <c r="T19" s="67" t="s">
        <v>483</v>
      </c>
      <c r="U19" s="78"/>
      <c r="V19" s="4"/>
    </row>
    <row r="20" spans="1:22" x14ac:dyDescent="0.25">
      <c r="A20" s="3">
        <v>19</v>
      </c>
      <c r="B20" s="3">
        <v>2</v>
      </c>
      <c r="C20" s="4" t="s">
        <v>359</v>
      </c>
      <c r="D20" s="4" t="s">
        <v>360</v>
      </c>
      <c r="E20" s="4" t="s">
        <v>343</v>
      </c>
      <c r="F20" s="4" t="s">
        <v>361</v>
      </c>
      <c r="G20" s="4" t="s">
        <v>362</v>
      </c>
      <c r="H20" s="4" t="s">
        <v>363</v>
      </c>
      <c r="I20" s="4"/>
      <c r="J20" s="4"/>
      <c r="K20" s="3">
        <v>2</v>
      </c>
      <c r="L20" s="4"/>
      <c r="M20" s="4"/>
      <c r="N20" s="3">
        <f t="shared" si="0"/>
        <v>32</v>
      </c>
      <c r="O20" s="68">
        <v>0.33500000000000002</v>
      </c>
      <c r="P20" s="69">
        <f t="shared" si="1"/>
        <v>10.72</v>
      </c>
      <c r="Q20" s="65"/>
      <c r="R20" s="64">
        <f t="shared" si="2"/>
        <v>12266</v>
      </c>
      <c r="S20" s="64">
        <f t="shared" si="3"/>
        <v>392512</v>
      </c>
      <c r="T20" s="70" t="s">
        <v>484</v>
      </c>
      <c r="U20" s="78"/>
      <c r="V20" s="4"/>
    </row>
    <row r="21" spans="1:22" x14ac:dyDescent="0.25">
      <c r="A21" s="3">
        <v>20</v>
      </c>
      <c r="B21" s="3">
        <v>1</v>
      </c>
      <c r="C21" s="4" t="s">
        <v>364</v>
      </c>
      <c r="D21" s="4" t="s">
        <v>365</v>
      </c>
      <c r="E21" s="4" t="s">
        <v>366</v>
      </c>
      <c r="F21" s="4" t="s">
        <v>367</v>
      </c>
      <c r="G21" s="4" t="s">
        <v>70</v>
      </c>
      <c r="H21" s="4" t="s">
        <v>368</v>
      </c>
      <c r="I21" s="4"/>
      <c r="J21" s="4"/>
      <c r="K21" s="3">
        <v>1</v>
      </c>
      <c r="L21" s="81" t="s">
        <v>118</v>
      </c>
      <c r="M21" s="81" t="s">
        <v>524</v>
      </c>
      <c r="N21" s="3">
        <f t="shared" si="0"/>
        <v>16</v>
      </c>
      <c r="O21" s="74">
        <v>0.23</v>
      </c>
      <c r="P21" s="69">
        <f t="shared" si="1"/>
        <v>3.68</v>
      </c>
      <c r="Q21" s="66"/>
      <c r="R21" s="64">
        <f t="shared" si="2"/>
        <v>8422</v>
      </c>
      <c r="S21" s="64">
        <f t="shared" si="3"/>
        <v>134752</v>
      </c>
      <c r="T21" s="73" t="s">
        <v>483</v>
      </c>
      <c r="U21" s="79" t="s">
        <v>530</v>
      </c>
      <c r="V21" s="4"/>
    </row>
    <row r="22" spans="1:22" x14ac:dyDescent="0.25">
      <c r="A22" s="3">
        <v>21</v>
      </c>
      <c r="B22" s="3">
        <v>4</v>
      </c>
      <c r="C22" s="4" t="s">
        <v>369</v>
      </c>
      <c r="D22" s="4" t="s">
        <v>64</v>
      </c>
      <c r="E22" s="4" t="s">
        <v>65</v>
      </c>
      <c r="F22" s="4" t="s">
        <v>66</v>
      </c>
      <c r="G22" s="4" t="s">
        <v>67</v>
      </c>
      <c r="H22" s="4" t="s">
        <v>68</v>
      </c>
      <c r="I22" s="4"/>
      <c r="J22" s="4"/>
      <c r="K22" s="3">
        <v>4</v>
      </c>
      <c r="L22" s="4"/>
      <c r="M22" s="4"/>
      <c r="N22" s="3">
        <f t="shared" si="0"/>
        <v>64</v>
      </c>
      <c r="O22" s="68">
        <v>0.17100000000000001</v>
      </c>
      <c r="P22" s="69">
        <f t="shared" si="1"/>
        <v>10.944000000000001</v>
      </c>
      <c r="Q22" s="65"/>
      <c r="R22" s="64">
        <f t="shared" si="2"/>
        <v>6261</v>
      </c>
      <c r="S22" s="64">
        <f t="shared" si="3"/>
        <v>400704</v>
      </c>
      <c r="T22" s="67" t="s">
        <v>483</v>
      </c>
      <c r="U22" s="78"/>
      <c r="V22" s="4"/>
    </row>
    <row r="23" spans="1:22" x14ac:dyDescent="0.25">
      <c r="A23" s="3">
        <v>22</v>
      </c>
      <c r="B23" s="3">
        <v>1</v>
      </c>
      <c r="C23" s="4" t="s">
        <v>370</v>
      </c>
      <c r="D23" s="4">
        <v>744862250</v>
      </c>
      <c r="E23" s="4" t="s">
        <v>371</v>
      </c>
      <c r="F23" s="4" t="s">
        <v>372</v>
      </c>
      <c r="G23" s="4" t="s">
        <v>373</v>
      </c>
      <c r="H23" s="82">
        <v>744862250</v>
      </c>
      <c r="I23" s="4"/>
      <c r="J23" s="4"/>
      <c r="K23" s="3">
        <v>1</v>
      </c>
      <c r="L23" s="4"/>
      <c r="M23" s="4"/>
      <c r="N23" s="3">
        <f t="shared" si="0"/>
        <v>16</v>
      </c>
      <c r="O23" s="68">
        <v>3.6059999999999999</v>
      </c>
      <c r="P23" s="69">
        <f t="shared" si="1"/>
        <v>57.695999999999998</v>
      </c>
      <c r="Q23" s="65"/>
      <c r="R23" s="64">
        <f t="shared" si="2"/>
        <v>132038</v>
      </c>
      <c r="S23" s="64">
        <f t="shared" si="3"/>
        <v>2112608</v>
      </c>
      <c r="T23" s="67" t="s">
        <v>483</v>
      </c>
      <c r="U23" s="78"/>
      <c r="V23" s="4"/>
    </row>
    <row r="24" spans="1:22" x14ac:dyDescent="0.25">
      <c r="A24" s="3">
        <v>23</v>
      </c>
      <c r="B24" s="3">
        <v>1</v>
      </c>
      <c r="C24" s="4" t="s">
        <v>71</v>
      </c>
      <c r="D24" s="4" t="s">
        <v>72</v>
      </c>
      <c r="E24" s="4" t="s">
        <v>73</v>
      </c>
      <c r="F24" s="4" t="s">
        <v>74</v>
      </c>
      <c r="G24" s="4" t="s">
        <v>75</v>
      </c>
      <c r="H24" s="4" t="s">
        <v>72</v>
      </c>
      <c r="I24" s="4"/>
      <c r="J24" s="4"/>
      <c r="K24" s="3">
        <v>1</v>
      </c>
      <c r="L24" s="4"/>
      <c r="M24" s="4"/>
      <c r="N24" s="3">
        <f t="shared" si="0"/>
        <v>16</v>
      </c>
      <c r="O24" s="68">
        <v>0.21460000000000001</v>
      </c>
      <c r="P24" s="69">
        <f t="shared" si="1"/>
        <v>3.4336000000000002</v>
      </c>
      <c r="Q24" s="65">
        <v>0.15</v>
      </c>
      <c r="R24" s="64">
        <f t="shared" si="2"/>
        <v>9037</v>
      </c>
      <c r="S24" s="64">
        <f t="shared" si="3"/>
        <v>144592</v>
      </c>
      <c r="T24" s="67" t="s">
        <v>483</v>
      </c>
      <c r="U24" s="78"/>
      <c r="V24" s="4"/>
    </row>
    <row r="25" spans="1:22" x14ac:dyDescent="0.25">
      <c r="A25" s="3">
        <v>24</v>
      </c>
      <c r="B25" s="3">
        <v>3</v>
      </c>
      <c r="C25" s="4" t="s">
        <v>374</v>
      </c>
      <c r="D25" s="4" t="s">
        <v>94</v>
      </c>
      <c r="E25" s="4" t="s">
        <v>95</v>
      </c>
      <c r="F25" s="4" t="s">
        <v>96</v>
      </c>
      <c r="G25" s="4" t="s">
        <v>97</v>
      </c>
      <c r="H25" s="4" t="s">
        <v>94</v>
      </c>
      <c r="I25" s="4"/>
      <c r="J25" s="4"/>
      <c r="K25" s="3">
        <v>3</v>
      </c>
      <c r="L25" s="4"/>
      <c r="M25" s="4"/>
      <c r="N25" s="3">
        <f t="shared" si="0"/>
        <v>48</v>
      </c>
      <c r="O25" s="68">
        <v>0.308</v>
      </c>
      <c r="P25" s="69">
        <f t="shared" si="1"/>
        <v>14.783999999999999</v>
      </c>
      <c r="Q25" s="65"/>
      <c r="R25" s="64">
        <f t="shared" si="2"/>
        <v>11278</v>
      </c>
      <c r="S25" s="64">
        <f t="shared" si="3"/>
        <v>541344</v>
      </c>
      <c r="T25" s="67" t="s">
        <v>483</v>
      </c>
      <c r="U25" s="78"/>
      <c r="V25" s="4"/>
    </row>
    <row r="26" spans="1:22" x14ac:dyDescent="0.25">
      <c r="A26" s="3">
        <v>25</v>
      </c>
      <c r="B26" s="3">
        <v>1</v>
      </c>
      <c r="C26" s="4" t="s">
        <v>375</v>
      </c>
      <c r="D26" s="4" t="s">
        <v>376</v>
      </c>
      <c r="E26" s="4" t="s">
        <v>377</v>
      </c>
      <c r="F26" s="4" t="s">
        <v>378</v>
      </c>
      <c r="G26" s="4" t="s">
        <v>379</v>
      </c>
      <c r="H26" s="4" t="s">
        <v>380</v>
      </c>
      <c r="I26" s="4"/>
      <c r="J26" s="4"/>
      <c r="K26" s="3">
        <v>1</v>
      </c>
      <c r="L26" s="4"/>
      <c r="M26" s="4"/>
      <c r="N26" s="3">
        <f t="shared" si="0"/>
        <v>16</v>
      </c>
      <c r="O26" s="68">
        <v>0.53600000000000003</v>
      </c>
      <c r="P26" s="69">
        <f t="shared" si="1"/>
        <v>8.5760000000000005</v>
      </c>
      <c r="Q26" s="65"/>
      <c r="R26" s="64">
        <f t="shared" si="2"/>
        <v>19626</v>
      </c>
      <c r="S26" s="64">
        <f t="shared" si="3"/>
        <v>314016</v>
      </c>
      <c r="T26" s="67" t="s">
        <v>483</v>
      </c>
      <c r="U26" s="78"/>
      <c r="V26" s="4"/>
    </row>
    <row r="27" spans="1:22" x14ac:dyDescent="0.25">
      <c r="A27" s="3">
        <v>26</v>
      </c>
      <c r="B27" s="3">
        <v>1</v>
      </c>
      <c r="C27" s="4" t="s">
        <v>381</v>
      </c>
      <c r="D27" s="4" t="s">
        <v>382</v>
      </c>
      <c r="E27" s="4" t="s">
        <v>383</v>
      </c>
      <c r="F27" s="4" t="s">
        <v>384</v>
      </c>
      <c r="G27" s="4" t="s">
        <v>385</v>
      </c>
      <c r="H27" s="4" t="s">
        <v>386</v>
      </c>
      <c r="I27" s="4"/>
      <c r="J27" s="4"/>
      <c r="K27" s="3">
        <v>1</v>
      </c>
      <c r="L27" s="4"/>
      <c r="M27" s="4"/>
      <c r="N27" s="3">
        <f t="shared" si="0"/>
        <v>16</v>
      </c>
      <c r="O27" s="68">
        <v>0.38100000000000001</v>
      </c>
      <c r="P27" s="69">
        <f t="shared" si="1"/>
        <v>6.0960000000000001</v>
      </c>
      <c r="Q27" s="65"/>
      <c r="R27" s="64">
        <f t="shared" si="2"/>
        <v>13951</v>
      </c>
      <c r="S27" s="64">
        <f t="shared" si="3"/>
        <v>223216</v>
      </c>
      <c r="T27" s="67" t="s">
        <v>483</v>
      </c>
      <c r="U27" s="78"/>
      <c r="V27" s="4"/>
    </row>
    <row r="28" spans="1:22" x14ac:dyDescent="0.25">
      <c r="A28" s="87">
        <v>27</v>
      </c>
      <c r="B28" s="3">
        <v>1</v>
      </c>
      <c r="C28" s="4" t="s">
        <v>114</v>
      </c>
      <c r="D28" s="4" t="s">
        <v>387</v>
      </c>
      <c r="E28" s="4" t="s">
        <v>388</v>
      </c>
      <c r="F28" s="86" t="s">
        <v>526</v>
      </c>
      <c r="G28" s="86" t="s">
        <v>219</v>
      </c>
      <c r="H28" s="86" t="s">
        <v>527</v>
      </c>
      <c r="I28" s="4"/>
      <c r="J28" s="4"/>
      <c r="K28" s="3">
        <v>1</v>
      </c>
      <c r="L28" s="4"/>
      <c r="M28" s="4"/>
      <c r="N28" s="3">
        <f t="shared" si="0"/>
        <v>16</v>
      </c>
      <c r="O28" s="68">
        <v>1.0049999999999999</v>
      </c>
      <c r="P28" s="69">
        <f t="shared" si="1"/>
        <v>16.079999999999998</v>
      </c>
      <c r="Q28" s="65"/>
      <c r="R28" s="64">
        <f t="shared" si="2"/>
        <v>36799</v>
      </c>
      <c r="S28" s="64">
        <f t="shared" si="3"/>
        <v>588784</v>
      </c>
      <c r="T28" s="67" t="s">
        <v>483</v>
      </c>
      <c r="U28" s="78"/>
      <c r="V28" s="4"/>
    </row>
    <row r="29" spans="1:22" x14ac:dyDescent="0.25">
      <c r="A29" s="3">
        <v>28</v>
      </c>
      <c r="B29" s="3">
        <v>4</v>
      </c>
      <c r="C29" s="4" t="s">
        <v>389</v>
      </c>
      <c r="D29" s="4" t="s">
        <v>390</v>
      </c>
      <c r="E29" s="4" t="s">
        <v>391</v>
      </c>
      <c r="F29" s="4" t="s">
        <v>392</v>
      </c>
      <c r="G29" s="4" t="s">
        <v>108</v>
      </c>
      <c r="H29" s="4" t="s">
        <v>390</v>
      </c>
      <c r="I29" s="4"/>
      <c r="J29" s="4"/>
      <c r="K29" s="3">
        <v>4</v>
      </c>
      <c r="L29" s="4"/>
      <c r="M29" s="4"/>
      <c r="N29" s="3">
        <f t="shared" si="0"/>
        <v>64</v>
      </c>
      <c r="O29" s="68">
        <v>1.1954</v>
      </c>
      <c r="P29" s="69">
        <f t="shared" si="1"/>
        <v>76.505600000000001</v>
      </c>
      <c r="Q29" s="65">
        <v>0.1</v>
      </c>
      <c r="R29" s="64">
        <f t="shared" si="2"/>
        <v>48148</v>
      </c>
      <c r="S29" s="64">
        <f t="shared" si="3"/>
        <v>3081472</v>
      </c>
      <c r="T29" s="67" t="s">
        <v>483</v>
      </c>
      <c r="U29" s="78"/>
      <c r="V29" s="4"/>
    </row>
    <row r="30" spans="1:22" x14ac:dyDescent="0.25">
      <c r="A30" s="3">
        <v>29</v>
      </c>
      <c r="B30" s="3">
        <v>3</v>
      </c>
      <c r="C30" s="4" t="s">
        <v>393</v>
      </c>
      <c r="D30" s="4">
        <v>10</v>
      </c>
      <c r="E30" s="4" t="s">
        <v>394</v>
      </c>
      <c r="F30" s="4" t="s">
        <v>395</v>
      </c>
      <c r="G30" s="4" t="s">
        <v>379</v>
      </c>
      <c r="H30" s="4" t="s">
        <v>396</v>
      </c>
      <c r="I30" s="4"/>
      <c r="J30" s="4"/>
      <c r="K30" s="3">
        <v>3</v>
      </c>
      <c r="L30" s="4"/>
      <c r="M30" s="4"/>
      <c r="N30" s="3">
        <f t="shared" si="0"/>
        <v>48</v>
      </c>
      <c r="O30" s="68">
        <v>0.30299999999999999</v>
      </c>
      <c r="P30" s="69">
        <f t="shared" si="1"/>
        <v>14.544</v>
      </c>
      <c r="Q30" s="65"/>
      <c r="R30" s="64">
        <f t="shared" si="2"/>
        <v>11095</v>
      </c>
      <c r="S30" s="64">
        <f t="shared" si="3"/>
        <v>532560</v>
      </c>
      <c r="T30" s="79" t="s">
        <v>484</v>
      </c>
      <c r="U30" s="78"/>
      <c r="V30" s="4"/>
    </row>
    <row r="31" spans="1:22" x14ac:dyDescent="0.25">
      <c r="A31" s="3">
        <v>30</v>
      </c>
      <c r="B31" s="3">
        <v>2</v>
      </c>
      <c r="C31" s="4" t="s">
        <v>397</v>
      </c>
      <c r="D31" s="4">
        <v>10</v>
      </c>
      <c r="E31" s="4" t="s">
        <v>398</v>
      </c>
      <c r="F31" s="4" t="s">
        <v>399</v>
      </c>
      <c r="G31" s="4" t="s">
        <v>139</v>
      </c>
      <c r="H31" s="4" t="s">
        <v>400</v>
      </c>
      <c r="I31" s="4"/>
      <c r="J31" s="4"/>
      <c r="K31" s="3">
        <v>2</v>
      </c>
      <c r="L31" s="81" t="s">
        <v>498</v>
      </c>
      <c r="M31" s="81" t="s">
        <v>514</v>
      </c>
      <c r="N31" s="3">
        <f t="shared" si="0"/>
        <v>32</v>
      </c>
      <c r="O31" s="68">
        <v>0.24</v>
      </c>
      <c r="P31" s="69">
        <f t="shared" si="1"/>
        <v>7.68</v>
      </c>
      <c r="Q31" s="65"/>
      <c r="R31" s="64">
        <f t="shared" si="2"/>
        <v>8788</v>
      </c>
      <c r="S31" s="64">
        <f t="shared" si="3"/>
        <v>281216</v>
      </c>
      <c r="T31" s="88" t="s">
        <v>483</v>
      </c>
      <c r="U31" s="79" t="s">
        <v>530</v>
      </c>
      <c r="V31" s="4"/>
    </row>
    <row r="32" spans="1:22" x14ac:dyDescent="0.25">
      <c r="A32" s="3">
        <v>31</v>
      </c>
      <c r="B32" s="3">
        <v>3</v>
      </c>
      <c r="C32" s="4" t="s">
        <v>401</v>
      </c>
      <c r="D32" s="4" t="s">
        <v>402</v>
      </c>
      <c r="E32" s="4" t="s">
        <v>398</v>
      </c>
      <c r="F32" s="4" t="s">
        <v>403</v>
      </c>
      <c r="G32" s="4" t="s">
        <v>139</v>
      </c>
      <c r="H32" s="4" t="s">
        <v>404</v>
      </c>
      <c r="I32" s="4"/>
      <c r="J32" s="4"/>
      <c r="K32" s="3">
        <v>3</v>
      </c>
      <c r="L32" s="81" t="s">
        <v>498</v>
      </c>
      <c r="M32" s="81" t="s">
        <v>515</v>
      </c>
      <c r="N32" s="3">
        <f t="shared" si="0"/>
        <v>48</v>
      </c>
      <c r="O32" s="68">
        <v>2.5999999999999999E-2</v>
      </c>
      <c r="P32" s="69">
        <f t="shared" si="1"/>
        <v>1.248</v>
      </c>
      <c r="Q32" s="65"/>
      <c r="R32" s="64">
        <f t="shared" si="2"/>
        <v>952</v>
      </c>
      <c r="S32" s="64">
        <f t="shared" si="3"/>
        <v>45696</v>
      </c>
      <c r="T32" s="88" t="s">
        <v>483</v>
      </c>
      <c r="U32" s="79" t="s">
        <v>530</v>
      </c>
      <c r="V32" s="4"/>
    </row>
    <row r="33" spans="1:22" x14ac:dyDescent="0.25">
      <c r="A33" s="3">
        <v>32</v>
      </c>
      <c r="B33" s="3">
        <v>1</v>
      </c>
      <c r="C33" s="4" t="s">
        <v>157</v>
      </c>
      <c r="D33" s="4" t="s">
        <v>163</v>
      </c>
      <c r="E33" s="4" t="s">
        <v>398</v>
      </c>
      <c r="F33" s="4" t="s">
        <v>405</v>
      </c>
      <c r="G33" s="4" t="s">
        <v>406</v>
      </c>
      <c r="H33" s="4" t="s">
        <v>407</v>
      </c>
      <c r="I33" s="4"/>
      <c r="J33" s="4"/>
      <c r="K33" s="3">
        <v>1</v>
      </c>
      <c r="L33" s="4"/>
      <c r="M33" s="4"/>
      <c r="N33" s="3">
        <f t="shared" si="0"/>
        <v>16</v>
      </c>
      <c r="O33" s="68">
        <v>0.245</v>
      </c>
      <c r="P33" s="69">
        <f t="shared" si="1"/>
        <v>3.92</v>
      </c>
      <c r="Q33" s="65"/>
      <c r="R33" s="64">
        <f t="shared" si="2"/>
        <v>8971</v>
      </c>
      <c r="S33" s="64">
        <f t="shared" si="3"/>
        <v>143536</v>
      </c>
      <c r="T33" s="70" t="s">
        <v>484</v>
      </c>
      <c r="U33" s="4"/>
      <c r="V33" s="4"/>
    </row>
    <row r="34" spans="1:22" x14ac:dyDescent="0.25">
      <c r="A34" s="3">
        <v>33</v>
      </c>
      <c r="B34" s="3">
        <v>3</v>
      </c>
      <c r="C34" s="4" t="s">
        <v>408</v>
      </c>
      <c r="D34" s="4">
        <v>100</v>
      </c>
      <c r="E34" s="4" t="s">
        <v>147</v>
      </c>
      <c r="F34" s="4" t="s">
        <v>409</v>
      </c>
      <c r="G34" s="4" t="s">
        <v>139</v>
      </c>
      <c r="H34" s="4" t="s">
        <v>410</v>
      </c>
      <c r="I34" s="4"/>
      <c r="J34" s="4"/>
      <c r="K34" s="3">
        <v>3</v>
      </c>
      <c r="L34" s="81" t="s">
        <v>498</v>
      </c>
      <c r="M34" s="81" t="s">
        <v>516</v>
      </c>
      <c r="N34" s="3">
        <f t="shared" si="0"/>
        <v>48</v>
      </c>
      <c r="O34" s="68">
        <v>1.7000000000000001E-2</v>
      </c>
      <c r="P34" s="69">
        <f t="shared" si="1"/>
        <v>0.81600000000000006</v>
      </c>
      <c r="Q34" s="65"/>
      <c r="R34" s="64">
        <f t="shared" si="2"/>
        <v>622</v>
      </c>
      <c r="S34" s="64">
        <f t="shared" si="3"/>
        <v>29856</v>
      </c>
      <c r="T34" s="88" t="s">
        <v>483</v>
      </c>
      <c r="U34" s="79" t="s">
        <v>530</v>
      </c>
      <c r="V34" s="4"/>
    </row>
    <row r="35" spans="1:22" x14ac:dyDescent="0.25">
      <c r="A35" s="3">
        <v>34</v>
      </c>
      <c r="B35" s="3">
        <v>1</v>
      </c>
      <c r="C35" s="4" t="s">
        <v>411</v>
      </c>
      <c r="D35" s="4">
        <v>470</v>
      </c>
      <c r="E35" s="4" t="s">
        <v>398</v>
      </c>
      <c r="F35" s="4" t="s">
        <v>412</v>
      </c>
      <c r="G35" s="4" t="s">
        <v>139</v>
      </c>
      <c r="H35" s="4" t="s">
        <v>413</v>
      </c>
      <c r="I35" s="4"/>
      <c r="J35" s="4"/>
      <c r="K35" s="3">
        <v>1</v>
      </c>
      <c r="L35" s="81" t="s">
        <v>498</v>
      </c>
      <c r="M35" s="81" t="s">
        <v>517</v>
      </c>
      <c r="N35" s="3">
        <f t="shared" si="0"/>
        <v>16</v>
      </c>
      <c r="O35" s="68">
        <v>2.5999999999999999E-2</v>
      </c>
      <c r="P35" s="69">
        <f t="shared" si="1"/>
        <v>0.41599999999999998</v>
      </c>
      <c r="Q35" s="65"/>
      <c r="R35" s="64">
        <f t="shared" si="2"/>
        <v>952</v>
      </c>
      <c r="S35" s="64">
        <f t="shared" si="3"/>
        <v>15232</v>
      </c>
      <c r="T35" s="88" t="s">
        <v>483</v>
      </c>
      <c r="U35" s="79" t="s">
        <v>530</v>
      </c>
      <c r="V35" s="4"/>
    </row>
    <row r="36" spans="1:22" x14ac:dyDescent="0.25">
      <c r="A36" s="3">
        <v>35</v>
      </c>
      <c r="B36" s="3">
        <v>1</v>
      </c>
      <c r="C36" s="4" t="s">
        <v>414</v>
      </c>
      <c r="D36" s="4" t="s">
        <v>415</v>
      </c>
      <c r="E36" s="4" t="s">
        <v>147</v>
      </c>
      <c r="F36" s="4" t="s">
        <v>416</v>
      </c>
      <c r="G36" s="4" t="s">
        <v>139</v>
      </c>
      <c r="H36" s="4" t="s">
        <v>417</v>
      </c>
      <c r="I36" s="4"/>
      <c r="J36" s="4"/>
      <c r="K36" s="3">
        <v>1</v>
      </c>
      <c r="L36" s="81" t="s">
        <v>498</v>
      </c>
      <c r="M36" s="81" t="s">
        <v>518</v>
      </c>
      <c r="N36" s="3">
        <f t="shared" si="0"/>
        <v>16</v>
      </c>
      <c r="O36" s="68">
        <v>1.7000000000000001E-2</v>
      </c>
      <c r="P36" s="69">
        <f t="shared" si="1"/>
        <v>0.27200000000000002</v>
      </c>
      <c r="Q36" s="65"/>
      <c r="R36" s="64">
        <f t="shared" si="2"/>
        <v>622</v>
      </c>
      <c r="S36" s="64">
        <f t="shared" si="3"/>
        <v>9952</v>
      </c>
      <c r="T36" s="88" t="s">
        <v>483</v>
      </c>
      <c r="U36" s="79" t="s">
        <v>530</v>
      </c>
      <c r="V36" s="4"/>
    </row>
    <row r="37" spans="1:22" x14ac:dyDescent="0.25">
      <c r="A37" s="3">
        <v>36</v>
      </c>
      <c r="B37" s="3">
        <v>1</v>
      </c>
      <c r="C37" s="4" t="s">
        <v>418</v>
      </c>
      <c r="D37" s="4" t="s">
        <v>419</v>
      </c>
      <c r="E37" s="4" t="s">
        <v>147</v>
      </c>
      <c r="F37" s="4" t="s">
        <v>420</v>
      </c>
      <c r="G37" s="4" t="s">
        <v>139</v>
      </c>
      <c r="H37" s="4" t="s">
        <v>421</v>
      </c>
      <c r="I37" s="4"/>
      <c r="J37" s="4"/>
      <c r="K37" s="3">
        <v>1</v>
      </c>
      <c r="L37" s="81" t="s">
        <v>498</v>
      </c>
      <c r="M37" s="81" t="s">
        <v>519</v>
      </c>
      <c r="N37" s="3">
        <f t="shared" si="0"/>
        <v>16</v>
      </c>
      <c r="O37" s="68">
        <v>2.3E-2</v>
      </c>
      <c r="P37" s="69">
        <f t="shared" si="1"/>
        <v>0.36799999999999999</v>
      </c>
      <c r="Q37" s="65"/>
      <c r="R37" s="64">
        <f t="shared" si="2"/>
        <v>842</v>
      </c>
      <c r="S37" s="64">
        <f t="shared" si="3"/>
        <v>13472</v>
      </c>
      <c r="T37" s="88" t="s">
        <v>483</v>
      </c>
      <c r="U37" s="79" t="s">
        <v>530</v>
      </c>
      <c r="V37" s="4"/>
    </row>
    <row r="38" spans="1:22" x14ac:dyDescent="0.25">
      <c r="A38" s="3">
        <v>37</v>
      </c>
      <c r="B38" s="3">
        <v>1</v>
      </c>
      <c r="C38" s="4" t="s">
        <v>422</v>
      </c>
      <c r="D38" s="4">
        <v>10</v>
      </c>
      <c r="E38" s="4" t="s">
        <v>147</v>
      </c>
      <c r="F38" s="4" t="s">
        <v>423</v>
      </c>
      <c r="G38" s="4" t="s">
        <v>139</v>
      </c>
      <c r="H38" s="4" t="s">
        <v>424</v>
      </c>
      <c r="I38" s="4"/>
      <c r="J38" s="4"/>
      <c r="K38" s="3">
        <v>1</v>
      </c>
      <c r="L38" s="81" t="s">
        <v>498</v>
      </c>
      <c r="M38" s="81" t="s">
        <v>520</v>
      </c>
      <c r="N38" s="3">
        <f t="shared" si="0"/>
        <v>16</v>
      </c>
      <c r="O38" s="68">
        <v>1.7000000000000001E-2</v>
      </c>
      <c r="P38" s="69">
        <f t="shared" si="1"/>
        <v>0.27200000000000002</v>
      </c>
      <c r="Q38" s="65"/>
      <c r="R38" s="64">
        <f t="shared" si="2"/>
        <v>622</v>
      </c>
      <c r="S38" s="64">
        <f t="shared" si="3"/>
        <v>9952</v>
      </c>
      <c r="T38" s="88" t="s">
        <v>483</v>
      </c>
      <c r="U38" s="79" t="s">
        <v>530</v>
      </c>
      <c r="V38" s="4"/>
    </row>
    <row r="39" spans="1:22" x14ac:dyDescent="0.25">
      <c r="A39" s="3">
        <v>38</v>
      </c>
      <c r="B39" s="3">
        <v>1</v>
      </c>
      <c r="C39" s="4" t="s">
        <v>425</v>
      </c>
      <c r="D39" s="4" t="s">
        <v>426</v>
      </c>
      <c r="E39" s="4" t="s">
        <v>147</v>
      </c>
      <c r="F39" s="4" t="s">
        <v>427</v>
      </c>
      <c r="G39" s="4" t="s">
        <v>139</v>
      </c>
      <c r="H39" s="4" t="s">
        <v>428</v>
      </c>
      <c r="I39" s="4"/>
      <c r="J39" s="4"/>
      <c r="K39" s="3">
        <v>1</v>
      </c>
      <c r="L39" s="81" t="s">
        <v>498</v>
      </c>
      <c r="M39" s="81" t="s">
        <v>521</v>
      </c>
      <c r="N39" s="3">
        <f t="shared" si="0"/>
        <v>16</v>
      </c>
      <c r="O39" s="68">
        <v>3.6999999999999998E-2</v>
      </c>
      <c r="P39" s="69">
        <f t="shared" si="1"/>
        <v>0.59199999999999997</v>
      </c>
      <c r="Q39" s="65"/>
      <c r="R39" s="64">
        <f t="shared" si="2"/>
        <v>1355</v>
      </c>
      <c r="S39" s="64">
        <f t="shared" si="3"/>
        <v>21680</v>
      </c>
      <c r="T39" s="88" t="s">
        <v>483</v>
      </c>
      <c r="U39" s="79" t="s">
        <v>530</v>
      </c>
      <c r="V39" s="4"/>
    </row>
    <row r="40" spans="1:22" x14ac:dyDescent="0.25">
      <c r="A40" s="3">
        <v>39</v>
      </c>
      <c r="B40" s="3">
        <v>1</v>
      </c>
      <c r="C40" s="4" t="s">
        <v>171</v>
      </c>
      <c r="D40" s="4">
        <v>0.9</v>
      </c>
      <c r="E40" s="4" t="s">
        <v>398</v>
      </c>
      <c r="F40" s="4" t="s">
        <v>429</v>
      </c>
      <c r="G40" s="4" t="s">
        <v>139</v>
      </c>
      <c r="H40" s="4" t="s">
        <v>430</v>
      </c>
      <c r="I40" s="4"/>
      <c r="J40" s="4"/>
      <c r="K40" s="3">
        <v>1</v>
      </c>
      <c r="L40" s="81" t="s">
        <v>498</v>
      </c>
      <c r="M40" s="81" t="s">
        <v>522</v>
      </c>
      <c r="N40" s="3">
        <f t="shared" si="0"/>
        <v>16</v>
      </c>
      <c r="O40" s="70">
        <v>0.28499999999999998</v>
      </c>
      <c r="P40" s="69">
        <f t="shared" si="1"/>
        <v>4.5599999999999996</v>
      </c>
      <c r="Q40" s="66"/>
      <c r="R40" s="64">
        <f t="shared" si="2"/>
        <v>10436</v>
      </c>
      <c r="S40" s="64">
        <f t="shared" si="3"/>
        <v>166976</v>
      </c>
      <c r="T40" s="88" t="s">
        <v>483</v>
      </c>
      <c r="U40" s="79" t="s">
        <v>530</v>
      </c>
      <c r="V40" s="4"/>
    </row>
    <row r="41" spans="1:22" x14ac:dyDescent="0.25">
      <c r="A41" s="3">
        <v>40</v>
      </c>
      <c r="B41" s="3">
        <v>4</v>
      </c>
      <c r="C41" s="4" t="s">
        <v>431</v>
      </c>
      <c r="D41" s="4">
        <v>22</v>
      </c>
      <c r="E41" s="4" t="s">
        <v>432</v>
      </c>
      <c r="F41" s="4" t="s">
        <v>433</v>
      </c>
      <c r="G41" s="4" t="s">
        <v>406</v>
      </c>
      <c r="H41" s="4" t="s">
        <v>434</v>
      </c>
      <c r="I41" s="4"/>
      <c r="J41" s="4"/>
      <c r="K41" s="3">
        <v>4</v>
      </c>
      <c r="L41" s="4"/>
      <c r="M41" s="4"/>
      <c r="N41" s="3">
        <f t="shared" si="0"/>
        <v>64</v>
      </c>
      <c r="O41" s="71">
        <v>0.59199999999999997</v>
      </c>
      <c r="P41" s="69">
        <f t="shared" si="1"/>
        <v>37.887999999999998</v>
      </c>
      <c r="Q41" s="65"/>
      <c r="R41" s="64">
        <f t="shared" si="2"/>
        <v>21677</v>
      </c>
      <c r="S41" s="64">
        <f t="shared" si="3"/>
        <v>1387328</v>
      </c>
      <c r="T41" s="79" t="s">
        <v>484</v>
      </c>
      <c r="U41" s="78"/>
      <c r="V41" s="4"/>
    </row>
    <row r="42" spans="1:22" x14ac:dyDescent="0.25">
      <c r="A42" s="3">
        <v>41</v>
      </c>
      <c r="B42" s="3">
        <v>12</v>
      </c>
      <c r="C42" s="4" t="s">
        <v>435</v>
      </c>
      <c r="D42" s="4" t="s">
        <v>175</v>
      </c>
      <c r="E42" s="4" t="s">
        <v>147</v>
      </c>
      <c r="F42" s="4" t="s">
        <v>176</v>
      </c>
      <c r="G42" s="4" t="s">
        <v>139</v>
      </c>
      <c r="H42" s="4" t="s">
        <v>177</v>
      </c>
      <c r="I42" s="4"/>
      <c r="J42" s="4"/>
      <c r="K42" s="3">
        <v>12</v>
      </c>
      <c r="L42" s="81" t="s">
        <v>498</v>
      </c>
      <c r="M42" s="81" t="s">
        <v>507</v>
      </c>
      <c r="N42" s="3">
        <f t="shared" si="0"/>
        <v>192</v>
      </c>
      <c r="O42" s="68">
        <v>6.7000000000000002E-3</v>
      </c>
      <c r="P42" s="69">
        <f t="shared" si="1"/>
        <v>1.2864</v>
      </c>
      <c r="Q42" s="65"/>
      <c r="R42" s="64">
        <f t="shared" si="2"/>
        <v>245</v>
      </c>
      <c r="S42" s="64">
        <f t="shared" si="3"/>
        <v>47040</v>
      </c>
      <c r="T42" s="88" t="s">
        <v>483</v>
      </c>
      <c r="U42" s="79" t="s">
        <v>530</v>
      </c>
      <c r="V42" s="4"/>
    </row>
    <row r="43" spans="1:22" x14ac:dyDescent="0.25">
      <c r="A43" s="3">
        <v>42</v>
      </c>
      <c r="B43" s="3">
        <v>4</v>
      </c>
      <c r="C43" s="4" t="s">
        <v>436</v>
      </c>
      <c r="D43" s="4" t="s">
        <v>134</v>
      </c>
      <c r="E43" s="4" t="s">
        <v>147</v>
      </c>
      <c r="F43" s="4" t="s">
        <v>437</v>
      </c>
      <c r="G43" s="4" t="s">
        <v>139</v>
      </c>
      <c r="H43" s="4" t="s">
        <v>438</v>
      </c>
      <c r="I43" s="4"/>
      <c r="J43" s="4"/>
      <c r="K43" s="3">
        <v>4</v>
      </c>
      <c r="L43" s="81" t="s">
        <v>498</v>
      </c>
      <c r="M43" s="81" t="s">
        <v>523</v>
      </c>
      <c r="N43" s="3">
        <f t="shared" si="0"/>
        <v>64</v>
      </c>
      <c r="O43" s="68">
        <v>1.7000000000000001E-2</v>
      </c>
      <c r="P43" s="69">
        <f t="shared" si="1"/>
        <v>1.0880000000000001</v>
      </c>
      <c r="Q43" s="65"/>
      <c r="R43" s="64">
        <f t="shared" si="2"/>
        <v>622</v>
      </c>
      <c r="S43" s="64">
        <f t="shared" si="3"/>
        <v>39808</v>
      </c>
      <c r="T43" s="88" t="s">
        <v>483</v>
      </c>
      <c r="U43" s="79" t="s">
        <v>530</v>
      </c>
      <c r="V43" s="4"/>
    </row>
    <row r="44" spans="1:22" x14ac:dyDescent="0.25">
      <c r="A44" s="10">
        <v>43</v>
      </c>
      <c r="B44" s="10">
        <v>1</v>
      </c>
      <c r="C44" s="11" t="s">
        <v>439</v>
      </c>
      <c r="D44" s="11" t="s">
        <v>440</v>
      </c>
      <c r="E44" s="11" t="s">
        <v>441</v>
      </c>
      <c r="F44" s="11" t="s">
        <v>455</v>
      </c>
      <c r="G44" s="11" t="s">
        <v>456</v>
      </c>
      <c r="H44" s="11" t="s">
        <v>456</v>
      </c>
      <c r="I44" s="11"/>
      <c r="J44" s="11"/>
      <c r="K44" s="10">
        <v>1</v>
      </c>
      <c r="L44" s="11"/>
      <c r="M44" s="11"/>
      <c r="N44" s="10">
        <f t="shared" si="0"/>
        <v>16</v>
      </c>
      <c r="O44" s="72"/>
      <c r="P44" s="69">
        <f t="shared" si="1"/>
        <v>0</v>
      </c>
      <c r="Q44" s="65"/>
      <c r="R44" s="64">
        <f t="shared" si="2"/>
        <v>0</v>
      </c>
      <c r="S44" s="64">
        <f t="shared" si="3"/>
        <v>0</v>
      </c>
      <c r="T44" s="72"/>
      <c r="U44" s="80" t="s">
        <v>492</v>
      </c>
      <c r="V44" s="31" t="s">
        <v>528</v>
      </c>
    </row>
    <row r="45" spans="1:22" x14ac:dyDescent="0.25">
      <c r="A45" s="3">
        <v>44</v>
      </c>
      <c r="B45" s="3">
        <v>1</v>
      </c>
      <c r="C45" s="4" t="s">
        <v>215</v>
      </c>
      <c r="D45" s="4" t="s">
        <v>442</v>
      </c>
      <c r="E45" s="4" t="s">
        <v>443</v>
      </c>
      <c r="F45" s="4" t="s">
        <v>444</v>
      </c>
      <c r="G45" s="4" t="s">
        <v>445</v>
      </c>
      <c r="H45" s="4" t="s">
        <v>442</v>
      </c>
      <c r="I45" s="4"/>
      <c r="J45" s="4"/>
      <c r="K45" s="3">
        <v>1</v>
      </c>
      <c r="L45" s="4"/>
      <c r="M45" s="4"/>
      <c r="N45" s="3">
        <f t="shared" si="0"/>
        <v>16</v>
      </c>
      <c r="O45" s="68">
        <v>1.0029999999999999</v>
      </c>
      <c r="P45" s="69">
        <f t="shared" si="1"/>
        <v>16.047999999999998</v>
      </c>
      <c r="Q45" s="65"/>
      <c r="R45" s="64">
        <f t="shared" si="2"/>
        <v>36726</v>
      </c>
      <c r="S45" s="64">
        <f t="shared" si="3"/>
        <v>587616</v>
      </c>
      <c r="T45" s="67" t="s">
        <v>483</v>
      </c>
      <c r="U45" s="78"/>
      <c r="V45" s="4"/>
    </row>
    <row r="46" spans="1:22" x14ac:dyDescent="0.25">
      <c r="A46" s="3">
        <v>45</v>
      </c>
      <c r="B46" s="3">
        <v>2</v>
      </c>
      <c r="C46" s="4" t="s">
        <v>446</v>
      </c>
      <c r="D46" s="4" t="s">
        <v>447</v>
      </c>
      <c r="E46" s="4" t="s">
        <v>448</v>
      </c>
      <c r="F46" s="4" t="s">
        <v>449</v>
      </c>
      <c r="G46" s="4" t="s">
        <v>70</v>
      </c>
      <c r="H46" s="4" t="s">
        <v>447</v>
      </c>
      <c r="I46" s="4"/>
      <c r="J46" s="4"/>
      <c r="K46" s="3">
        <v>2</v>
      </c>
      <c r="L46" s="4"/>
      <c r="M46" s="4"/>
      <c r="N46" s="3">
        <f t="shared" si="0"/>
        <v>32</v>
      </c>
      <c r="O46" s="68">
        <v>0.57299999999999995</v>
      </c>
      <c r="P46" s="69">
        <f t="shared" si="1"/>
        <v>18.335999999999999</v>
      </c>
      <c r="Q46" s="65"/>
      <c r="R46" s="64">
        <f t="shared" si="2"/>
        <v>20981</v>
      </c>
      <c r="S46" s="64">
        <f t="shared" si="3"/>
        <v>671392</v>
      </c>
      <c r="T46" s="67" t="s">
        <v>483</v>
      </c>
      <c r="U46" s="78"/>
      <c r="V46" s="4"/>
    </row>
    <row r="47" spans="1:22" x14ac:dyDescent="0.25">
      <c r="A47" s="3">
        <v>46</v>
      </c>
      <c r="B47" s="3">
        <v>3</v>
      </c>
      <c r="C47" s="4" t="s">
        <v>450</v>
      </c>
      <c r="D47" s="4" t="s">
        <v>451</v>
      </c>
      <c r="E47" s="4" t="s">
        <v>452</v>
      </c>
      <c r="F47" s="4" t="s">
        <v>453</v>
      </c>
      <c r="G47" s="4" t="s">
        <v>454</v>
      </c>
      <c r="H47" s="4" t="s">
        <v>451</v>
      </c>
      <c r="I47" s="4"/>
      <c r="J47" s="4"/>
      <c r="K47" s="3">
        <v>3</v>
      </c>
      <c r="L47" s="4"/>
      <c r="M47" s="4"/>
      <c r="N47" s="3">
        <f t="shared" si="0"/>
        <v>48</v>
      </c>
      <c r="O47" s="68">
        <v>0.89119999999999999</v>
      </c>
      <c r="P47" s="69">
        <f t="shared" si="1"/>
        <v>42.7776</v>
      </c>
      <c r="Q47" s="65"/>
      <c r="R47" s="64">
        <f t="shared" si="2"/>
        <v>32632</v>
      </c>
      <c r="S47" s="64">
        <f t="shared" si="3"/>
        <v>1566336</v>
      </c>
      <c r="T47" s="67" t="s">
        <v>483</v>
      </c>
      <c r="U47" s="78"/>
      <c r="V47" s="4"/>
    </row>
    <row r="48" spans="1:22" x14ac:dyDescent="0.25">
      <c r="O48" s="2" t="s">
        <v>478</v>
      </c>
      <c r="P48" s="2">
        <f>SUM(P2:P47)</f>
        <v>586.99679999999989</v>
      </c>
      <c r="R48" s="76"/>
      <c r="S48" s="76"/>
    </row>
    <row r="49" spans="15:19" x14ac:dyDescent="0.25">
      <c r="O49" s="2" t="s">
        <v>493</v>
      </c>
      <c r="P49" s="2">
        <f>120*2</f>
        <v>240</v>
      </c>
      <c r="R49" s="76"/>
      <c r="S49" s="75">
        <f>SUM(S2:S48)</f>
        <v>21792512</v>
      </c>
    </row>
    <row r="50" spans="15:19" x14ac:dyDescent="0.25">
      <c r="P50" s="76">
        <f>P49/P48</f>
        <v>0.40886083195002093</v>
      </c>
      <c r="R50" s="76"/>
      <c r="S50" s="75">
        <f>S49*0.1</f>
        <v>2179251.2000000002</v>
      </c>
    </row>
    <row r="51" spans="15:19" x14ac:dyDescent="0.25">
      <c r="O51" s="2" t="s">
        <v>491</v>
      </c>
      <c r="P51" s="2">
        <v>23000</v>
      </c>
      <c r="R51" s="76"/>
      <c r="S51" s="75">
        <f>S49+S50</f>
        <v>23971763.199999999</v>
      </c>
    </row>
    <row r="52" spans="15:19" x14ac:dyDescent="0.25">
      <c r="O52" s="2" t="s">
        <v>494</v>
      </c>
      <c r="P52" s="76">
        <v>0.13</v>
      </c>
      <c r="R52" s="76"/>
      <c r="S52" s="75"/>
    </row>
  </sheetData>
  <sortState ref="A2:V65">
    <sortCondition ref="U2:U65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85" zoomScaleNormal="85" workbookViewId="0">
      <selection activeCell="E23" sqref="E23"/>
    </sheetView>
  </sheetViews>
  <sheetFormatPr defaultRowHeight="15" x14ac:dyDescent="0.25"/>
  <cols>
    <col min="1" max="1" width="4.5703125" bestFit="1" customWidth="1"/>
    <col min="2" max="2" width="9" hidden="1" customWidth="1"/>
    <col min="3" max="3" width="41.85546875" customWidth="1"/>
    <col min="4" max="4" width="26.42578125" customWidth="1"/>
    <col min="5" max="5" width="24.7109375" bestFit="1" customWidth="1"/>
    <col min="6" max="6" width="18.28515625" style="2" bestFit="1" customWidth="1"/>
    <col min="7" max="7" width="11.7109375" style="2" customWidth="1"/>
    <col min="8" max="8" width="9.7109375" style="2" customWidth="1"/>
    <col min="9" max="9" width="10.140625" style="14" customWidth="1"/>
    <col min="10" max="10" width="14.28515625" style="19" bestFit="1" customWidth="1"/>
    <col min="11" max="11" width="16" style="16" bestFit="1" customWidth="1"/>
    <col min="12" max="13" width="43.5703125" customWidth="1"/>
  </cols>
  <sheetData>
    <row r="1" spans="1:13" s="1" customFormat="1" x14ac:dyDescent="0.25">
      <c r="A1" s="7" t="s">
        <v>266</v>
      </c>
      <c r="B1" s="7" t="s">
        <v>268</v>
      </c>
      <c r="C1" s="8" t="s">
        <v>3</v>
      </c>
      <c r="D1" s="8" t="s">
        <v>269</v>
      </c>
      <c r="E1" s="8" t="s">
        <v>270</v>
      </c>
      <c r="F1" s="7" t="s">
        <v>459</v>
      </c>
      <c r="G1" s="7" t="s">
        <v>472</v>
      </c>
      <c r="H1" s="7" t="s">
        <v>473</v>
      </c>
      <c r="I1" s="12" t="s">
        <v>475</v>
      </c>
      <c r="J1" s="18" t="s">
        <v>476</v>
      </c>
      <c r="K1" s="15" t="s">
        <v>477</v>
      </c>
      <c r="L1" s="7" t="s">
        <v>267</v>
      </c>
      <c r="M1" s="7" t="s">
        <v>495</v>
      </c>
    </row>
    <row r="2" spans="1:13" x14ac:dyDescent="0.25">
      <c r="A2" s="3">
        <v>1</v>
      </c>
      <c r="B2" s="3">
        <v>2</v>
      </c>
      <c r="C2" s="4" t="s">
        <v>271</v>
      </c>
      <c r="D2" s="5" t="s">
        <v>272</v>
      </c>
      <c r="E2" s="4" t="s">
        <v>273</v>
      </c>
      <c r="F2" s="3">
        <f>B2*15</f>
        <v>30</v>
      </c>
      <c r="G2" s="3">
        <v>0.21240000000000001</v>
      </c>
      <c r="H2" s="3">
        <f>F2*G2</f>
        <v>6.3719999999999999</v>
      </c>
      <c r="I2" s="13">
        <v>0.15</v>
      </c>
      <c r="J2" s="20">
        <f>ROUND(H2*(1+$H$18)*(1+I2)*(1+$H$19)*23000/F2,-1)</f>
        <v>7800</v>
      </c>
      <c r="K2" s="17">
        <f>J2*F2</f>
        <v>234000</v>
      </c>
      <c r="L2" s="4"/>
      <c r="M2" s="4"/>
    </row>
    <row r="3" spans="1:13" x14ac:dyDescent="0.25">
      <c r="A3" s="3">
        <v>2</v>
      </c>
      <c r="B3" s="3">
        <v>12</v>
      </c>
      <c r="C3" s="4" t="s">
        <v>274</v>
      </c>
      <c r="D3" s="5" t="s">
        <v>272</v>
      </c>
      <c r="E3" s="4" t="s">
        <v>275</v>
      </c>
      <c r="F3" s="3">
        <f t="shared" ref="F3:F4" si="0">B3*15</f>
        <v>180</v>
      </c>
      <c r="G3" s="3">
        <v>0.24560000000000001</v>
      </c>
      <c r="H3" s="3">
        <f t="shared" ref="H3:H9" si="1">F3*G3</f>
        <v>44.208000000000006</v>
      </c>
      <c r="I3" s="13">
        <v>0.15</v>
      </c>
      <c r="J3" s="20">
        <f t="shared" ref="J3:J9" si="2">ROUND(H3*(1+$H$18)*(1+I3)*(1+$H$19)*23000/F3,-1)</f>
        <v>9020</v>
      </c>
      <c r="K3" s="17">
        <f t="shared" ref="K3:K9" si="3">J3*F3</f>
        <v>1623600</v>
      </c>
      <c r="L3" s="4"/>
      <c r="M3" s="4"/>
    </row>
    <row r="4" spans="1:13" x14ac:dyDescent="0.25">
      <c r="A4" s="48">
        <v>3</v>
      </c>
      <c r="B4" s="48">
        <v>1</v>
      </c>
      <c r="C4" s="49" t="s">
        <v>276</v>
      </c>
      <c r="D4" s="49" t="s">
        <v>277</v>
      </c>
      <c r="E4" s="49" t="s">
        <v>278</v>
      </c>
      <c r="F4" s="48">
        <f t="shared" si="0"/>
        <v>15</v>
      </c>
      <c r="G4" s="48"/>
      <c r="H4" s="48">
        <f t="shared" si="1"/>
        <v>0</v>
      </c>
      <c r="I4" s="50"/>
      <c r="J4" s="51">
        <f t="shared" si="2"/>
        <v>0</v>
      </c>
      <c r="K4" s="52">
        <f t="shared" si="3"/>
        <v>0</v>
      </c>
      <c r="L4" s="31" t="s">
        <v>531</v>
      </c>
      <c r="M4" s="85" t="s">
        <v>525</v>
      </c>
    </row>
    <row r="5" spans="1:13" x14ac:dyDescent="0.25">
      <c r="A5" s="3">
        <v>4</v>
      </c>
      <c r="B5" s="3">
        <v>1</v>
      </c>
      <c r="C5" s="111" t="s">
        <v>541</v>
      </c>
      <c r="D5" s="111" t="s">
        <v>534</v>
      </c>
      <c r="E5" s="111" t="s">
        <v>542</v>
      </c>
      <c r="F5" s="3">
        <v>1</v>
      </c>
      <c r="G5" s="87"/>
      <c r="H5" s="3">
        <f t="shared" si="1"/>
        <v>0</v>
      </c>
      <c r="I5" s="13">
        <v>0.1</v>
      </c>
      <c r="J5" s="20">
        <f t="shared" si="2"/>
        <v>0</v>
      </c>
      <c r="K5" s="17">
        <f t="shared" si="3"/>
        <v>0</v>
      </c>
      <c r="L5" s="4"/>
      <c r="M5" s="4"/>
    </row>
    <row r="6" spans="1:13" s="105" customFormat="1" x14ac:dyDescent="0.25">
      <c r="A6" s="97">
        <v>5</v>
      </c>
      <c r="B6" s="97">
        <v>8</v>
      </c>
      <c r="C6" s="98" t="s">
        <v>460</v>
      </c>
      <c r="D6" s="99" t="s">
        <v>462</v>
      </c>
      <c r="E6" s="98" t="s">
        <v>461</v>
      </c>
      <c r="F6" s="100">
        <f>B6*15+30</f>
        <v>150</v>
      </c>
      <c r="G6" s="100">
        <v>0.30170000000000002</v>
      </c>
      <c r="H6" s="100">
        <f t="shared" si="1"/>
        <v>45.255000000000003</v>
      </c>
      <c r="I6" s="101">
        <v>0.15</v>
      </c>
      <c r="J6" s="102">
        <f t="shared" si="2"/>
        <v>11080</v>
      </c>
      <c r="K6" s="103">
        <f t="shared" si="3"/>
        <v>1662000</v>
      </c>
      <c r="L6" s="104"/>
      <c r="M6" s="104"/>
    </row>
    <row r="7" spans="1:13" s="105" customFormat="1" ht="30" x14ac:dyDescent="0.25">
      <c r="A7" s="97">
        <v>6</v>
      </c>
      <c r="B7" s="97">
        <v>2</v>
      </c>
      <c r="C7" s="98" t="s">
        <v>463</v>
      </c>
      <c r="D7" s="99" t="s">
        <v>465</v>
      </c>
      <c r="E7" s="98" t="s">
        <v>464</v>
      </c>
      <c r="F7" s="100">
        <f t="shared" ref="F7:F9" si="4">B7*15</f>
        <v>30</v>
      </c>
      <c r="G7" s="100">
        <v>9.7696000000000005</v>
      </c>
      <c r="H7" s="100">
        <f t="shared" si="1"/>
        <v>293.08800000000002</v>
      </c>
      <c r="I7" s="101">
        <v>0.15</v>
      </c>
      <c r="J7" s="102">
        <f t="shared" si="2"/>
        <v>358680</v>
      </c>
      <c r="K7" s="103">
        <f t="shared" si="3"/>
        <v>10760400</v>
      </c>
      <c r="L7" s="104"/>
      <c r="M7" s="104"/>
    </row>
    <row r="8" spans="1:13" s="105" customFormat="1" x14ac:dyDescent="0.25">
      <c r="A8" s="97">
        <v>7</v>
      </c>
      <c r="B8" s="97">
        <v>2</v>
      </c>
      <c r="C8" s="98" t="s">
        <v>466</v>
      </c>
      <c r="D8" s="99" t="s">
        <v>467</v>
      </c>
      <c r="E8" s="98" t="s">
        <v>468</v>
      </c>
      <c r="F8" s="100">
        <f t="shared" si="4"/>
        <v>30</v>
      </c>
      <c r="G8" s="100">
        <v>2.0768</v>
      </c>
      <c r="H8" s="100">
        <f t="shared" si="1"/>
        <v>62.304000000000002</v>
      </c>
      <c r="I8" s="101">
        <v>0.1</v>
      </c>
      <c r="J8" s="102">
        <f t="shared" si="2"/>
        <v>72930</v>
      </c>
      <c r="K8" s="103">
        <f t="shared" si="3"/>
        <v>2187900</v>
      </c>
      <c r="L8" s="104"/>
      <c r="M8" s="104"/>
    </row>
    <row r="9" spans="1:13" s="105" customFormat="1" x14ac:dyDescent="0.25">
      <c r="A9" s="97">
        <v>8</v>
      </c>
      <c r="B9" s="97">
        <v>1</v>
      </c>
      <c r="C9" s="98" t="s">
        <v>469</v>
      </c>
      <c r="D9" s="99" t="s">
        <v>471</v>
      </c>
      <c r="E9" s="98" t="s">
        <v>470</v>
      </c>
      <c r="F9" s="100">
        <f t="shared" si="4"/>
        <v>15</v>
      </c>
      <c r="G9" s="100">
        <v>4.95</v>
      </c>
      <c r="H9" s="100">
        <f t="shared" si="1"/>
        <v>74.25</v>
      </c>
      <c r="I9" s="101">
        <v>0.2</v>
      </c>
      <c r="J9" s="102">
        <f t="shared" si="2"/>
        <v>189640</v>
      </c>
      <c r="K9" s="103">
        <f t="shared" si="3"/>
        <v>2844600</v>
      </c>
      <c r="L9" s="104" t="s">
        <v>474</v>
      </c>
      <c r="M9" s="104"/>
    </row>
    <row r="10" spans="1:13" ht="31.5" customHeight="1" x14ac:dyDescent="0.25">
      <c r="A10" s="91">
        <v>9</v>
      </c>
      <c r="B10" s="91"/>
      <c r="C10" s="112" t="s">
        <v>535</v>
      </c>
      <c r="D10" s="112"/>
      <c r="E10" s="112"/>
      <c r="F10" s="91">
        <v>30</v>
      </c>
      <c r="G10" s="3"/>
      <c r="H10" s="3"/>
      <c r="I10" s="13"/>
      <c r="J10" s="20"/>
      <c r="K10" s="17"/>
      <c r="L10" s="4"/>
      <c r="M10" s="85" t="s">
        <v>536</v>
      </c>
    </row>
    <row r="11" spans="1:13" ht="31.5" customHeight="1" x14ac:dyDescent="0.25">
      <c r="A11" s="91">
        <v>10</v>
      </c>
      <c r="B11" s="91"/>
      <c r="C11" s="112" t="s">
        <v>545</v>
      </c>
      <c r="D11" s="112"/>
      <c r="E11" s="112"/>
      <c r="F11" s="91">
        <v>30</v>
      </c>
      <c r="G11" s="3"/>
      <c r="H11" s="3"/>
      <c r="I11" s="13"/>
      <c r="J11" s="20"/>
      <c r="K11" s="17"/>
      <c r="L11" s="4"/>
      <c r="M11" s="85" t="s">
        <v>546</v>
      </c>
    </row>
    <row r="12" spans="1:13" ht="31.5" customHeight="1" x14ac:dyDescent="0.25">
      <c r="A12" s="91">
        <v>11</v>
      </c>
      <c r="B12" s="91"/>
      <c r="C12" s="112" t="s">
        <v>537</v>
      </c>
      <c r="D12" s="112"/>
      <c r="E12" s="112"/>
      <c r="F12" s="91">
        <v>1</v>
      </c>
      <c r="G12" s="3"/>
      <c r="H12" s="3"/>
      <c r="I12" s="13"/>
      <c r="J12" s="20"/>
      <c r="K12" s="17"/>
      <c r="L12" s="4"/>
      <c r="M12" s="85" t="s">
        <v>538</v>
      </c>
    </row>
    <row r="13" spans="1:13" x14ac:dyDescent="0.25">
      <c r="A13" s="91">
        <v>12</v>
      </c>
      <c r="B13" s="111"/>
      <c r="C13" s="111" t="s">
        <v>539</v>
      </c>
      <c r="D13" s="111"/>
      <c r="E13" s="111"/>
      <c r="F13" s="91">
        <v>15</v>
      </c>
      <c r="G13" s="3"/>
      <c r="H13" s="3"/>
      <c r="I13" s="13"/>
      <c r="J13" s="106"/>
      <c r="K13" s="107"/>
      <c r="L13" s="4"/>
      <c r="M13" s="85" t="s">
        <v>540</v>
      </c>
    </row>
    <row r="14" spans="1:13" ht="18" customHeight="1" x14ac:dyDescent="0.25">
      <c r="A14" s="91">
        <v>13</v>
      </c>
      <c r="B14" s="111"/>
      <c r="C14" s="112" t="s">
        <v>543</v>
      </c>
      <c r="D14" s="111"/>
      <c r="E14" s="111"/>
      <c r="F14" s="91">
        <v>15</v>
      </c>
      <c r="G14" s="3"/>
      <c r="H14" s="3"/>
      <c r="I14" s="13"/>
      <c r="J14" s="106"/>
      <c r="K14" s="107"/>
      <c r="L14" s="4"/>
      <c r="M14" s="85" t="s">
        <v>544</v>
      </c>
    </row>
    <row r="15" spans="1:13" x14ac:dyDescent="0.25">
      <c r="A15" s="93"/>
      <c r="B15" s="96"/>
      <c r="C15" s="96"/>
      <c r="D15" s="96"/>
      <c r="E15" s="96"/>
      <c r="F15" s="94"/>
      <c r="G15" s="94"/>
      <c r="H15" s="94"/>
      <c r="I15" s="95"/>
      <c r="J15" s="108"/>
      <c r="K15" s="109"/>
      <c r="L15" s="96"/>
      <c r="M15" s="110"/>
    </row>
    <row r="16" spans="1:13" x14ac:dyDescent="0.25">
      <c r="F16" s="169" t="s">
        <v>478</v>
      </c>
      <c r="G16" s="169"/>
      <c r="H16" s="21">
        <f>SUM(H2:H13)</f>
        <v>525.47699999999998</v>
      </c>
      <c r="I16" s="22"/>
      <c r="J16" s="23"/>
      <c r="K16" s="24">
        <f>SUM(K2:K13)</f>
        <v>19312500</v>
      </c>
    </row>
    <row r="17" spans="6:11" x14ac:dyDescent="0.25">
      <c r="F17" s="169" t="s">
        <v>479</v>
      </c>
      <c r="G17" s="169"/>
      <c r="H17" s="21">
        <v>120</v>
      </c>
      <c r="I17" s="22"/>
      <c r="J17" s="23"/>
      <c r="K17" s="24">
        <f>K16*0.1</f>
        <v>1931250</v>
      </c>
    </row>
    <row r="18" spans="6:11" x14ac:dyDescent="0.25">
      <c r="F18" s="21"/>
      <c r="G18" s="21"/>
      <c r="H18" s="22">
        <f>H17/H16</f>
        <v>0.22836394361694234</v>
      </c>
      <c r="I18" s="22"/>
      <c r="J18" s="23"/>
      <c r="K18" s="24">
        <f>K16+K17</f>
        <v>21243750</v>
      </c>
    </row>
    <row r="19" spans="6:11" x14ac:dyDescent="0.25">
      <c r="F19" s="169" t="s">
        <v>480</v>
      </c>
      <c r="G19" s="169"/>
      <c r="H19" s="22">
        <v>0.13</v>
      </c>
      <c r="I19" s="22"/>
      <c r="J19" s="23"/>
      <c r="K19" s="25"/>
    </row>
  </sheetData>
  <mergeCells count="3">
    <mergeCell ref="F16:G16"/>
    <mergeCell ref="F17:G17"/>
    <mergeCell ref="F19:G19"/>
  </mergeCells>
  <hyperlinks>
    <hyperlink ref="M4" r:id="rId1"/>
    <hyperlink ref="M10" r:id="rId2"/>
    <hyperlink ref="M12" r:id="rId3"/>
    <hyperlink ref="M13" r:id="rId4"/>
    <hyperlink ref="M14" r:id="rId5"/>
    <hyperlink ref="M11" r:id="rId6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C1" workbookViewId="0">
      <pane ySplit="1" topLeftCell="A29" activePane="bottomLeft" state="frozen"/>
      <selection pane="bottomLeft" activeCell="G63" sqref="G63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1.85546875" customWidth="1"/>
    <col min="4" max="4" width="28.5703125" customWidth="1"/>
    <col min="5" max="5" width="8.42578125" customWidth="1"/>
    <col min="6" max="6" width="8.7109375" customWidth="1"/>
    <col min="7" max="7" width="9.7109375" customWidth="1"/>
    <col min="8" max="8" width="11.5703125" customWidth="1"/>
    <col min="9" max="9" width="9.7109375" customWidth="1"/>
  </cols>
  <sheetData>
    <row r="1" spans="1:11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757</v>
      </c>
      <c r="K1" s="1" t="s">
        <v>556</v>
      </c>
    </row>
    <row r="2" spans="1:11" x14ac:dyDescent="0.25">
      <c r="A2">
        <v>1</v>
      </c>
      <c r="B2">
        <v>4000</v>
      </c>
      <c r="C2" t="s">
        <v>11</v>
      </c>
      <c r="D2" t="s">
        <v>557</v>
      </c>
      <c r="F2">
        <v>0</v>
      </c>
      <c r="G2">
        <v>4000</v>
      </c>
      <c r="H2">
        <v>1.6449999999999999E-2</v>
      </c>
      <c r="I2">
        <v>65.78</v>
      </c>
      <c r="J2">
        <f>H2</f>
        <v>1.6449999999999999E-2</v>
      </c>
      <c r="K2">
        <f>J2*B2</f>
        <v>65.8</v>
      </c>
    </row>
    <row r="3" spans="1:11" x14ac:dyDescent="0.25">
      <c r="A3">
        <v>2</v>
      </c>
      <c r="B3">
        <v>28000</v>
      </c>
      <c r="C3" t="s">
        <v>15</v>
      </c>
      <c r="D3" t="s">
        <v>558</v>
      </c>
      <c r="F3">
        <v>0</v>
      </c>
      <c r="G3">
        <v>28000</v>
      </c>
      <c r="H3">
        <v>1.584E-2</v>
      </c>
      <c r="I3">
        <v>443.52</v>
      </c>
      <c r="J3">
        <f t="shared" ref="J3:J59" si="0">H3</f>
        <v>1.584E-2</v>
      </c>
      <c r="K3">
        <f t="shared" ref="K3:K59" si="1">J3*B3</f>
        <v>443.52</v>
      </c>
    </row>
    <row r="4" spans="1:11" x14ac:dyDescent="0.25">
      <c r="A4">
        <v>3</v>
      </c>
      <c r="B4">
        <v>2000</v>
      </c>
      <c r="C4" t="s">
        <v>559</v>
      </c>
      <c r="D4" t="s">
        <v>560</v>
      </c>
      <c r="F4">
        <v>2000</v>
      </c>
      <c r="G4">
        <v>0</v>
      </c>
      <c r="H4">
        <v>5.8200000000000002E-2</v>
      </c>
      <c r="I4">
        <v>116.4</v>
      </c>
      <c r="J4">
        <f t="shared" si="0"/>
        <v>5.8200000000000002E-2</v>
      </c>
      <c r="K4">
        <f t="shared" si="1"/>
        <v>116.4</v>
      </c>
    </row>
    <row r="5" spans="1:11" x14ac:dyDescent="0.25">
      <c r="A5">
        <v>4</v>
      </c>
      <c r="B5">
        <v>4000</v>
      </c>
      <c r="C5" t="s">
        <v>24</v>
      </c>
      <c r="D5" t="s">
        <v>561</v>
      </c>
      <c r="F5">
        <v>0</v>
      </c>
      <c r="G5">
        <v>4000</v>
      </c>
      <c r="H5">
        <v>1.29E-2</v>
      </c>
      <c r="I5">
        <v>51.61</v>
      </c>
      <c r="J5">
        <f t="shared" si="0"/>
        <v>1.29E-2</v>
      </c>
      <c r="K5">
        <f t="shared" si="1"/>
        <v>51.6</v>
      </c>
    </row>
    <row r="6" spans="1:11" x14ac:dyDescent="0.25">
      <c r="A6">
        <v>5</v>
      </c>
      <c r="B6">
        <v>8000</v>
      </c>
      <c r="C6" t="s">
        <v>28</v>
      </c>
      <c r="D6" t="s">
        <v>562</v>
      </c>
      <c r="F6">
        <v>0</v>
      </c>
      <c r="G6">
        <v>8000</v>
      </c>
      <c r="H6">
        <v>1.1780000000000001E-2</v>
      </c>
      <c r="I6">
        <v>94.25</v>
      </c>
      <c r="J6">
        <f t="shared" si="0"/>
        <v>1.1780000000000001E-2</v>
      </c>
      <c r="K6">
        <f t="shared" si="1"/>
        <v>94.240000000000009</v>
      </c>
    </row>
    <row r="7" spans="1:11" x14ac:dyDescent="0.25">
      <c r="A7">
        <v>6</v>
      </c>
      <c r="B7">
        <v>2000</v>
      </c>
      <c r="C7" t="s">
        <v>563</v>
      </c>
      <c r="D7" t="s">
        <v>564</v>
      </c>
      <c r="F7">
        <v>2000</v>
      </c>
      <c r="G7">
        <v>0</v>
      </c>
      <c r="H7">
        <v>1.7780000000000001E-2</v>
      </c>
      <c r="I7">
        <v>35.56</v>
      </c>
      <c r="J7">
        <f t="shared" si="0"/>
        <v>1.7780000000000001E-2</v>
      </c>
      <c r="K7">
        <f t="shared" si="1"/>
        <v>35.56</v>
      </c>
    </row>
    <row r="8" spans="1:11" x14ac:dyDescent="0.25">
      <c r="A8">
        <v>7</v>
      </c>
      <c r="B8">
        <v>1000</v>
      </c>
      <c r="C8" t="s">
        <v>38</v>
      </c>
      <c r="D8" t="s">
        <v>565</v>
      </c>
      <c r="F8">
        <v>1000</v>
      </c>
      <c r="G8">
        <v>0</v>
      </c>
      <c r="H8">
        <v>0.28627000000000002</v>
      </c>
      <c r="I8">
        <v>286.27</v>
      </c>
      <c r="J8">
        <f t="shared" si="0"/>
        <v>0.28627000000000002</v>
      </c>
      <c r="K8">
        <f t="shared" si="1"/>
        <v>286.27000000000004</v>
      </c>
    </row>
    <row r="9" spans="1:11" x14ac:dyDescent="0.25">
      <c r="A9">
        <v>8</v>
      </c>
      <c r="B9">
        <v>2000</v>
      </c>
      <c r="C9" t="s">
        <v>43</v>
      </c>
      <c r="D9" t="s">
        <v>566</v>
      </c>
      <c r="F9">
        <v>0</v>
      </c>
      <c r="G9">
        <v>2000</v>
      </c>
      <c r="H9">
        <v>0.14960000000000001</v>
      </c>
      <c r="I9">
        <v>299.2</v>
      </c>
      <c r="J9">
        <f t="shared" si="0"/>
        <v>0.14960000000000001</v>
      </c>
      <c r="K9">
        <f t="shared" si="1"/>
        <v>299.20000000000005</v>
      </c>
    </row>
    <row r="10" spans="1:11" x14ac:dyDescent="0.25">
      <c r="A10">
        <v>9</v>
      </c>
      <c r="B10">
        <v>1000</v>
      </c>
      <c r="C10" t="s">
        <v>49</v>
      </c>
      <c r="D10" t="s">
        <v>567</v>
      </c>
      <c r="F10">
        <v>1000</v>
      </c>
      <c r="G10">
        <v>0</v>
      </c>
      <c r="H10">
        <v>5.9459999999999999E-2</v>
      </c>
      <c r="I10">
        <v>59.46</v>
      </c>
      <c r="J10">
        <f t="shared" si="0"/>
        <v>5.9459999999999999E-2</v>
      </c>
      <c r="K10">
        <f t="shared" si="1"/>
        <v>59.46</v>
      </c>
    </row>
    <row r="11" spans="1:11" x14ac:dyDescent="0.25">
      <c r="A11">
        <v>10</v>
      </c>
      <c r="B11">
        <v>1000</v>
      </c>
      <c r="C11" t="s">
        <v>53</v>
      </c>
      <c r="D11" t="s">
        <v>568</v>
      </c>
      <c r="F11">
        <v>1000</v>
      </c>
      <c r="G11">
        <v>0</v>
      </c>
      <c r="H11">
        <v>5.9459999999999999E-2</v>
      </c>
      <c r="I11">
        <v>59.46</v>
      </c>
      <c r="J11">
        <f t="shared" si="0"/>
        <v>5.9459999999999999E-2</v>
      </c>
      <c r="K11">
        <f t="shared" si="1"/>
        <v>59.46</v>
      </c>
    </row>
    <row r="12" spans="1:11" x14ac:dyDescent="0.25">
      <c r="A12">
        <v>11</v>
      </c>
      <c r="B12">
        <v>1000</v>
      </c>
      <c r="C12" t="s">
        <v>57</v>
      </c>
      <c r="D12" t="s">
        <v>569</v>
      </c>
      <c r="F12">
        <v>1000</v>
      </c>
      <c r="G12">
        <v>0</v>
      </c>
      <c r="H12">
        <v>5.9459999999999999E-2</v>
      </c>
      <c r="I12">
        <v>59.46</v>
      </c>
      <c r="J12">
        <f t="shared" si="0"/>
        <v>5.9459999999999999E-2</v>
      </c>
      <c r="K12">
        <f t="shared" si="1"/>
        <v>59.46</v>
      </c>
    </row>
    <row r="13" spans="1:11" x14ac:dyDescent="0.25">
      <c r="A13">
        <v>12</v>
      </c>
      <c r="B13">
        <v>2000</v>
      </c>
      <c r="C13" t="s">
        <v>570</v>
      </c>
      <c r="D13" t="s">
        <v>571</v>
      </c>
      <c r="F13">
        <v>2000</v>
      </c>
      <c r="G13">
        <v>0</v>
      </c>
      <c r="H13">
        <v>0.10723000000000001</v>
      </c>
      <c r="I13">
        <v>214.46</v>
      </c>
      <c r="J13">
        <f t="shared" si="0"/>
        <v>0.10723000000000001</v>
      </c>
      <c r="K13">
        <f t="shared" si="1"/>
        <v>214.46</v>
      </c>
    </row>
    <row r="14" spans="1:11" x14ac:dyDescent="0.25">
      <c r="A14">
        <v>13</v>
      </c>
      <c r="B14">
        <v>3000</v>
      </c>
      <c r="C14" t="s">
        <v>68</v>
      </c>
      <c r="D14" t="s">
        <v>572</v>
      </c>
      <c r="F14">
        <v>3000</v>
      </c>
      <c r="G14">
        <v>0</v>
      </c>
      <c r="H14">
        <v>3.2259999999999997E-2</v>
      </c>
      <c r="I14">
        <v>96.77</v>
      </c>
      <c r="J14">
        <f t="shared" si="0"/>
        <v>3.2259999999999997E-2</v>
      </c>
      <c r="K14">
        <f t="shared" si="1"/>
        <v>96.779999999999987</v>
      </c>
    </row>
    <row r="15" spans="1:11" x14ac:dyDescent="0.25">
      <c r="A15">
        <v>14</v>
      </c>
      <c r="B15">
        <v>1000</v>
      </c>
      <c r="C15" t="s">
        <v>573</v>
      </c>
      <c r="D15" t="s">
        <v>572</v>
      </c>
      <c r="F15">
        <v>1000</v>
      </c>
      <c r="G15">
        <v>0</v>
      </c>
      <c r="H15">
        <v>4.6109999999999998E-2</v>
      </c>
      <c r="I15">
        <v>46.11</v>
      </c>
      <c r="J15">
        <f t="shared" si="0"/>
        <v>4.6109999999999998E-2</v>
      </c>
      <c r="K15">
        <f t="shared" si="1"/>
        <v>46.11</v>
      </c>
    </row>
    <row r="16" spans="1:11" x14ac:dyDescent="0.25">
      <c r="A16">
        <v>15</v>
      </c>
      <c r="B16">
        <v>1000</v>
      </c>
      <c r="C16" t="s">
        <v>72</v>
      </c>
      <c r="D16" t="s">
        <v>574</v>
      </c>
      <c r="F16">
        <v>1000</v>
      </c>
      <c r="G16">
        <v>0</v>
      </c>
      <c r="H16">
        <v>0.27353</v>
      </c>
      <c r="I16">
        <v>273.52999999999997</v>
      </c>
      <c r="J16">
        <f t="shared" si="0"/>
        <v>0.27353</v>
      </c>
      <c r="K16">
        <f t="shared" si="1"/>
        <v>273.52999999999997</v>
      </c>
    </row>
    <row r="17" spans="1:11" x14ac:dyDescent="0.25">
      <c r="A17">
        <v>16</v>
      </c>
      <c r="B17">
        <v>1000</v>
      </c>
      <c r="C17" t="s">
        <v>81</v>
      </c>
      <c r="D17" t="s">
        <v>575</v>
      </c>
      <c r="F17">
        <v>690</v>
      </c>
      <c r="G17">
        <v>310</v>
      </c>
      <c r="H17">
        <v>0.87150000000000005</v>
      </c>
      <c r="I17">
        <v>871.5</v>
      </c>
      <c r="J17">
        <f t="shared" si="0"/>
        <v>0.87150000000000005</v>
      </c>
      <c r="K17">
        <f t="shared" si="1"/>
        <v>871.5</v>
      </c>
    </row>
    <row r="18" spans="1:11" x14ac:dyDescent="0.25">
      <c r="A18">
        <v>17</v>
      </c>
      <c r="B18">
        <v>1000</v>
      </c>
      <c r="C18" t="s">
        <v>86</v>
      </c>
      <c r="D18" t="s">
        <v>576</v>
      </c>
      <c r="F18">
        <v>765</v>
      </c>
      <c r="G18">
        <v>235</v>
      </c>
      <c r="H18">
        <v>0.752</v>
      </c>
      <c r="I18">
        <v>752</v>
      </c>
      <c r="J18">
        <f t="shared" si="0"/>
        <v>0.752</v>
      </c>
      <c r="K18">
        <f t="shared" si="1"/>
        <v>752</v>
      </c>
    </row>
    <row r="19" spans="1:11" x14ac:dyDescent="0.25">
      <c r="A19">
        <v>18</v>
      </c>
      <c r="B19">
        <v>1500</v>
      </c>
      <c r="C19" t="s">
        <v>577</v>
      </c>
      <c r="D19" t="s">
        <v>578</v>
      </c>
      <c r="F19">
        <v>0</v>
      </c>
      <c r="G19">
        <v>1500</v>
      </c>
      <c r="H19">
        <v>9.5030000000000003E-2</v>
      </c>
      <c r="I19">
        <v>142.55000000000001</v>
      </c>
      <c r="J19">
        <f t="shared" si="0"/>
        <v>9.5030000000000003E-2</v>
      </c>
      <c r="K19">
        <f t="shared" si="1"/>
        <v>142.54500000000002</v>
      </c>
    </row>
    <row r="20" spans="1:11" x14ac:dyDescent="0.25">
      <c r="A20">
        <v>19</v>
      </c>
      <c r="B20">
        <v>3000</v>
      </c>
      <c r="C20" t="s">
        <v>636</v>
      </c>
      <c r="D20" t="s">
        <v>96</v>
      </c>
      <c r="F20">
        <v>3000</v>
      </c>
      <c r="G20">
        <v>0</v>
      </c>
      <c r="H20">
        <v>0.12705</v>
      </c>
      <c r="I20">
        <v>381.15</v>
      </c>
      <c r="J20">
        <f t="shared" si="0"/>
        <v>0.12705</v>
      </c>
      <c r="K20">
        <f t="shared" si="1"/>
        <v>381.15</v>
      </c>
    </row>
    <row r="21" spans="1:11" x14ac:dyDescent="0.25">
      <c r="A21">
        <v>20</v>
      </c>
      <c r="B21">
        <v>1000</v>
      </c>
      <c r="C21" t="s">
        <v>579</v>
      </c>
      <c r="D21" t="s">
        <v>96</v>
      </c>
      <c r="F21">
        <v>1000</v>
      </c>
      <c r="G21">
        <v>0</v>
      </c>
      <c r="H21">
        <v>0.15945999999999999</v>
      </c>
      <c r="I21">
        <v>159.46</v>
      </c>
      <c r="J21">
        <f t="shared" si="0"/>
        <v>0.15945999999999999</v>
      </c>
      <c r="K21">
        <f t="shared" si="1"/>
        <v>159.45999999999998</v>
      </c>
    </row>
    <row r="22" spans="1:11" x14ac:dyDescent="0.25">
      <c r="A22">
        <v>21</v>
      </c>
      <c r="B22">
        <v>2000</v>
      </c>
      <c r="C22" t="s">
        <v>103</v>
      </c>
      <c r="D22" t="s">
        <v>580</v>
      </c>
      <c r="F22">
        <v>2000</v>
      </c>
      <c r="G22">
        <v>0</v>
      </c>
      <c r="H22">
        <v>0.2145</v>
      </c>
      <c r="I22">
        <v>429</v>
      </c>
      <c r="J22">
        <f t="shared" si="0"/>
        <v>0.2145</v>
      </c>
      <c r="K22">
        <f t="shared" si="1"/>
        <v>429</v>
      </c>
    </row>
    <row r="23" spans="1:11" x14ac:dyDescent="0.25">
      <c r="A23">
        <v>22</v>
      </c>
      <c r="B23">
        <v>1000</v>
      </c>
      <c r="C23" t="s">
        <v>109</v>
      </c>
      <c r="D23" t="s">
        <v>581</v>
      </c>
      <c r="F23">
        <v>1000</v>
      </c>
      <c r="G23">
        <v>0</v>
      </c>
      <c r="H23">
        <v>1.9285000000000001</v>
      </c>
      <c r="I23">
        <v>1928.5</v>
      </c>
      <c r="J23">
        <f t="shared" si="0"/>
        <v>1.9285000000000001</v>
      </c>
      <c r="K23">
        <v>1</v>
      </c>
    </row>
    <row r="24" spans="1:11" x14ac:dyDescent="0.25">
      <c r="A24">
        <v>23</v>
      </c>
      <c r="B24">
        <v>1200</v>
      </c>
      <c r="C24">
        <v>785260001</v>
      </c>
      <c r="D24" t="s">
        <v>112</v>
      </c>
      <c r="F24">
        <v>0</v>
      </c>
      <c r="G24">
        <v>1200</v>
      </c>
      <c r="H24">
        <v>0.79425000000000001</v>
      </c>
      <c r="I24">
        <v>953.1</v>
      </c>
      <c r="J24">
        <v>0.5</v>
      </c>
      <c r="K24">
        <f t="shared" si="1"/>
        <v>600</v>
      </c>
    </row>
    <row r="25" spans="1:11" x14ac:dyDescent="0.25">
      <c r="A25">
        <v>24</v>
      </c>
      <c r="B25">
        <v>1000</v>
      </c>
      <c r="C25" t="s">
        <v>582</v>
      </c>
      <c r="D25" t="s">
        <v>117</v>
      </c>
      <c r="F25">
        <v>1000</v>
      </c>
      <c r="G25">
        <v>0</v>
      </c>
      <c r="H25">
        <v>3.9449999999999999E-2</v>
      </c>
      <c r="I25">
        <v>39.450000000000003</v>
      </c>
      <c r="J25">
        <f t="shared" si="0"/>
        <v>3.9449999999999999E-2</v>
      </c>
      <c r="K25">
        <f t="shared" si="1"/>
        <v>39.449999999999996</v>
      </c>
    </row>
    <row r="26" spans="1:11" x14ac:dyDescent="0.25">
      <c r="A26">
        <v>25</v>
      </c>
      <c r="B26">
        <v>1000</v>
      </c>
      <c r="C26" t="s">
        <v>583</v>
      </c>
      <c r="D26" t="s">
        <v>122</v>
      </c>
      <c r="F26">
        <v>1000</v>
      </c>
      <c r="G26">
        <v>0</v>
      </c>
      <c r="H26">
        <v>3.2960000000000003E-2</v>
      </c>
      <c r="I26">
        <v>32.96</v>
      </c>
      <c r="J26">
        <f t="shared" si="0"/>
        <v>3.2960000000000003E-2</v>
      </c>
      <c r="K26">
        <f t="shared" si="1"/>
        <v>32.96</v>
      </c>
    </row>
    <row r="27" spans="1:11" x14ac:dyDescent="0.25">
      <c r="A27">
        <v>26</v>
      </c>
      <c r="B27">
        <v>1000</v>
      </c>
      <c r="C27" t="s">
        <v>584</v>
      </c>
      <c r="D27" t="s">
        <v>585</v>
      </c>
      <c r="F27">
        <v>1000</v>
      </c>
      <c r="G27">
        <v>0</v>
      </c>
      <c r="H27">
        <v>0.10897</v>
      </c>
      <c r="I27">
        <v>108.97</v>
      </c>
      <c r="J27">
        <f t="shared" si="0"/>
        <v>0.10897</v>
      </c>
      <c r="K27">
        <f t="shared" si="1"/>
        <v>108.97</v>
      </c>
    </row>
    <row r="28" spans="1:11" x14ac:dyDescent="0.25">
      <c r="A28">
        <v>27</v>
      </c>
      <c r="B28">
        <v>2000</v>
      </c>
      <c r="C28" t="s">
        <v>586</v>
      </c>
      <c r="D28" t="s">
        <v>587</v>
      </c>
      <c r="F28">
        <v>2000</v>
      </c>
      <c r="G28">
        <v>0</v>
      </c>
      <c r="H28">
        <v>5.5500000000000001E-2</v>
      </c>
      <c r="I28">
        <v>111</v>
      </c>
      <c r="J28">
        <f t="shared" si="0"/>
        <v>5.5500000000000001E-2</v>
      </c>
      <c r="K28">
        <f t="shared" si="1"/>
        <v>111</v>
      </c>
    </row>
    <row r="29" spans="1:11" x14ac:dyDescent="0.25">
      <c r="A29">
        <v>28</v>
      </c>
      <c r="B29">
        <v>5000</v>
      </c>
      <c r="C29" t="s">
        <v>138</v>
      </c>
      <c r="D29" t="s">
        <v>588</v>
      </c>
      <c r="F29">
        <v>5000</v>
      </c>
      <c r="G29">
        <v>0</v>
      </c>
      <c r="H29">
        <v>4.9399999999999999E-3</v>
      </c>
      <c r="I29">
        <v>24.69</v>
      </c>
      <c r="J29">
        <f t="shared" si="0"/>
        <v>4.9399999999999999E-3</v>
      </c>
      <c r="K29">
        <f t="shared" si="1"/>
        <v>24.7</v>
      </c>
    </row>
    <row r="30" spans="1:11" x14ac:dyDescent="0.25">
      <c r="A30">
        <v>29</v>
      </c>
      <c r="B30">
        <v>5000</v>
      </c>
      <c r="C30" t="s">
        <v>144</v>
      </c>
      <c r="D30" t="s">
        <v>589</v>
      </c>
      <c r="F30">
        <v>5000</v>
      </c>
      <c r="G30">
        <v>0</v>
      </c>
      <c r="H30">
        <v>4.9399999999999999E-3</v>
      </c>
      <c r="I30">
        <v>24.69</v>
      </c>
      <c r="J30">
        <f t="shared" si="0"/>
        <v>4.9399999999999999E-3</v>
      </c>
      <c r="K30">
        <f t="shared" si="1"/>
        <v>24.7</v>
      </c>
    </row>
    <row r="31" spans="1:11" x14ac:dyDescent="0.25">
      <c r="A31">
        <v>30</v>
      </c>
      <c r="B31">
        <v>1000</v>
      </c>
      <c r="C31" t="s">
        <v>590</v>
      </c>
      <c r="D31" t="s">
        <v>591</v>
      </c>
      <c r="F31">
        <v>1000</v>
      </c>
      <c r="G31">
        <v>0</v>
      </c>
      <c r="H31">
        <v>3.4099999999999998E-3</v>
      </c>
      <c r="I31">
        <v>3.41</v>
      </c>
      <c r="J31">
        <f t="shared" si="0"/>
        <v>3.4099999999999998E-3</v>
      </c>
      <c r="K31">
        <f t="shared" si="1"/>
        <v>3.4099999999999997</v>
      </c>
    </row>
    <row r="32" spans="1:11" x14ac:dyDescent="0.25">
      <c r="A32">
        <v>31</v>
      </c>
      <c r="B32">
        <v>5000</v>
      </c>
      <c r="C32" t="s">
        <v>153</v>
      </c>
      <c r="D32" t="s">
        <v>592</v>
      </c>
      <c r="F32">
        <v>5000</v>
      </c>
      <c r="G32">
        <v>0</v>
      </c>
      <c r="H32">
        <v>1.49E-3</v>
      </c>
      <c r="I32">
        <v>7.43</v>
      </c>
      <c r="J32">
        <f t="shared" si="0"/>
        <v>1.49E-3</v>
      </c>
      <c r="K32">
        <f t="shared" si="1"/>
        <v>7.45</v>
      </c>
    </row>
    <row r="33" spans="1:11" x14ac:dyDescent="0.25">
      <c r="A33">
        <v>32</v>
      </c>
      <c r="B33">
        <v>5000</v>
      </c>
      <c r="C33" t="s">
        <v>156</v>
      </c>
      <c r="D33" t="s">
        <v>593</v>
      </c>
      <c r="F33">
        <v>5000</v>
      </c>
      <c r="G33">
        <v>0</v>
      </c>
      <c r="H33">
        <v>4.3699999999999998E-3</v>
      </c>
      <c r="I33">
        <v>21.85</v>
      </c>
      <c r="J33">
        <f t="shared" si="0"/>
        <v>4.3699999999999998E-3</v>
      </c>
      <c r="K33">
        <f t="shared" si="1"/>
        <v>21.849999999999998</v>
      </c>
    </row>
    <row r="34" spans="1:11" x14ac:dyDescent="0.25">
      <c r="A34">
        <v>33</v>
      </c>
      <c r="B34">
        <v>1000</v>
      </c>
      <c r="C34" t="s">
        <v>594</v>
      </c>
      <c r="D34" t="s">
        <v>595</v>
      </c>
      <c r="F34">
        <v>1000</v>
      </c>
      <c r="G34">
        <v>0</v>
      </c>
      <c r="H34">
        <v>7.5799999999999999E-3</v>
      </c>
      <c r="I34">
        <v>7.58</v>
      </c>
      <c r="J34">
        <f t="shared" si="0"/>
        <v>7.5799999999999999E-3</v>
      </c>
      <c r="K34">
        <f t="shared" si="1"/>
        <v>7.58</v>
      </c>
    </row>
    <row r="35" spans="1:11" x14ac:dyDescent="0.25">
      <c r="A35">
        <v>34</v>
      </c>
      <c r="B35">
        <v>2000</v>
      </c>
      <c r="C35" t="s">
        <v>596</v>
      </c>
      <c r="D35" t="s">
        <v>597</v>
      </c>
      <c r="F35">
        <v>2000</v>
      </c>
      <c r="G35">
        <v>0</v>
      </c>
      <c r="H35">
        <v>7.5799999999999999E-3</v>
      </c>
      <c r="I35">
        <v>15.16</v>
      </c>
      <c r="J35">
        <f t="shared" si="0"/>
        <v>7.5799999999999999E-3</v>
      </c>
      <c r="K35">
        <f t="shared" si="1"/>
        <v>15.16</v>
      </c>
    </row>
    <row r="36" spans="1:11" x14ac:dyDescent="0.25">
      <c r="A36">
        <v>35</v>
      </c>
      <c r="B36">
        <v>4000</v>
      </c>
      <c r="C36" t="s">
        <v>598</v>
      </c>
      <c r="D36" t="s">
        <v>599</v>
      </c>
      <c r="F36">
        <v>4000</v>
      </c>
      <c r="G36">
        <v>0</v>
      </c>
      <c r="H36">
        <v>3.4399999999999999E-3</v>
      </c>
      <c r="I36">
        <v>13.76</v>
      </c>
      <c r="J36">
        <f t="shared" si="0"/>
        <v>3.4399999999999999E-3</v>
      </c>
      <c r="K36">
        <f t="shared" si="1"/>
        <v>13.76</v>
      </c>
    </row>
    <row r="37" spans="1:11" x14ac:dyDescent="0.25">
      <c r="A37">
        <v>36</v>
      </c>
      <c r="B37">
        <v>1000</v>
      </c>
      <c r="C37" t="s">
        <v>600</v>
      </c>
      <c r="D37" t="s">
        <v>601</v>
      </c>
      <c r="F37">
        <v>1000</v>
      </c>
      <c r="G37">
        <v>0</v>
      </c>
      <c r="H37">
        <v>3.96E-3</v>
      </c>
      <c r="I37">
        <v>3.96</v>
      </c>
      <c r="J37">
        <f t="shared" si="0"/>
        <v>3.96E-3</v>
      </c>
      <c r="K37">
        <f t="shared" si="1"/>
        <v>3.96</v>
      </c>
    </row>
    <row r="38" spans="1:11" x14ac:dyDescent="0.25">
      <c r="A38">
        <v>37</v>
      </c>
      <c r="B38">
        <v>15000</v>
      </c>
      <c r="C38" t="s">
        <v>177</v>
      </c>
      <c r="D38" t="s">
        <v>602</v>
      </c>
      <c r="F38">
        <v>0</v>
      </c>
      <c r="G38">
        <v>15000</v>
      </c>
      <c r="H38">
        <v>2.1299999999999999E-3</v>
      </c>
      <c r="I38">
        <v>31.88</v>
      </c>
      <c r="J38">
        <f t="shared" si="0"/>
        <v>2.1299999999999999E-3</v>
      </c>
      <c r="K38">
        <f t="shared" si="1"/>
        <v>31.95</v>
      </c>
    </row>
    <row r="39" spans="1:11" x14ac:dyDescent="0.25">
      <c r="A39">
        <v>38</v>
      </c>
      <c r="B39">
        <v>1000</v>
      </c>
      <c r="C39" t="s">
        <v>603</v>
      </c>
      <c r="D39" t="s">
        <v>602</v>
      </c>
      <c r="F39">
        <v>1000</v>
      </c>
      <c r="G39">
        <v>0</v>
      </c>
      <c r="H39">
        <v>3.4099999999999998E-3</v>
      </c>
      <c r="I39">
        <v>3.41</v>
      </c>
      <c r="J39">
        <f t="shared" si="0"/>
        <v>3.4099999999999998E-3</v>
      </c>
      <c r="K39">
        <f t="shared" si="1"/>
        <v>3.4099999999999997</v>
      </c>
    </row>
    <row r="40" spans="1:11" x14ac:dyDescent="0.25">
      <c r="A40">
        <v>39</v>
      </c>
      <c r="B40">
        <v>2000</v>
      </c>
      <c r="C40" t="s">
        <v>604</v>
      </c>
      <c r="D40" t="s">
        <v>605</v>
      </c>
      <c r="F40">
        <v>2000</v>
      </c>
      <c r="G40">
        <v>0</v>
      </c>
      <c r="H40">
        <v>7.5799999999999999E-3</v>
      </c>
      <c r="I40">
        <v>15.16</v>
      </c>
      <c r="J40">
        <f t="shared" si="0"/>
        <v>7.5799999999999999E-3</v>
      </c>
      <c r="K40">
        <f t="shared" si="1"/>
        <v>15.16</v>
      </c>
    </row>
    <row r="41" spans="1:11" x14ac:dyDescent="0.25">
      <c r="A41">
        <v>40</v>
      </c>
      <c r="B41">
        <v>1000</v>
      </c>
      <c r="C41" t="s">
        <v>606</v>
      </c>
      <c r="D41" t="s">
        <v>607</v>
      </c>
      <c r="F41">
        <v>1000</v>
      </c>
      <c r="G41">
        <v>0</v>
      </c>
      <c r="H41">
        <v>1.153E-2</v>
      </c>
      <c r="I41">
        <v>11.53</v>
      </c>
      <c r="J41">
        <f t="shared" si="0"/>
        <v>1.153E-2</v>
      </c>
      <c r="K41">
        <f t="shared" si="1"/>
        <v>11.530000000000001</v>
      </c>
    </row>
    <row r="42" spans="1:11" x14ac:dyDescent="0.25">
      <c r="A42">
        <v>41</v>
      </c>
      <c r="B42">
        <v>1000</v>
      </c>
      <c r="C42" t="s">
        <v>608</v>
      </c>
      <c r="D42" t="s">
        <v>609</v>
      </c>
      <c r="F42">
        <v>1000</v>
      </c>
      <c r="G42">
        <v>0</v>
      </c>
      <c r="H42">
        <v>2.6800000000000001E-3</v>
      </c>
      <c r="I42">
        <v>2.68</v>
      </c>
      <c r="J42">
        <f t="shared" si="0"/>
        <v>2.6800000000000001E-3</v>
      </c>
      <c r="K42">
        <f t="shared" si="1"/>
        <v>2.68</v>
      </c>
    </row>
    <row r="43" spans="1:11" x14ac:dyDescent="0.25">
      <c r="A43">
        <v>42</v>
      </c>
      <c r="B43">
        <v>1000</v>
      </c>
      <c r="C43" t="s">
        <v>610</v>
      </c>
      <c r="D43" t="s">
        <v>611</v>
      </c>
      <c r="F43">
        <v>1000</v>
      </c>
      <c r="G43">
        <v>0</v>
      </c>
      <c r="H43">
        <v>1.153E-2</v>
      </c>
      <c r="I43">
        <v>11.53</v>
      </c>
      <c r="J43">
        <f t="shared" si="0"/>
        <v>1.153E-2</v>
      </c>
      <c r="K43">
        <f t="shared" si="1"/>
        <v>11.530000000000001</v>
      </c>
    </row>
    <row r="44" spans="1:11" x14ac:dyDescent="0.25">
      <c r="A44">
        <v>43</v>
      </c>
      <c r="B44">
        <v>2000</v>
      </c>
      <c r="C44" t="s">
        <v>612</v>
      </c>
      <c r="D44" t="s">
        <v>613</v>
      </c>
      <c r="F44">
        <v>0</v>
      </c>
      <c r="G44">
        <v>2000</v>
      </c>
      <c r="H44">
        <v>1.153E-2</v>
      </c>
      <c r="I44">
        <v>23.06</v>
      </c>
      <c r="J44">
        <f t="shared" si="0"/>
        <v>1.153E-2</v>
      </c>
      <c r="K44">
        <f t="shared" si="1"/>
        <v>23.060000000000002</v>
      </c>
    </row>
    <row r="45" spans="1:11" x14ac:dyDescent="0.25">
      <c r="A45">
        <v>44</v>
      </c>
      <c r="B45">
        <v>1200</v>
      </c>
      <c r="C45" t="s">
        <v>200</v>
      </c>
      <c r="D45" t="s">
        <v>614</v>
      </c>
      <c r="F45">
        <v>1200</v>
      </c>
      <c r="G45">
        <v>0</v>
      </c>
      <c r="H45">
        <v>0.16363</v>
      </c>
      <c r="I45">
        <v>196.36</v>
      </c>
      <c r="J45">
        <f t="shared" si="0"/>
        <v>0.16363</v>
      </c>
      <c r="K45">
        <f t="shared" si="1"/>
        <v>196.35599999999999</v>
      </c>
    </row>
    <row r="46" spans="1:11" x14ac:dyDescent="0.25">
      <c r="A46">
        <v>45</v>
      </c>
      <c r="B46">
        <v>800</v>
      </c>
      <c r="C46" t="s">
        <v>615</v>
      </c>
      <c r="D46" t="s">
        <v>614</v>
      </c>
      <c r="F46">
        <v>800</v>
      </c>
      <c r="G46">
        <v>0</v>
      </c>
      <c r="H46">
        <v>0.23658000000000001</v>
      </c>
      <c r="I46">
        <v>189.26</v>
      </c>
      <c r="J46">
        <f t="shared" si="0"/>
        <v>0.23658000000000001</v>
      </c>
      <c r="K46">
        <f t="shared" si="1"/>
        <v>189.26400000000001</v>
      </c>
    </row>
    <row r="47" spans="1:11" x14ac:dyDescent="0.25">
      <c r="A47">
        <v>46</v>
      </c>
      <c r="B47">
        <v>4000</v>
      </c>
      <c r="C47" t="s">
        <v>616</v>
      </c>
      <c r="D47" t="s">
        <v>617</v>
      </c>
      <c r="F47">
        <v>4000</v>
      </c>
      <c r="G47">
        <v>0</v>
      </c>
      <c r="H47">
        <v>0.11731</v>
      </c>
      <c r="I47">
        <v>469.23</v>
      </c>
      <c r="J47">
        <f t="shared" si="0"/>
        <v>0.11731</v>
      </c>
      <c r="K47">
        <f t="shared" si="1"/>
        <v>469.24</v>
      </c>
    </row>
    <row r="48" spans="1:11" x14ac:dyDescent="0.25">
      <c r="A48">
        <v>47</v>
      </c>
      <c r="B48">
        <v>1000</v>
      </c>
      <c r="C48" t="s">
        <v>618</v>
      </c>
      <c r="D48" t="s">
        <v>619</v>
      </c>
      <c r="F48">
        <v>1000</v>
      </c>
      <c r="G48">
        <v>0</v>
      </c>
      <c r="H48">
        <v>0.12195</v>
      </c>
      <c r="I48">
        <v>121.95</v>
      </c>
      <c r="J48">
        <f t="shared" si="0"/>
        <v>0.12195</v>
      </c>
      <c r="K48">
        <f t="shared" si="1"/>
        <v>121.95</v>
      </c>
    </row>
    <row r="49" spans="1:11" x14ac:dyDescent="0.25">
      <c r="A49">
        <v>48</v>
      </c>
      <c r="B49">
        <v>1000</v>
      </c>
      <c r="C49" t="s">
        <v>620</v>
      </c>
      <c r="D49" t="s">
        <v>621</v>
      </c>
      <c r="F49">
        <v>0</v>
      </c>
      <c r="G49">
        <v>1000</v>
      </c>
      <c r="H49">
        <v>5.806E-2</v>
      </c>
      <c r="I49">
        <v>58.06</v>
      </c>
      <c r="J49">
        <f t="shared" si="0"/>
        <v>5.806E-2</v>
      </c>
      <c r="K49">
        <f t="shared" si="1"/>
        <v>58.06</v>
      </c>
    </row>
    <row r="50" spans="1:11" x14ac:dyDescent="0.25">
      <c r="A50">
        <v>49</v>
      </c>
      <c r="B50">
        <v>1000</v>
      </c>
      <c r="C50" t="s">
        <v>457</v>
      </c>
      <c r="D50" t="s">
        <v>622</v>
      </c>
      <c r="F50">
        <v>0</v>
      </c>
      <c r="G50">
        <v>1000</v>
      </c>
      <c r="H50">
        <v>6.4557000000000002</v>
      </c>
      <c r="I50">
        <v>6455.7</v>
      </c>
      <c r="J50">
        <v>5</v>
      </c>
      <c r="K50">
        <f t="shared" si="1"/>
        <v>5000</v>
      </c>
    </row>
    <row r="51" spans="1:11" x14ac:dyDescent="0.25">
      <c r="A51">
        <v>50</v>
      </c>
      <c r="B51">
        <v>1000</v>
      </c>
      <c r="C51" t="s">
        <v>623</v>
      </c>
      <c r="D51" t="s">
        <v>624</v>
      </c>
      <c r="F51">
        <v>1000</v>
      </c>
      <c r="G51">
        <v>0</v>
      </c>
      <c r="H51">
        <v>2.1542400000000002</v>
      </c>
      <c r="I51">
        <v>2154.2399999999998</v>
      </c>
      <c r="J51">
        <v>1</v>
      </c>
      <c r="K51">
        <f t="shared" si="1"/>
        <v>1000</v>
      </c>
    </row>
    <row r="52" spans="1:11" x14ac:dyDescent="0.25">
      <c r="A52">
        <v>51</v>
      </c>
      <c r="B52">
        <v>1000</v>
      </c>
      <c r="C52" t="s">
        <v>625</v>
      </c>
      <c r="D52" t="s">
        <v>626</v>
      </c>
      <c r="F52">
        <v>1000</v>
      </c>
      <c r="G52">
        <v>0</v>
      </c>
      <c r="H52">
        <v>0.54693000000000003</v>
      </c>
      <c r="I52">
        <v>546.92999999999995</v>
      </c>
      <c r="J52">
        <f t="shared" si="0"/>
        <v>0.54693000000000003</v>
      </c>
      <c r="K52">
        <f t="shared" si="1"/>
        <v>546.93000000000006</v>
      </c>
    </row>
    <row r="53" spans="1:11" x14ac:dyDescent="0.25">
      <c r="A53">
        <v>52</v>
      </c>
      <c r="B53">
        <v>1000</v>
      </c>
      <c r="C53" t="s">
        <v>230</v>
      </c>
      <c r="D53" t="s">
        <v>627</v>
      </c>
      <c r="F53">
        <v>0</v>
      </c>
      <c r="G53">
        <v>1000</v>
      </c>
      <c r="H53">
        <v>1.74</v>
      </c>
      <c r="I53">
        <v>1740</v>
      </c>
      <c r="J53">
        <v>0.4</v>
      </c>
      <c r="K53">
        <f t="shared" si="1"/>
        <v>400</v>
      </c>
    </row>
    <row r="54" spans="1:11" x14ac:dyDescent="0.25">
      <c r="A54">
        <v>53</v>
      </c>
      <c r="B54">
        <v>2000</v>
      </c>
      <c r="C54" t="s">
        <v>628</v>
      </c>
      <c r="D54" t="s">
        <v>629</v>
      </c>
      <c r="F54">
        <v>2000</v>
      </c>
      <c r="G54">
        <v>0</v>
      </c>
      <c r="H54">
        <v>0.33289999999999997</v>
      </c>
      <c r="I54">
        <v>665.8</v>
      </c>
      <c r="J54">
        <f t="shared" si="0"/>
        <v>0.33289999999999997</v>
      </c>
      <c r="K54">
        <f t="shared" si="1"/>
        <v>665.8</v>
      </c>
    </row>
    <row r="55" spans="1:11" x14ac:dyDescent="0.25">
      <c r="A55">
        <v>54</v>
      </c>
      <c r="B55">
        <v>1000</v>
      </c>
      <c r="C55" t="s">
        <v>630</v>
      </c>
      <c r="D55" t="s">
        <v>631</v>
      </c>
      <c r="F55">
        <v>1000</v>
      </c>
      <c r="G55">
        <v>0</v>
      </c>
      <c r="H55">
        <v>1.11714</v>
      </c>
      <c r="I55">
        <v>1117.1400000000001</v>
      </c>
      <c r="J55">
        <v>0.8</v>
      </c>
      <c r="K55">
        <f t="shared" si="1"/>
        <v>800</v>
      </c>
    </row>
    <row r="56" spans="1:11" x14ac:dyDescent="0.25">
      <c r="A56">
        <v>55</v>
      </c>
      <c r="B56">
        <v>1000</v>
      </c>
      <c r="C56" t="s">
        <v>632</v>
      </c>
      <c r="D56" t="s">
        <v>633</v>
      </c>
      <c r="F56">
        <v>1000</v>
      </c>
      <c r="G56">
        <v>0</v>
      </c>
      <c r="H56">
        <v>0.28839999999999999</v>
      </c>
      <c r="I56">
        <v>288.39999999999998</v>
      </c>
      <c r="J56">
        <f t="shared" si="0"/>
        <v>0.28839999999999999</v>
      </c>
      <c r="K56">
        <f t="shared" si="1"/>
        <v>288.39999999999998</v>
      </c>
    </row>
    <row r="57" spans="1:11" x14ac:dyDescent="0.25">
      <c r="A57">
        <v>56</v>
      </c>
      <c r="B57">
        <v>1000</v>
      </c>
      <c r="C57" t="s">
        <v>259</v>
      </c>
      <c r="D57" t="s">
        <v>634</v>
      </c>
      <c r="F57">
        <v>1000</v>
      </c>
      <c r="G57">
        <v>0</v>
      </c>
      <c r="H57">
        <v>0.28799999999999998</v>
      </c>
      <c r="I57">
        <v>288</v>
      </c>
      <c r="J57">
        <f t="shared" si="0"/>
        <v>0.28799999999999998</v>
      </c>
      <c r="K57">
        <f t="shared" si="1"/>
        <v>288</v>
      </c>
    </row>
    <row r="58" spans="1:11" x14ac:dyDescent="0.25">
      <c r="A58">
        <v>57</v>
      </c>
      <c r="B58">
        <v>1000</v>
      </c>
      <c r="C58" t="s">
        <v>265</v>
      </c>
      <c r="D58" t="s">
        <v>635</v>
      </c>
      <c r="F58">
        <v>1000</v>
      </c>
      <c r="G58">
        <v>0</v>
      </c>
      <c r="H58">
        <v>0.45</v>
      </c>
      <c r="I58">
        <v>450</v>
      </c>
      <c r="J58">
        <f t="shared" si="0"/>
        <v>0.45</v>
      </c>
      <c r="K58">
        <f t="shared" si="1"/>
        <v>450</v>
      </c>
    </row>
    <row r="59" spans="1:11" x14ac:dyDescent="0.25">
      <c r="A59" s="117">
        <v>58</v>
      </c>
      <c r="B59" s="117">
        <v>1000</v>
      </c>
      <c r="C59" s="117" t="s">
        <v>235</v>
      </c>
      <c r="D59" s="117" t="s">
        <v>237</v>
      </c>
      <c r="E59" s="117"/>
      <c r="F59" s="117"/>
      <c r="G59" s="117"/>
      <c r="H59" s="117">
        <v>5.5</v>
      </c>
      <c r="I59" s="116">
        <f>H59*B59</f>
        <v>5500</v>
      </c>
      <c r="J59">
        <f t="shared" si="0"/>
        <v>5.5</v>
      </c>
      <c r="K59">
        <f t="shared" si="1"/>
        <v>5500</v>
      </c>
    </row>
    <row r="61" spans="1:11" x14ac:dyDescent="0.25">
      <c r="H61" s="1" t="s">
        <v>637</v>
      </c>
      <c r="I61" s="115">
        <f>SUM(I2:I59)</f>
        <v>28574.329999999998</v>
      </c>
      <c r="K61">
        <f>SUM(K2:K60)</f>
        <v>22026.775000000001</v>
      </c>
    </row>
    <row r="62" spans="1:11" x14ac:dyDescent="0.25">
      <c r="H62" t="s">
        <v>756</v>
      </c>
      <c r="I62">
        <f>I61/1000</f>
        <v>28.57433</v>
      </c>
      <c r="K62">
        <f>K61/B59</f>
        <v>22.026775000000001</v>
      </c>
    </row>
    <row r="63" spans="1:11" x14ac:dyDescent="0.25">
      <c r="I63" t="s">
        <v>809</v>
      </c>
      <c r="K63">
        <v>1</v>
      </c>
    </row>
    <row r="64" spans="1:11" x14ac:dyDescent="0.25">
      <c r="I64" t="s">
        <v>810</v>
      </c>
      <c r="K64">
        <v>2</v>
      </c>
    </row>
    <row r="65" spans="11:11" x14ac:dyDescent="0.25">
      <c r="K65">
        <f>SUM(K62:K64)</f>
        <v>25.026775000000001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B1" zoomScale="85" zoomScaleNormal="85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1.7109375" bestFit="1" customWidth="1"/>
    <col min="4" max="4" width="35.42578125" bestFit="1" customWidth="1"/>
    <col min="5" max="5" width="19.5703125" bestFit="1" customWidth="1"/>
    <col min="6" max="6" width="16.85546875" bestFit="1" customWidth="1"/>
    <col min="7" max="7" width="18.28515625" bestFit="1" customWidth="1"/>
    <col min="8" max="8" width="14.28515625" bestFit="1" customWidth="1"/>
    <col min="9" max="9" width="18" customWidth="1"/>
    <col min="10" max="10" width="11" customWidth="1"/>
  </cols>
  <sheetData>
    <row r="1" spans="1:11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757</v>
      </c>
      <c r="K1" s="1" t="s">
        <v>556</v>
      </c>
    </row>
    <row r="2" spans="1:11" x14ac:dyDescent="0.25">
      <c r="A2">
        <v>1</v>
      </c>
      <c r="B2">
        <v>40000</v>
      </c>
      <c r="C2" t="s">
        <v>11</v>
      </c>
      <c r="D2" t="s">
        <v>557</v>
      </c>
      <c r="F2">
        <v>0</v>
      </c>
      <c r="G2">
        <v>40000</v>
      </c>
      <c r="H2">
        <v>1.43E-2</v>
      </c>
      <c r="I2">
        <v>572</v>
      </c>
      <c r="J2">
        <f>H2</f>
        <v>1.43E-2</v>
      </c>
      <c r="K2">
        <f>J2*B2</f>
        <v>572</v>
      </c>
    </row>
    <row r="3" spans="1:11" x14ac:dyDescent="0.25">
      <c r="A3">
        <v>2</v>
      </c>
      <c r="B3">
        <v>280000</v>
      </c>
      <c r="C3" t="s">
        <v>15</v>
      </c>
      <c r="D3" t="s">
        <v>558</v>
      </c>
      <c r="F3">
        <v>0</v>
      </c>
      <c r="G3">
        <v>280000</v>
      </c>
      <c r="H3">
        <v>1.584E-2</v>
      </c>
      <c r="I3">
        <v>4435.2</v>
      </c>
      <c r="J3">
        <f t="shared" ref="J3:J65" si="0">H3</f>
        <v>1.584E-2</v>
      </c>
      <c r="K3">
        <f t="shared" ref="K3:K66" si="1">J3*B3</f>
        <v>4435.2</v>
      </c>
    </row>
    <row r="4" spans="1:11" x14ac:dyDescent="0.25">
      <c r="A4">
        <v>3</v>
      </c>
      <c r="B4">
        <v>40000</v>
      </c>
      <c r="C4" t="s">
        <v>24</v>
      </c>
      <c r="D4" t="s">
        <v>561</v>
      </c>
      <c r="F4">
        <v>0</v>
      </c>
      <c r="G4">
        <v>40000</v>
      </c>
      <c r="H4">
        <v>1.1220000000000001E-2</v>
      </c>
      <c r="I4">
        <v>448.8</v>
      </c>
      <c r="J4">
        <f t="shared" si="0"/>
        <v>1.1220000000000001E-2</v>
      </c>
      <c r="K4">
        <f t="shared" si="1"/>
        <v>448.8</v>
      </c>
    </row>
    <row r="5" spans="1:11" x14ac:dyDescent="0.25">
      <c r="A5">
        <v>4</v>
      </c>
      <c r="B5">
        <v>80000</v>
      </c>
      <c r="C5" t="s">
        <v>28</v>
      </c>
      <c r="D5" t="s">
        <v>562</v>
      </c>
      <c r="F5">
        <v>0</v>
      </c>
      <c r="G5">
        <v>80000</v>
      </c>
      <c r="H5">
        <v>1.1220000000000001E-2</v>
      </c>
      <c r="I5">
        <v>897.6</v>
      </c>
      <c r="J5">
        <f t="shared" si="0"/>
        <v>1.1220000000000001E-2</v>
      </c>
      <c r="K5">
        <f t="shared" si="1"/>
        <v>897.6</v>
      </c>
    </row>
    <row r="6" spans="1:11" x14ac:dyDescent="0.25">
      <c r="A6">
        <v>5</v>
      </c>
      <c r="B6">
        <v>10000</v>
      </c>
      <c r="C6" t="s">
        <v>38</v>
      </c>
      <c r="D6" t="s">
        <v>565</v>
      </c>
      <c r="F6">
        <v>4000</v>
      </c>
      <c r="G6">
        <v>6000</v>
      </c>
      <c r="H6">
        <v>0.25048999999999999</v>
      </c>
      <c r="I6">
        <v>2504.88</v>
      </c>
      <c r="J6">
        <f t="shared" si="0"/>
        <v>0.25048999999999999</v>
      </c>
      <c r="K6">
        <f t="shared" si="1"/>
        <v>2504.9</v>
      </c>
    </row>
    <row r="7" spans="1:11" x14ac:dyDescent="0.25">
      <c r="A7">
        <v>6</v>
      </c>
      <c r="B7">
        <v>20000</v>
      </c>
      <c r="C7" t="s">
        <v>43</v>
      </c>
      <c r="D7" t="s">
        <v>566</v>
      </c>
      <c r="F7">
        <v>0</v>
      </c>
      <c r="G7">
        <v>20000</v>
      </c>
      <c r="H7">
        <v>0.14025000000000001</v>
      </c>
      <c r="I7">
        <v>2805</v>
      </c>
      <c r="J7">
        <f t="shared" si="0"/>
        <v>0.14025000000000001</v>
      </c>
      <c r="K7">
        <f t="shared" si="1"/>
        <v>2805.0000000000005</v>
      </c>
    </row>
    <row r="8" spans="1:11" x14ac:dyDescent="0.25">
      <c r="A8">
        <v>7</v>
      </c>
      <c r="B8">
        <v>10000</v>
      </c>
      <c r="C8" t="s">
        <v>49</v>
      </c>
      <c r="D8" t="s">
        <v>567</v>
      </c>
      <c r="F8">
        <v>10000</v>
      </c>
      <c r="G8">
        <v>0</v>
      </c>
      <c r="H8">
        <v>5.0599999999999999E-2</v>
      </c>
      <c r="I8">
        <v>506</v>
      </c>
      <c r="J8">
        <f t="shared" si="0"/>
        <v>5.0599999999999999E-2</v>
      </c>
      <c r="K8">
        <f t="shared" si="1"/>
        <v>506</v>
      </c>
    </row>
    <row r="9" spans="1:11" x14ac:dyDescent="0.25">
      <c r="A9">
        <v>8</v>
      </c>
      <c r="B9">
        <v>10000</v>
      </c>
      <c r="C9" t="s">
        <v>53</v>
      </c>
      <c r="D9" t="s">
        <v>568</v>
      </c>
      <c r="F9">
        <v>10000</v>
      </c>
      <c r="G9">
        <v>0</v>
      </c>
      <c r="H9">
        <v>5.0599999999999999E-2</v>
      </c>
      <c r="I9">
        <v>506</v>
      </c>
      <c r="J9">
        <f t="shared" si="0"/>
        <v>5.0599999999999999E-2</v>
      </c>
      <c r="K9">
        <f t="shared" si="1"/>
        <v>506</v>
      </c>
    </row>
    <row r="10" spans="1:11" x14ac:dyDescent="0.25">
      <c r="A10">
        <v>9</v>
      </c>
      <c r="B10">
        <v>10000</v>
      </c>
      <c r="C10" t="s">
        <v>57</v>
      </c>
      <c r="D10" t="s">
        <v>569</v>
      </c>
      <c r="F10">
        <v>8706</v>
      </c>
      <c r="G10">
        <v>1294</v>
      </c>
      <c r="H10">
        <v>5.0599999999999999E-2</v>
      </c>
      <c r="I10">
        <v>506</v>
      </c>
      <c r="J10">
        <f t="shared" si="0"/>
        <v>5.0599999999999999E-2</v>
      </c>
      <c r="K10">
        <f t="shared" si="1"/>
        <v>506</v>
      </c>
    </row>
    <row r="11" spans="1:11" x14ac:dyDescent="0.25">
      <c r="A11">
        <v>10</v>
      </c>
      <c r="B11">
        <v>10000</v>
      </c>
      <c r="C11" t="s">
        <v>72</v>
      </c>
      <c r="D11" t="s">
        <v>574</v>
      </c>
      <c r="F11">
        <v>10000</v>
      </c>
      <c r="G11">
        <v>0</v>
      </c>
      <c r="H11">
        <v>0.2238</v>
      </c>
      <c r="I11">
        <v>2237.9499999999998</v>
      </c>
      <c r="J11">
        <f t="shared" si="0"/>
        <v>0.2238</v>
      </c>
      <c r="K11">
        <f t="shared" si="1"/>
        <v>2238</v>
      </c>
    </row>
    <row r="12" spans="1:11" x14ac:dyDescent="0.25">
      <c r="A12">
        <v>11</v>
      </c>
      <c r="B12">
        <v>10000</v>
      </c>
      <c r="C12" t="s">
        <v>81</v>
      </c>
      <c r="D12" t="s">
        <v>575</v>
      </c>
      <c r="F12">
        <v>690</v>
      </c>
      <c r="G12">
        <v>9310</v>
      </c>
      <c r="H12">
        <v>0.75529999999999997</v>
      </c>
      <c r="I12">
        <v>7553</v>
      </c>
      <c r="J12">
        <f t="shared" si="0"/>
        <v>0.75529999999999997</v>
      </c>
      <c r="K12">
        <f t="shared" si="1"/>
        <v>7553</v>
      </c>
    </row>
    <row r="13" spans="1:11" x14ac:dyDescent="0.25">
      <c r="A13">
        <v>12</v>
      </c>
      <c r="B13">
        <v>10000</v>
      </c>
      <c r="C13" t="s">
        <v>86</v>
      </c>
      <c r="D13" t="s">
        <v>576</v>
      </c>
      <c r="F13">
        <v>765</v>
      </c>
      <c r="G13">
        <v>9235</v>
      </c>
      <c r="H13">
        <v>0.62509999999999999</v>
      </c>
      <c r="I13">
        <v>6251</v>
      </c>
      <c r="J13">
        <f t="shared" si="0"/>
        <v>0.62509999999999999</v>
      </c>
      <c r="K13">
        <f t="shared" si="1"/>
        <v>6251</v>
      </c>
    </row>
    <row r="14" spans="1:11" x14ac:dyDescent="0.25">
      <c r="A14">
        <v>13</v>
      </c>
      <c r="B14">
        <v>15000</v>
      </c>
      <c r="C14" t="s">
        <v>577</v>
      </c>
      <c r="D14" t="s">
        <v>578</v>
      </c>
      <c r="F14">
        <v>0</v>
      </c>
      <c r="G14">
        <v>15000</v>
      </c>
      <c r="H14">
        <v>9.5030000000000003E-2</v>
      </c>
      <c r="I14">
        <v>1425.5</v>
      </c>
      <c r="J14">
        <f t="shared" si="0"/>
        <v>9.5030000000000003E-2</v>
      </c>
      <c r="K14">
        <f t="shared" si="1"/>
        <v>1425.45</v>
      </c>
    </row>
    <row r="15" spans="1:11" x14ac:dyDescent="0.25">
      <c r="A15">
        <v>14</v>
      </c>
      <c r="B15">
        <v>20000</v>
      </c>
      <c r="C15" t="s">
        <v>103</v>
      </c>
      <c r="D15" t="s">
        <v>580</v>
      </c>
      <c r="F15">
        <v>19749</v>
      </c>
      <c r="G15">
        <v>251</v>
      </c>
      <c r="H15">
        <v>0.19500000000000001</v>
      </c>
      <c r="I15">
        <v>3900</v>
      </c>
      <c r="J15">
        <f t="shared" si="0"/>
        <v>0.19500000000000001</v>
      </c>
      <c r="K15">
        <f t="shared" si="1"/>
        <v>3900</v>
      </c>
    </row>
    <row r="16" spans="1:11" x14ac:dyDescent="0.25">
      <c r="A16">
        <v>15</v>
      </c>
      <c r="B16">
        <v>10000</v>
      </c>
      <c r="C16" t="s">
        <v>109</v>
      </c>
      <c r="D16" t="s">
        <v>581</v>
      </c>
      <c r="F16">
        <v>1631</v>
      </c>
      <c r="G16">
        <v>8369</v>
      </c>
      <c r="H16">
        <v>1.7955000000000001</v>
      </c>
      <c r="I16">
        <v>17955</v>
      </c>
      <c r="J16">
        <f t="shared" si="0"/>
        <v>1.7955000000000001</v>
      </c>
      <c r="K16">
        <f t="shared" si="1"/>
        <v>17955</v>
      </c>
    </row>
    <row r="17" spans="1:11" x14ac:dyDescent="0.25">
      <c r="A17">
        <v>16</v>
      </c>
      <c r="B17">
        <v>12000</v>
      </c>
      <c r="C17">
        <v>785260001</v>
      </c>
      <c r="D17" t="s">
        <v>112</v>
      </c>
      <c r="F17">
        <v>0</v>
      </c>
      <c r="G17">
        <v>12000</v>
      </c>
      <c r="H17">
        <v>0.70423999999999998</v>
      </c>
      <c r="I17">
        <v>8450.82</v>
      </c>
      <c r="J17">
        <f t="shared" si="0"/>
        <v>0.70423999999999998</v>
      </c>
      <c r="K17">
        <f t="shared" si="1"/>
        <v>8450.8799999999992</v>
      </c>
    </row>
    <row r="18" spans="1:11" x14ac:dyDescent="0.25">
      <c r="A18">
        <v>17</v>
      </c>
      <c r="B18">
        <v>50000</v>
      </c>
      <c r="C18" t="s">
        <v>138</v>
      </c>
      <c r="D18" t="s">
        <v>588</v>
      </c>
      <c r="F18">
        <v>50000</v>
      </c>
      <c r="G18">
        <v>0</v>
      </c>
      <c r="H18">
        <v>3.46E-3</v>
      </c>
      <c r="I18">
        <v>172.83</v>
      </c>
      <c r="J18">
        <f t="shared" si="0"/>
        <v>3.46E-3</v>
      </c>
      <c r="K18">
        <f t="shared" si="1"/>
        <v>173</v>
      </c>
    </row>
    <row r="19" spans="1:11" x14ac:dyDescent="0.25">
      <c r="A19">
        <v>18</v>
      </c>
      <c r="B19">
        <v>50000</v>
      </c>
      <c r="C19" t="s">
        <v>144</v>
      </c>
      <c r="D19" t="s">
        <v>589</v>
      </c>
      <c r="F19">
        <v>50000</v>
      </c>
      <c r="G19">
        <v>0</v>
      </c>
      <c r="H19">
        <v>3.46E-3</v>
      </c>
      <c r="I19">
        <v>172.83</v>
      </c>
      <c r="J19">
        <f t="shared" si="0"/>
        <v>3.46E-3</v>
      </c>
      <c r="K19">
        <f t="shared" si="1"/>
        <v>173</v>
      </c>
    </row>
    <row r="20" spans="1:11" x14ac:dyDescent="0.25">
      <c r="A20">
        <v>19</v>
      </c>
      <c r="B20">
        <v>50000</v>
      </c>
      <c r="C20" t="s">
        <v>153</v>
      </c>
      <c r="D20" t="s">
        <v>592</v>
      </c>
      <c r="F20">
        <v>50000</v>
      </c>
      <c r="G20">
        <v>0</v>
      </c>
      <c r="H20">
        <v>1.0399999999999999E-3</v>
      </c>
      <c r="I20">
        <v>52</v>
      </c>
      <c r="J20">
        <f t="shared" si="0"/>
        <v>1.0399999999999999E-3</v>
      </c>
      <c r="K20">
        <f t="shared" si="1"/>
        <v>51.999999999999993</v>
      </c>
    </row>
    <row r="21" spans="1:11" x14ac:dyDescent="0.25">
      <c r="A21">
        <v>20</v>
      </c>
      <c r="B21">
        <v>50000</v>
      </c>
      <c r="C21" t="s">
        <v>156</v>
      </c>
      <c r="D21" t="s">
        <v>593</v>
      </c>
      <c r="F21">
        <v>50000</v>
      </c>
      <c r="G21">
        <v>0</v>
      </c>
      <c r="H21">
        <v>3.0599999999999998E-3</v>
      </c>
      <c r="I21">
        <v>152.94999999999999</v>
      </c>
      <c r="J21">
        <f t="shared" si="0"/>
        <v>3.0599999999999998E-3</v>
      </c>
      <c r="K21">
        <f t="shared" si="1"/>
        <v>153</v>
      </c>
    </row>
    <row r="22" spans="1:11" x14ac:dyDescent="0.25">
      <c r="A22">
        <v>21</v>
      </c>
      <c r="B22">
        <v>160000</v>
      </c>
      <c r="C22" t="s">
        <v>177</v>
      </c>
      <c r="D22" t="s">
        <v>602</v>
      </c>
      <c r="F22">
        <v>0</v>
      </c>
      <c r="G22">
        <v>160000</v>
      </c>
      <c r="H22">
        <v>1.6800000000000001E-3</v>
      </c>
      <c r="I22">
        <v>268.52</v>
      </c>
      <c r="J22">
        <f t="shared" si="0"/>
        <v>1.6800000000000001E-3</v>
      </c>
      <c r="K22">
        <f t="shared" si="1"/>
        <v>268.8</v>
      </c>
    </row>
    <row r="23" spans="1:11" x14ac:dyDescent="0.25">
      <c r="A23">
        <v>22</v>
      </c>
      <c r="B23">
        <v>10000</v>
      </c>
      <c r="C23" t="s">
        <v>457</v>
      </c>
      <c r="D23" t="s">
        <v>622</v>
      </c>
      <c r="F23">
        <v>0</v>
      </c>
      <c r="G23">
        <v>10000</v>
      </c>
      <c r="H23">
        <v>6.4557000000000002</v>
      </c>
      <c r="I23">
        <v>64557</v>
      </c>
      <c r="J23">
        <v>3.5</v>
      </c>
      <c r="K23">
        <f t="shared" si="1"/>
        <v>35000</v>
      </c>
    </row>
    <row r="24" spans="1:11" x14ac:dyDescent="0.25">
      <c r="A24">
        <v>23</v>
      </c>
      <c r="B24">
        <v>10000</v>
      </c>
      <c r="C24" t="s">
        <v>230</v>
      </c>
      <c r="D24" t="s">
        <v>627</v>
      </c>
      <c r="F24">
        <v>0</v>
      </c>
      <c r="G24">
        <v>10000</v>
      </c>
      <c r="H24">
        <v>1.74</v>
      </c>
      <c r="I24">
        <v>17400</v>
      </c>
      <c r="J24">
        <f t="shared" si="0"/>
        <v>1.74</v>
      </c>
      <c r="K24">
        <f t="shared" si="1"/>
        <v>17400</v>
      </c>
    </row>
    <row r="25" spans="1:11" x14ac:dyDescent="0.25">
      <c r="A25">
        <v>24</v>
      </c>
      <c r="B25">
        <v>10000</v>
      </c>
      <c r="C25" t="s">
        <v>259</v>
      </c>
      <c r="D25" t="s">
        <v>634</v>
      </c>
      <c r="F25">
        <v>10000</v>
      </c>
      <c r="G25">
        <v>0</v>
      </c>
      <c r="H25">
        <v>0.252</v>
      </c>
      <c r="I25">
        <v>2520</v>
      </c>
      <c r="J25">
        <f t="shared" si="0"/>
        <v>0.252</v>
      </c>
      <c r="K25">
        <f t="shared" si="1"/>
        <v>2520</v>
      </c>
    </row>
    <row r="26" spans="1:11" x14ac:dyDescent="0.25">
      <c r="A26">
        <v>25</v>
      </c>
      <c r="B26">
        <v>10000</v>
      </c>
      <c r="C26" t="s">
        <v>265</v>
      </c>
      <c r="D26" t="s">
        <v>635</v>
      </c>
      <c r="F26">
        <v>10000</v>
      </c>
      <c r="G26">
        <v>0</v>
      </c>
      <c r="H26">
        <v>0.40500000000000003</v>
      </c>
      <c r="I26">
        <v>4050</v>
      </c>
      <c r="J26">
        <f t="shared" si="0"/>
        <v>0.40500000000000003</v>
      </c>
      <c r="K26">
        <f t="shared" si="1"/>
        <v>4050.0000000000005</v>
      </c>
    </row>
    <row r="27" spans="1:11" x14ac:dyDescent="0.25">
      <c r="A27">
        <v>26</v>
      </c>
      <c r="B27">
        <v>20000</v>
      </c>
      <c r="C27" t="s">
        <v>638</v>
      </c>
      <c r="D27" t="s">
        <v>560</v>
      </c>
      <c r="F27">
        <v>0</v>
      </c>
      <c r="G27">
        <v>20000</v>
      </c>
      <c r="H27">
        <v>3.7220000000000003E-2</v>
      </c>
      <c r="I27">
        <v>744.48</v>
      </c>
      <c r="J27">
        <f t="shared" si="0"/>
        <v>3.7220000000000003E-2</v>
      </c>
      <c r="K27">
        <f t="shared" si="1"/>
        <v>744.40000000000009</v>
      </c>
    </row>
    <row r="28" spans="1:11" x14ac:dyDescent="0.25">
      <c r="A28">
        <v>27</v>
      </c>
      <c r="B28">
        <v>20000</v>
      </c>
      <c r="C28" t="s">
        <v>639</v>
      </c>
      <c r="D28" t="s">
        <v>564</v>
      </c>
      <c r="F28">
        <v>20000</v>
      </c>
      <c r="G28">
        <v>0</v>
      </c>
      <c r="H28">
        <v>9.0200000000000002E-3</v>
      </c>
      <c r="I28">
        <v>180.4</v>
      </c>
      <c r="J28">
        <f t="shared" si="0"/>
        <v>9.0200000000000002E-3</v>
      </c>
      <c r="K28">
        <f t="shared" si="1"/>
        <v>180.4</v>
      </c>
    </row>
    <row r="29" spans="1:11" x14ac:dyDescent="0.25">
      <c r="A29">
        <v>28</v>
      </c>
      <c r="B29">
        <v>20000</v>
      </c>
      <c r="C29" t="s">
        <v>640</v>
      </c>
      <c r="D29" t="s">
        <v>571</v>
      </c>
      <c r="F29">
        <v>15000</v>
      </c>
      <c r="G29">
        <v>5000</v>
      </c>
      <c r="H29">
        <v>8.0850000000000005E-2</v>
      </c>
      <c r="I29">
        <v>1617.08</v>
      </c>
      <c r="J29">
        <f t="shared" si="0"/>
        <v>8.0850000000000005E-2</v>
      </c>
      <c r="K29">
        <f t="shared" si="1"/>
        <v>1617</v>
      </c>
    </row>
    <row r="30" spans="1:11" x14ac:dyDescent="0.25">
      <c r="A30">
        <v>29</v>
      </c>
      <c r="B30">
        <v>39000</v>
      </c>
      <c r="C30" t="s">
        <v>68</v>
      </c>
      <c r="D30" t="s">
        <v>572</v>
      </c>
      <c r="F30">
        <v>39000</v>
      </c>
      <c r="G30">
        <v>0</v>
      </c>
      <c r="H30">
        <v>2.2769999999999999E-2</v>
      </c>
      <c r="I30">
        <v>888.03</v>
      </c>
      <c r="J30">
        <f t="shared" si="0"/>
        <v>2.2769999999999999E-2</v>
      </c>
      <c r="K30">
        <f t="shared" si="1"/>
        <v>888.03</v>
      </c>
    </row>
    <row r="31" spans="1:11" x14ac:dyDescent="0.25">
      <c r="A31">
        <v>30</v>
      </c>
      <c r="B31">
        <v>1000</v>
      </c>
      <c r="C31" t="s">
        <v>641</v>
      </c>
      <c r="D31" t="s">
        <v>572</v>
      </c>
      <c r="F31">
        <v>1000</v>
      </c>
      <c r="G31">
        <v>0</v>
      </c>
      <c r="H31">
        <v>3.9109999999999999E-2</v>
      </c>
      <c r="I31">
        <v>39.11</v>
      </c>
      <c r="J31">
        <f t="shared" si="0"/>
        <v>3.9109999999999999E-2</v>
      </c>
      <c r="K31">
        <f t="shared" si="1"/>
        <v>39.11</v>
      </c>
    </row>
    <row r="32" spans="1:11" x14ac:dyDescent="0.25">
      <c r="A32">
        <v>31</v>
      </c>
      <c r="B32">
        <v>39000</v>
      </c>
      <c r="C32" t="s">
        <v>94</v>
      </c>
      <c r="D32" t="s">
        <v>96</v>
      </c>
      <c r="F32">
        <v>12000</v>
      </c>
      <c r="G32">
        <v>27000</v>
      </c>
      <c r="H32">
        <v>0.10395</v>
      </c>
      <c r="I32">
        <v>4054.05</v>
      </c>
      <c r="J32">
        <f t="shared" si="0"/>
        <v>0.10395</v>
      </c>
      <c r="K32">
        <f t="shared" si="1"/>
        <v>4054.05</v>
      </c>
    </row>
    <row r="33" spans="1:11" x14ac:dyDescent="0.25">
      <c r="A33">
        <v>32</v>
      </c>
      <c r="B33">
        <v>1000</v>
      </c>
      <c r="C33" t="s">
        <v>642</v>
      </c>
      <c r="D33" t="s">
        <v>96</v>
      </c>
      <c r="F33">
        <v>1000</v>
      </c>
      <c r="G33">
        <v>0</v>
      </c>
      <c r="H33">
        <v>0.15246000000000001</v>
      </c>
      <c r="I33">
        <v>152.46</v>
      </c>
      <c r="J33">
        <f t="shared" si="0"/>
        <v>0.15246000000000001</v>
      </c>
      <c r="K33">
        <f t="shared" si="1"/>
        <v>152.46</v>
      </c>
    </row>
    <row r="34" spans="1:11" x14ac:dyDescent="0.25">
      <c r="A34">
        <v>33</v>
      </c>
      <c r="B34">
        <v>9000</v>
      </c>
      <c r="C34" t="s">
        <v>643</v>
      </c>
      <c r="D34" t="s">
        <v>117</v>
      </c>
      <c r="F34">
        <v>9000</v>
      </c>
      <c r="G34">
        <v>0</v>
      </c>
      <c r="H34">
        <v>2.4150000000000001E-2</v>
      </c>
      <c r="I34">
        <v>217.35</v>
      </c>
      <c r="J34">
        <f t="shared" si="0"/>
        <v>2.4150000000000001E-2</v>
      </c>
      <c r="K34">
        <f t="shared" si="1"/>
        <v>217.35000000000002</v>
      </c>
    </row>
    <row r="35" spans="1:11" x14ac:dyDescent="0.25">
      <c r="A35">
        <v>34</v>
      </c>
      <c r="B35">
        <v>1000</v>
      </c>
      <c r="C35" t="s">
        <v>644</v>
      </c>
      <c r="D35" t="s">
        <v>117</v>
      </c>
      <c r="F35">
        <v>1000</v>
      </c>
      <c r="G35">
        <v>0</v>
      </c>
      <c r="H35">
        <v>3.245E-2</v>
      </c>
      <c r="I35">
        <v>32.450000000000003</v>
      </c>
      <c r="J35">
        <f t="shared" si="0"/>
        <v>3.245E-2</v>
      </c>
      <c r="K35">
        <f t="shared" si="1"/>
        <v>32.450000000000003</v>
      </c>
    </row>
    <row r="36" spans="1:11" x14ac:dyDescent="0.25">
      <c r="A36">
        <v>35</v>
      </c>
      <c r="B36">
        <v>10000</v>
      </c>
      <c r="C36" t="s">
        <v>645</v>
      </c>
      <c r="D36" t="s">
        <v>122</v>
      </c>
      <c r="F36">
        <v>10000</v>
      </c>
      <c r="G36">
        <v>0</v>
      </c>
      <c r="H36">
        <v>1.6799999999999999E-2</v>
      </c>
      <c r="I36">
        <v>168</v>
      </c>
      <c r="J36">
        <f t="shared" si="0"/>
        <v>1.6799999999999999E-2</v>
      </c>
      <c r="K36">
        <f t="shared" si="1"/>
        <v>168</v>
      </c>
    </row>
    <row r="37" spans="1:11" x14ac:dyDescent="0.25">
      <c r="A37">
        <v>36</v>
      </c>
      <c r="B37">
        <v>9000</v>
      </c>
      <c r="C37" t="s">
        <v>646</v>
      </c>
      <c r="D37" t="s">
        <v>585</v>
      </c>
      <c r="F37">
        <v>9000</v>
      </c>
      <c r="G37">
        <v>0</v>
      </c>
      <c r="H37">
        <v>8.9099999999999999E-2</v>
      </c>
      <c r="I37">
        <v>801.9</v>
      </c>
      <c r="J37">
        <f t="shared" si="0"/>
        <v>8.9099999999999999E-2</v>
      </c>
      <c r="K37">
        <f t="shared" si="1"/>
        <v>801.9</v>
      </c>
    </row>
    <row r="38" spans="1:11" x14ac:dyDescent="0.25">
      <c r="A38">
        <v>37</v>
      </c>
      <c r="B38">
        <v>1000</v>
      </c>
      <c r="C38" t="s">
        <v>647</v>
      </c>
      <c r="D38" t="s">
        <v>585</v>
      </c>
      <c r="F38">
        <v>1000</v>
      </c>
      <c r="G38">
        <v>0</v>
      </c>
      <c r="H38">
        <v>0.10197000000000001</v>
      </c>
      <c r="I38">
        <v>101.97</v>
      </c>
      <c r="J38">
        <f t="shared" si="0"/>
        <v>0.10197000000000001</v>
      </c>
      <c r="K38">
        <f t="shared" si="1"/>
        <v>101.97</v>
      </c>
    </row>
    <row r="39" spans="1:11" x14ac:dyDescent="0.25">
      <c r="A39">
        <v>38</v>
      </c>
      <c r="B39">
        <v>18000</v>
      </c>
      <c r="C39" t="s">
        <v>648</v>
      </c>
      <c r="D39" t="s">
        <v>587</v>
      </c>
      <c r="F39">
        <v>18000</v>
      </c>
      <c r="G39">
        <v>0</v>
      </c>
      <c r="H39">
        <v>4.5539999999999997E-2</v>
      </c>
      <c r="I39">
        <v>819.72</v>
      </c>
      <c r="J39">
        <f t="shared" si="0"/>
        <v>4.5539999999999997E-2</v>
      </c>
      <c r="K39">
        <f t="shared" si="1"/>
        <v>819.71999999999991</v>
      </c>
    </row>
    <row r="40" spans="1:11" x14ac:dyDescent="0.25">
      <c r="A40">
        <v>39</v>
      </c>
      <c r="B40">
        <v>2000</v>
      </c>
      <c r="C40" t="s">
        <v>649</v>
      </c>
      <c r="D40" t="s">
        <v>587</v>
      </c>
      <c r="F40">
        <v>2000</v>
      </c>
      <c r="G40">
        <v>0</v>
      </c>
      <c r="H40">
        <v>5.1999999999999998E-2</v>
      </c>
      <c r="I40">
        <v>104</v>
      </c>
      <c r="J40">
        <f t="shared" si="0"/>
        <v>5.1999999999999998E-2</v>
      </c>
      <c r="K40">
        <f t="shared" si="1"/>
        <v>104</v>
      </c>
    </row>
    <row r="41" spans="1:11" x14ac:dyDescent="0.25">
      <c r="A41">
        <v>40</v>
      </c>
      <c r="B41">
        <v>10000</v>
      </c>
      <c r="C41" t="s">
        <v>650</v>
      </c>
      <c r="D41" t="s">
        <v>591</v>
      </c>
      <c r="F41">
        <v>10000</v>
      </c>
      <c r="G41">
        <v>0</v>
      </c>
      <c r="H41">
        <v>2.1299999999999999E-3</v>
      </c>
      <c r="I41">
        <v>21.25</v>
      </c>
      <c r="J41">
        <f t="shared" si="0"/>
        <v>2.1299999999999999E-3</v>
      </c>
      <c r="K41">
        <f t="shared" si="1"/>
        <v>21.3</v>
      </c>
    </row>
    <row r="42" spans="1:11" x14ac:dyDescent="0.25">
      <c r="A42">
        <v>41</v>
      </c>
      <c r="B42">
        <v>10000</v>
      </c>
      <c r="C42" t="s">
        <v>651</v>
      </c>
      <c r="D42" t="s">
        <v>595</v>
      </c>
      <c r="F42">
        <v>10000</v>
      </c>
      <c r="G42">
        <v>0</v>
      </c>
      <c r="H42">
        <v>4.2900000000000004E-3</v>
      </c>
      <c r="I42">
        <v>42.88</v>
      </c>
      <c r="J42">
        <f t="shared" si="0"/>
        <v>4.2900000000000004E-3</v>
      </c>
      <c r="K42">
        <f t="shared" si="1"/>
        <v>42.900000000000006</v>
      </c>
    </row>
    <row r="43" spans="1:11" x14ac:dyDescent="0.25">
      <c r="A43">
        <v>42</v>
      </c>
      <c r="B43">
        <v>20000</v>
      </c>
      <c r="C43" t="s">
        <v>652</v>
      </c>
      <c r="D43" t="s">
        <v>597</v>
      </c>
      <c r="F43">
        <v>20000</v>
      </c>
      <c r="G43">
        <v>0</v>
      </c>
      <c r="H43">
        <v>4.2900000000000004E-3</v>
      </c>
      <c r="I43">
        <v>85.76</v>
      </c>
      <c r="J43">
        <f t="shared" si="0"/>
        <v>4.2900000000000004E-3</v>
      </c>
      <c r="K43">
        <f t="shared" si="1"/>
        <v>85.800000000000011</v>
      </c>
    </row>
    <row r="44" spans="1:11" x14ac:dyDescent="0.25">
      <c r="A44">
        <v>43</v>
      </c>
      <c r="B44">
        <v>40000</v>
      </c>
      <c r="C44" t="s">
        <v>653</v>
      </c>
      <c r="D44" t="s">
        <v>599</v>
      </c>
      <c r="F44">
        <v>40000</v>
      </c>
      <c r="G44">
        <v>0</v>
      </c>
      <c r="H44">
        <v>2.1700000000000001E-3</v>
      </c>
      <c r="I44">
        <v>86.7</v>
      </c>
      <c r="J44">
        <f t="shared" si="0"/>
        <v>2.1700000000000001E-3</v>
      </c>
      <c r="K44">
        <f t="shared" si="1"/>
        <v>86.8</v>
      </c>
    </row>
    <row r="45" spans="1:11" x14ac:dyDescent="0.25">
      <c r="A45">
        <v>44</v>
      </c>
      <c r="B45">
        <v>10000</v>
      </c>
      <c r="C45" t="s">
        <v>654</v>
      </c>
      <c r="D45" t="s">
        <v>601</v>
      </c>
      <c r="F45">
        <v>10000</v>
      </c>
      <c r="G45">
        <v>0</v>
      </c>
      <c r="H45">
        <v>2.47E-3</v>
      </c>
      <c r="I45">
        <v>24.67</v>
      </c>
      <c r="J45">
        <f t="shared" si="0"/>
        <v>2.47E-3</v>
      </c>
      <c r="K45">
        <f t="shared" si="1"/>
        <v>24.7</v>
      </c>
    </row>
    <row r="46" spans="1:11" x14ac:dyDescent="0.25">
      <c r="A46">
        <v>45</v>
      </c>
      <c r="B46">
        <v>20000</v>
      </c>
      <c r="C46" t="s">
        <v>655</v>
      </c>
      <c r="D46" t="s">
        <v>605</v>
      </c>
      <c r="F46">
        <v>20000</v>
      </c>
      <c r="G46">
        <v>0</v>
      </c>
      <c r="H46">
        <v>4.2900000000000004E-3</v>
      </c>
      <c r="I46">
        <v>85.76</v>
      </c>
      <c r="J46">
        <f t="shared" si="0"/>
        <v>4.2900000000000004E-3</v>
      </c>
      <c r="K46">
        <f t="shared" si="1"/>
        <v>85.800000000000011</v>
      </c>
    </row>
    <row r="47" spans="1:11" x14ac:dyDescent="0.25">
      <c r="A47">
        <v>46</v>
      </c>
      <c r="B47">
        <v>10000</v>
      </c>
      <c r="C47" t="s">
        <v>656</v>
      </c>
      <c r="D47" t="s">
        <v>607</v>
      </c>
      <c r="F47">
        <v>10000</v>
      </c>
      <c r="G47">
        <v>0</v>
      </c>
      <c r="H47">
        <v>6.5300000000000002E-3</v>
      </c>
      <c r="I47">
        <v>65.260000000000005</v>
      </c>
      <c r="J47">
        <f t="shared" si="0"/>
        <v>6.5300000000000002E-3</v>
      </c>
      <c r="K47">
        <f t="shared" si="1"/>
        <v>65.3</v>
      </c>
    </row>
    <row r="48" spans="1:11" x14ac:dyDescent="0.25">
      <c r="A48">
        <v>47</v>
      </c>
      <c r="B48">
        <v>10000</v>
      </c>
      <c r="C48" t="s">
        <v>657</v>
      </c>
      <c r="D48" t="s">
        <v>609</v>
      </c>
      <c r="F48">
        <v>10000</v>
      </c>
      <c r="G48">
        <v>0</v>
      </c>
      <c r="H48">
        <v>1.67E-3</v>
      </c>
      <c r="I48">
        <v>16.7</v>
      </c>
      <c r="J48">
        <f t="shared" si="0"/>
        <v>1.67E-3</v>
      </c>
      <c r="K48">
        <f t="shared" si="1"/>
        <v>16.7</v>
      </c>
    </row>
    <row r="49" spans="1:11" x14ac:dyDescent="0.25">
      <c r="A49">
        <v>48</v>
      </c>
      <c r="B49">
        <v>10000</v>
      </c>
      <c r="C49" t="s">
        <v>658</v>
      </c>
      <c r="D49" t="s">
        <v>611</v>
      </c>
      <c r="F49">
        <v>10000</v>
      </c>
      <c r="G49">
        <v>0</v>
      </c>
      <c r="H49">
        <v>6.5300000000000002E-3</v>
      </c>
      <c r="I49">
        <v>65.260000000000005</v>
      </c>
      <c r="J49">
        <f t="shared" si="0"/>
        <v>6.5300000000000002E-3</v>
      </c>
      <c r="K49">
        <f t="shared" si="1"/>
        <v>65.3</v>
      </c>
    </row>
    <row r="50" spans="1:11" x14ac:dyDescent="0.25">
      <c r="A50">
        <v>49</v>
      </c>
      <c r="B50">
        <v>20000</v>
      </c>
      <c r="C50" t="s">
        <v>659</v>
      </c>
      <c r="D50" t="s">
        <v>613</v>
      </c>
      <c r="F50">
        <v>0</v>
      </c>
      <c r="G50">
        <v>20000</v>
      </c>
      <c r="H50">
        <v>6.5300000000000002E-3</v>
      </c>
      <c r="I50">
        <v>130.52000000000001</v>
      </c>
      <c r="J50">
        <f t="shared" si="0"/>
        <v>6.5300000000000002E-3</v>
      </c>
      <c r="K50">
        <f t="shared" si="1"/>
        <v>130.6</v>
      </c>
    </row>
    <row r="51" spans="1:11" x14ac:dyDescent="0.25">
      <c r="A51">
        <v>50</v>
      </c>
      <c r="B51">
        <v>19200</v>
      </c>
      <c r="C51" t="s">
        <v>200</v>
      </c>
      <c r="D51" t="s">
        <v>614</v>
      </c>
      <c r="F51">
        <v>19200</v>
      </c>
      <c r="G51">
        <v>0</v>
      </c>
      <c r="H51">
        <v>0.13558000000000001</v>
      </c>
      <c r="I51">
        <v>2603.1</v>
      </c>
      <c r="J51">
        <f t="shared" si="0"/>
        <v>0.13558000000000001</v>
      </c>
      <c r="K51">
        <f t="shared" si="1"/>
        <v>2603.136</v>
      </c>
    </row>
    <row r="52" spans="1:11" x14ac:dyDescent="0.25">
      <c r="A52">
        <v>51</v>
      </c>
      <c r="B52">
        <v>800</v>
      </c>
      <c r="C52" t="s">
        <v>615</v>
      </c>
      <c r="D52" t="s">
        <v>614</v>
      </c>
      <c r="F52">
        <v>800</v>
      </c>
      <c r="G52">
        <v>0</v>
      </c>
      <c r="H52">
        <v>0.23658000000000001</v>
      </c>
      <c r="I52">
        <v>189.26</v>
      </c>
      <c r="J52">
        <f t="shared" si="0"/>
        <v>0.23658000000000001</v>
      </c>
      <c r="K52">
        <f t="shared" si="1"/>
        <v>189.26400000000001</v>
      </c>
    </row>
    <row r="53" spans="1:11" x14ac:dyDescent="0.25">
      <c r="A53">
        <v>52</v>
      </c>
      <c r="B53">
        <v>40000</v>
      </c>
      <c r="C53" t="s">
        <v>660</v>
      </c>
      <c r="D53" t="s">
        <v>617</v>
      </c>
      <c r="F53">
        <v>10000</v>
      </c>
      <c r="G53">
        <v>30000</v>
      </c>
      <c r="H53">
        <v>9.2230000000000006E-2</v>
      </c>
      <c r="I53">
        <v>3689.28</v>
      </c>
      <c r="J53">
        <f t="shared" si="0"/>
        <v>9.2230000000000006E-2</v>
      </c>
      <c r="K53">
        <f t="shared" si="1"/>
        <v>3689.2000000000003</v>
      </c>
    </row>
    <row r="54" spans="1:11" x14ac:dyDescent="0.25">
      <c r="A54">
        <v>53</v>
      </c>
      <c r="B54">
        <v>9000</v>
      </c>
      <c r="C54" t="s">
        <v>661</v>
      </c>
      <c r="D54" t="s">
        <v>619</v>
      </c>
      <c r="F54">
        <v>9000</v>
      </c>
      <c r="G54">
        <v>0</v>
      </c>
      <c r="H54">
        <v>0.11183</v>
      </c>
      <c r="I54">
        <v>1006.44</v>
      </c>
      <c r="J54">
        <f t="shared" si="0"/>
        <v>0.11183</v>
      </c>
      <c r="K54">
        <f t="shared" si="1"/>
        <v>1006.47</v>
      </c>
    </row>
    <row r="55" spans="1:11" x14ac:dyDescent="0.25">
      <c r="A55">
        <v>54</v>
      </c>
      <c r="B55">
        <v>1000</v>
      </c>
      <c r="C55" t="s">
        <v>618</v>
      </c>
      <c r="D55" t="s">
        <v>619</v>
      </c>
      <c r="F55">
        <v>1000</v>
      </c>
      <c r="G55">
        <v>0</v>
      </c>
      <c r="H55">
        <v>0.12195</v>
      </c>
      <c r="I55">
        <v>121.95</v>
      </c>
      <c r="J55">
        <f t="shared" si="0"/>
        <v>0.12195</v>
      </c>
      <c r="K55">
        <f t="shared" si="1"/>
        <v>121.95</v>
      </c>
    </row>
    <row r="56" spans="1:11" x14ac:dyDescent="0.25">
      <c r="A56">
        <v>55</v>
      </c>
      <c r="B56">
        <v>9000</v>
      </c>
      <c r="C56" t="s">
        <v>662</v>
      </c>
      <c r="D56" t="s">
        <v>621</v>
      </c>
      <c r="F56">
        <v>0</v>
      </c>
      <c r="G56">
        <v>9000</v>
      </c>
      <c r="H56" s="114">
        <v>4.4220000000000002E-2</v>
      </c>
      <c r="I56" s="114">
        <v>397.98</v>
      </c>
      <c r="J56">
        <f t="shared" si="0"/>
        <v>4.4220000000000002E-2</v>
      </c>
      <c r="K56">
        <f t="shared" si="1"/>
        <v>397.98</v>
      </c>
    </row>
    <row r="57" spans="1:11" x14ac:dyDescent="0.25">
      <c r="A57">
        <v>56</v>
      </c>
      <c r="B57">
        <v>1000</v>
      </c>
      <c r="C57" t="s">
        <v>620</v>
      </c>
      <c r="D57" t="s">
        <v>621</v>
      </c>
      <c r="F57">
        <v>0</v>
      </c>
      <c r="G57">
        <v>1000</v>
      </c>
      <c r="H57">
        <v>5.806E-2</v>
      </c>
      <c r="I57">
        <v>58.06</v>
      </c>
      <c r="J57">
        <f t="shared" si="0"/>
        <v>5.806E-2</v>
      </c>
      <c r="K57">
        <f t="shared" si="1"/>
        <v>58.06</v>
      </c>
    </row>
    <row r="58" spans="1:11" x14ac:dyDescent="0.25">
      <c r="A58">
        <v>57</v>
      </c>
      <c r="B58">
        <v>10000</v>
      </c>
      <c r="C58" t="s">
        <v>663</v>
      </c>
      <c r="D58" t="s">
        <v>624</v>
      </c>
      <c r="F58">
        <v>0</v>
      </c>
      <c r="G58">
        <v>10000</v>
      </c>
      <c r="H58">
        <v>1.6560699999999999</v>
      </c>
      <c r="I58">
        <v>16560.72</v>
      </c>
      <c r="J58">
        <f t="shared" si="0"/>
        <v>1.6560699999999999</v>
      </c>
      <c r="K58">
        <f t="shared" si="1"/>
        <v>16560.7</v>
      </c>
    </row>
    <row r="59" spans="1:11" x14ac:dyDescent="0.25">
      <c r="A59">
        <v>58</v>
      </c>
      <c r="B59">
        <v>10000</v>
      </c>
      <c r="C59" t="s">
        <v>664</v>
      </c>
      <c r="D59" t="s">
        <v>626</v>
      </c>
      <c r="F59">
        <v>2500</v>
      </c>
      <c r="G59">
        <v>7500</v>
      </c>
      <c r="H59">
        <v>0.47082000000000002</v>
      </c>
      <c r="I59">
        <v>4708.2</v>
      </c>
      <c r="J59">
        <f t="shared" si="0"/>
        <v>0.47082000000000002</v>
      </c>
      <c r="K59">
        <f t="shared" si="1"/>
        <v>4708.2</v>
      </c>
    </row>
    <row r="60" spans="1:11" x14ac:dyDescent="0.25">
      <c r="A60">
        <v>59</v>
      </c>
      <c r="B60">
        <v>18000</v>
      </c>
      <c r="C60" t="s">
        <v>665</v>
      </c>
      <c r="D60" t="s">
        <v>629</v>
      </c>
      <c r="F60">
        <v>12000</v>
      </c>
      <c r="G60">
        <v>6000</v>
      </c>
      <c r="H60">
        <v>0.2525</v>
      </c>
      <c r="I60">
        <v>4545</v>
      </c>
      <c r="J60">
        <f t="shared" si="0"/>
        <v>0.2525</v>
      </c>
      <c r="K60">
        <f t="shared" si="1"/>
        <v>4545</v>
      </c>
    </row>
    <row r="61" spans="1:11" x14ac:dyDescent="0.25">
      <c r="A61">
        <v>60</v>
      </c>
      <c r="B61">
        <v>2000</v>
      </c>
      <c r="C61" t="s">
        <v>628</v>
      </c>
      <c r="D61" t="s">
        <v>629</v>
      </c>
      <c r="F61">
        <v>2000</v>
      </c>
      <c r="G61">
        <v>0</v>
      </c>
      <c r="H61">
        <v>0.33289999999999997</v>
      </c>
      <c r="I61">
        <v>665.8</v>
      </c>
      <c r="J61">
        <f t="shared" si="0"/>
        <v>0.33289999999999997</v>
      </c>
      <c r="K61">
        <f t="shared" si="1"/>
        <v>665.8</v>
      </c>
    </row>
    <row r="62" spans="1:11" x14ac:dyDescent="0.25">
      <c r="A62">
        <v>61</v>
      </c>
      <c r="B62">
        <v>9000</v>
      </c>
      <c r="C62" t="s">
        <v>666</v>
      </c>
      <c r="D62" t="s">
        <v>631</v>
      </c>
      <c r="F62">
        <v>0</v>
      </c>
      <c r="G62">
        <v>9000</v>
      </c>
      <c r="H62">
        <v>0.93500000000000005</v>
      </c>
      <c r="I62">
        <v>8415</v>
      </c>
      <c r="J62">
        <f t="shared" si="0"/>
        <v>0.93500000000000005</v>
      </c>
      <c r="K62">
        <f t="shared" si="1"/>
        <v>8415</v>
      </c>
    </row>
    <row r="63" spans="1:11" x14ac:dyDescent="0.25">
      <c r="A63">
        <v>62</v>
      </c>
      <c r="B63">
        <v>1000</v>
      </c>
      <c r="C63" t="s">
        <v>630</v>
      </c>
      <c r="D63" t="s">
        <v>631</v>
      </c>
      <c r="F63">
        <v>1000</v>
      </c>
      <c r="G63">
        <v>0</v>
      </c>
      <c r="H63">
        <v>1.11714</v>
      </c>
      <c r="I63">
        <v>1117.1400000000001</v>
      </c>
      <c r="J63">
        <f t="shared" si="0"/>
        <v>1.11714</v>
      </c>
      <c r="K63">
        <f t="shared" si="1"/>
        <v>1117.1400000000001</v>
      </c>
    </row>
    <row r="64" spans="1:11" x14ac:dyDescent="0.25">
      <c r="A64">
        <v>63</v>
      </c>
      <c r="B64">
        <v>9000</v>
      </c>
      <c r="C64" t="s">
        <v>667</v>
      </c>
      <c r="D64" t="s">
        <v>633</v>
      </c>
      <c r="F64">
        <v>6000</v>
      </c>
      <c r="G64">
        <v>3000</v>
      </c>
      <c r="H64">
        <v>0.25374999999999998</v>
      </c>
      <c r="I64">
        <v>2283.75</v>
      </c>
      <c r="J64">
        <f t="shared" si="0"/>
        <v>0.25374999999999998</v>
      </c>
      <c r="K64">
        <f t="shared" si="1"/>
        <v>2283.75</v>
      </c>
    </row>
    <row r="65" spans="1:11" x14ac:dyDescent="0.25">
      <c r="A65">
        <v>64</v>
      </c>
      <c r="B65">
        <v>1000</v>
      </c>
      <c r="C65" t="s">
        <v>632</v>
      </c>
      <c r="D65" t="s">
        <v>633</v>
      </c>
      <c r="F65">
        <v>1000</v>
      </c>
      <c r="G65">
        <v>0</v>
      </c>
      <c r="H65">
        <v>0.28839999999999999</v>
      </c>
      <c r="I65">
        <v>288.39999999999998</v>
      </c>
      <c r="J65">
        <f t="shared" si="0"/>
        <v>0.28839999999999999</v>
      </c>
      <c r="K65">
        <f t="shared" si="1"/>
        <v>288.39999999999998</v>
      </c>
    </row>
    <row r="66" spans="1:11" x14ac:dyDescent="0.25">
      <c r="A66" s="117">
        <v>65</v>
      </c>
      <c r="B66" s="117">
        <v>10000</v>
      </c>
      <c r="C66" s="117" t="s">
        <v>235</v>
      </c>
      <c r="D66" s="117" t="s">
        <v>237</v>
      </c>
      <c r="E66" s="117"/>
      <c r="F66" s="117"/>
      <c r="G66" s="117"/>
      <c r="H66" s="117">
        <v>5.5</v>
      </c>
      <c r="I66" s="116">
        <f>H66*B66</f>
        <v>55000</v>
      </c>
      <c r="J66">
        <f>H66</f>
        <v>5.5</v>
      </c>
      <c r="K66">
        <f t="shared" si="1"/>
        <v>55000</v>
      </c>
    </row>
    <row r="68" spans="1:11" x14ac:dyDescent="0.25">
      <c r="H68" s="1" t="s">
        <v>637</v>
      </c>
      <c r="I68" s="115">
        <f>SUM(I2:I66)</f>
        <v>262496.72000000009</v>
      </c>
      <c r="K68">
        <f>SUM(K2:K67)</f>
        <v>232940.72000000006</v>
      </c>
    </row>
    <row r="69" spans="1:11" x14ac:dyDescent="0.25">
      <c r="H69" t="s">
        <v>756</v>
      </c>
      <c r="I69">
        <f>I68/10000</f>
        <v>26.249672000000007</v>
      </c>
      <c r="K69">
        <f>K68/10000</f>
        <v>23.294072000000007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1" topLeftCell="A32" activePane="bottomLeft" state="frozen"/>
      <selection pane="bottomLeft" activeCell="L59" sqref="L59"/>
    </sheetView>
  </sheetViews>
  <sheetFormatPr defaultRowHeight="15" x14ac:dyDescent="0.25"/>
  <cols>
    <col min="1" max="1" width="5.140625" bestFit="1" customWidth="1"/>
    <col min="3" max="3" width="23.85546875" bestFit="1" customWidth="1"/>
    <col min="4" max="4" width="36.140625" bestFit="1" customWidth="1"/>
    <col min="5" max="5" width="4" customWidth="1"/>
    <col min="6" max="6" width="7.5703125" customWidth="1"/>
    <col min="7" max="7" width="11.28515625" customWidth="1"/>
    <col min="8" max="8" width="10.5703125" customWidth="1"/>
    <col min="9" max="9" width="13" customWidth="1"/>
  </cols>
  <sheetData>
    <row r="1" spans="1:11" s="1" customFormat="1" ht="28.5" customHeigh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759</v>
      </c>
      <c r="K1" s="1" t="s">
        <v>556</v>
      </c>
    </row>
    <row r="2" spans="1:11" x14ac:dyDescent="0.25">
      <c r="A2">
        <v>1</v>
      </c>
      <c r="B2">
        <v>2000</v>
      </c>
      <c r="C2" t="s">
        <v>283</v>
      </c>
      <c r="D2" t="s">
        <v>668</v>
      </c>
      <c r="F2">
        <v>2000</v>
      </c>
      <c r="G2">
        <v>0</v>
      </c>
      <c r="H2">
        <v>0.29013</v>
      </c>
      <c r="I2">
        <v>580.26</v>
      </c>
      <c r="J2" s="118">
        <v>0.2</v>
      </c>
      <c r="K2">
        <f>J2*B2</f>
        <v>400</v>
      </c>
    </row>
    <row r="3" spans="1:11" x14ac:dyDescent="0.25">
      <c r="A3">
        <v>2</v>
      </c>
      <c r="B3">
        <v>2000</v>
      </c>
      <c r="C3" t="s">
        <v>289</v>
      </c>
      <c r="D3" t="s">
        <v>669</v>
      </c>
      <c r="F3">
        <v>2000</v>
      </c>
      <c r="G3">
        <v>0</v>
      </c>
      <c r="H3">
        <v>0.35771999999999998</v>
      </c>
      <c r="I3">
        <v>715.44</v>
      </c>
      <c r="J3" s="118">
        <v>0.15</v>
      </c>
      <c r="K3">
        <f t="shared" ref="K3:K50" si="0">J3*B3</f>
        <v>300</v>
      </c>
    </row>
    <row r="4" spans="1:11" x14ac:dyDescent="0.25">
      <c r="A4">
        <v>3</v>
      </c>
      <c r="B4">
        <v>1000</v>
      </c>
      <c r="C4" t="s">
        <v>294</v>
      </c>
      <c r="D4" t="s">
        <v>670</v>
      </c>
      <c r="F4">
        <v>1000</v>
      </c>
      <c r="G4">
        <v>0</v>
      </c>
      <c r="H4">
        <v>0.55169999999999997</v>
      </c>
      <c r="I4">
        <v>551.70000000000005</v>
      </c>
      <c r="J4" s="118">
        <v>0.3</v>
      </c>
      <c r="K4">
        <f t="shared" si="0"/>
        <v>300</v>
      </c>
    </row>
    <row r="5" spans="1:11" x14ac:dyDescent="0.25">
      <c r="A5">
        <v>4</v>
      </c>
      <c r="B5">
        <v>1000</v>
      </c>
      <c r="C5" t="s">
        <v>299</v>
      </c>
      <c r="D5" t="s">
        <v>671</v>
      </c>
      <c r="F5">
        <v>1000</v>
      </c>
      <c r="G5">
        <v>0</v>
      </c>
      <c r="H5">
        <v>0.78469999999999995</v>
      </c>
      <c r="I5">
        <v>784.7</v>
      </c>
      <c r="J5" s="118">
        <v>0.2</v>
      </c>
      <c r="K5">
        <f t="shared" si="0"/>
        <v>200</v>
      </c>
    </row>
    <row r="6" spans="1:11" x14ac:dyDescent="0.25">
      <c r="A6">
        <v>5</v>
      </c>
      <c r="B6">
        <v>3000</v>
      </c>
      <c r="C6" t="s">
        <v>304</v>
      </c>
      <c r="D6" t="s">
        <v>672</v>
      </c>
      <c r="F6">
        <v>3000</v>
      </c>
      <c r="G6">
        <v>0</v>
      </c>
      <c r="H6">
        <v>0.24535999999999999</v>
      </c>
      <c r="I6">
        <v>736.07</v>
      </c>
      <c r="J6" s="118">
        <v>0.1</v>
      </c>
      <c r="K6">
        <f t="shared" si="0"/>
        <v>300</v>
      </c>
    </row>
    <row r="7" spans="1:11" x14ac:dyDescent="0.25">
      <c r="A7">
        <v>6</v>
      </c>
      <c r="B7">
        <v>3000</v>
      </c>
      <c r="C7" t="s">
        <v>319</v>
      </c>
      <c r="D7" t="s">
        <v>673</v>
      </c>
      <c r="F7">
        <v>3000</v>
      </c>
      <c r="G7">
        <v>0</v>
      </c>
      <c r="H7">
        <v>0.13170999999999999</v>
      </c>
      <c r="I7">
        <v>395.14</v>
      </c>
      <c r="J7">
        <f t="shared" ref="J7:J50" si="1">H7</f>
        <v>0.13170999999999999</v>
      </c>
      <c r="K7">
        <f t="shared" si="0"/>
        <v>395.13</v>
      </c>
    </row>
    <row r="8" spans="1:11" x14ac:dyDescent="0.25">
      <c r="A8">
        <v>7</v>
      </c>
      <c r="B8">
        <v>4000</v>
      </c>
      <c r="C8" t="s">
        <v>322</v>
      </c>
      <c r="D8" t="s">
        <v>674</v>
      </c>
      <c r="F8">
        <v>0</v>
      </c>
      <c r="G8">
        <v>4000</v>
      </c>
      <c r="H8">
        <v>1.0500000000000001E-2</v>
      </c>
      <c r="I8">
        <v>42</v>
      </c>
      <c r="J8">
        <f t="shared" si="1"/>
        <v>1.0500000000000001E-2</v>
      </c>
      <c r="K8">
        <f t="shared" si="0"/>
        <v>42</v>
      </c>
    </row>
    <row r="9" spans="1:11" x14ac:dyDescent="0.25">
      <c r="A9">
        <v>8</v>
      </c>
      <c r="B9">
        <v>1000</v>
      </c>
      <c r="C9" t="s">
        <v>326</v>
      </c>
      <c r="D9" t="s">
        <v>675</v>
      </c>
      <c r="F9">
        <v>1000</v>
      </c>
      <c r="G9">
        <v>0</v>
      </c>
      <c r="H9">
        <v>0.13184000000000001</v>
      </c>
      <c r="I9">
        <v>131.84</v>
      </c>
      <c r="J9">
        <f t="shared" si="1"/>
        <v>0.13184000000000001</v>
      </c>
      <c r="K9">
        <f t="shared" si="0"/>
        <v>131.84</v>
      </c>
    </row>
    <row r="10" spans="1:11" x14ac:dyDescent="0.25">
      <c r="A10">
        <v>9</v>
      </c>
      <c r="B10">
        <v>4000</v>
      </c>
      <c r="C10" t="s">
        <v>337</v>
      </c>
      <c r="D10" t="s">
        <v>676</v>
      </c>
      <c r="F10">
        <v>0</v>
      </c>
      <c r="G10">
        <v>4000</v>
      </c>
      <c r="H10">
        <v>9.35E-2</v>
      </c>
      <c r="I10">
        <v>374</v>
      </c>
      <c r="J10">
        <f t="shared" si="1"/>
        <v>9.35E-2</v>
      </c>
      <c r="K10">
        <f t="shared" si="0"/>
        <v>374</v>
      </c>
    </row>
    <row r="11" spans="1:11" x14ac:dyDescent="0.25">
      <c r="A11">
        <v>10</v>
      </c>
      <c r="B11">
        <v>1000</v>
      </c>
      <c r="C11">
        <v>7448622501</v>
      </c>
      <c r="D11" t="s">
        <v>677</v>
      </c>
      <c r="F11">
        <v>1000</v>
      </c>
      <c r="G11">
        <v>0</v>
      </c>
      <c r="H11">
        <v>2.2959999999999998</v>
      </c>
      <c r="I11">
        <v>2296</v>
      </c>
      <c r="J11" s="118">
        <v>1</v>
      </c>
      <c r="K11">
        <f t="shared" si="0"/>
        <v>1000</v>
      </c>
    </row>
    <row r="12" spans="1:11" x14ac:dyDescent="0.25">
      <c r="A12">
        <v>11</v>
      </c>
      <c r="B12">
        <v>1000</v>
      </c>
      <c r="C12" t="s">
        <v>72</v>
      </c>
      <c r="D12" t="s">
        <v>574</v>
      </c>
      <c r="F12">
        <v>1000</v>
      </c>
      <c r="G12">
        <v>0</v>
      </c>
      <c r="H12">
        <v>0.27353</v>
      </c>
      <c r="I12">
        <v>273.52999999999997</v>
      </c>
      <c r="J12">
        <f t="shared" si="1"/>
        <v>0.27353</v>
      </c>
      <c r="K12">
        <f t="shared" si="0"/>
        <v>273.52999999999997</v>
      </c>
    </row>
    <row r="13" spans="1:11" x14ac:dyDescent="0.25">
      <c r="A13">
        <v>12</v>
      </c>
      <c r="B13">
        <v>1000</v>
      </c>
      <c r="C13" t="s">
        <v>380</v>
      </c>
      <c r="D13" t="s">
        <v>678</v>
      </c>
      <c r="F13">
        <v>1000</v>
      </c>
      <c r="G13">
        <v>0</v>
      </c>
      <c r="H13">
        <v>0.27539999999999998</v>
      </c>
      <c r="I13">
        <v>275.39999999999998</v>
      </c>
      <c r="J13">
        <f t="shared" si="1"/>
        <v>0.27539999999999998</v>
      </c>
      <c r="K13">
        <f t="shared" si="0"/>
        <v>275.39999999999998</v>
      </c>
    </row>
    <row r="14" spans="1:11" x14ac:dyDescent="0.25">
      <c r="A14">
        <v>13</v>
      </c>
      <c r="B14">
        <v>1000</v>
      </c>
      <c r="C14" t="s">
        <v>527</v>
      </c>
      <c r="D14" t="s">
        <v>526</v>
      </c>
      <c r="F14">
        <v>1000</v>
      </c>
      <c r="G14">
        <v>0</v>
      </c>
      <c r="H14">
        <v>0.78044999999999998</v>
      </c>
      <c r="I14">
        <v>780.45</v>
      </c>
      <c r="J14" s="118">
        <v>0.3</v>
      </c>
      <c r="K14">
        <f t="shared" si="0"/>
        <v>300</v>
      </c>
    </row>
    <row r="15" spans="1:11" x14ac:dyDescent="0.25">
      <c r="A15">
        <v>14</v>
      </c>
      <c r="B15">
        <v>3000</v>
      </c>
      <c r="C15" t="s">
        <v>396</v>
      </c>
      <c r="D15" t="s">
        <v>679</v>
      </c>
      <c r="F15">
        <v>0</v>
      </c>
      <c r="G15">
        <v>3000</v>
      </c>
      <c r="H15">
        <v>0.1242</v>
      </c>
      <c r="I15">
        <v>372.6</v>
      </c>
      <c r="J15">
        <f t="shared" si="1"/>
        <v>0.1242</v>
      </c>
      <c r="K15">
        <f t="shared" si="0"/>
        <v>372.6</v>
      </c>
    </row>
    <row r="16" spans="1:11" x14ac:dyDescent="0.25">
      <c r="A16">
        <v>15</v>
      </c>
      <c r="B16">
        <v>4000</v>
      </c>
      <c r="C16" t="s">
        <v>434</v>
      </c>
      <c r="D16" t="s">
        <v>680</v>
      </c>
      <c r="F16">
        <v>0</v>
      </c>
      <c r="G16">
        <v>4000</v>
      </c>
      <c r="H16">
        <v>0.12920000000000001</v>
      </c>
      <c r="I16">
        <v>516.79999999999995</v>
      </c>
      <c r="J16" s="118">
        <v>0</v>
      </c>
      <c r="K16">
        <f t="shared" si="0"/>
        <v>0</v>
      </c>
    </row>
    <row r="17" spans="1:11" x14ac:dyDescent="0.25">
      <c r="A17">
        <v>16</v>
      </c>
      <c r="B17">
        <v>3000</v>
      </c>
      <c r="C17" t="s">
        <v>451</v>
      </c>
      <c r="D17" t="s">
        <v>681</v>
      </c>
      <c r="F17">
        <v>2356</v>
      </c>
      <c r="G17">
        <v>644</v>
      </c>
      <c r="H17">
        <v>0.44562000000000002</v>
      </c>
      <c r="I17">
        <v>1336.86</v>
      </c>
      <c r="J17" s="118">
        <v>0.3</v>
      </c>
      <c r="K17">
        <f t="shared" si="0"/>
        <v>900</v>
      </c>
    </row>
    <row r="18" spans="1:11" x14ac:dyDescent="0.25">
      <c r="A18">
        <v>17</v>
      </c>
      <c r="B18">
        <v>1000</v>
      </c>
      <c r="C18" t="s">
        <v>682</v>
      </c>
      <c r="D18" t="s">
        <v>683</v>
      </c>
      <c r="F18">
        <v>1000</v>
      </c>
      <c r="G18">
        <v>0</v>
      </c>
      <c r="H18">
        <v>6.0400000000000002E-2</v>
      </c>
      <c r="I18">
        <v>60.4</v>
      </c>
      <c r="J18">
        <f t="shared" si="1"/>
        <v>6.0400000000000002E-2</v>
      </c>
      <c r="K18">
        <f t="shared" si="0"/>
        <v>60.400000000000006</v>
      </c>
    </row>
    <row r="19" spans="1:11" x14ac:dyDescent="0.25">
      <c r="A19">
        <v>18</v>
      </c>
      <c r="B19">
        <v>3000</v>
      </c>
      <c r="C19" t="s">
        <v>94</v>
      </c>
      <c r="D19" t="s">
        <v>96</v>
      </c>
      <c r="F19">
        <v>3000</v>
      </c>
      <c r="G19">
        <v>0</v>
      </c>
      <c r="H19">
        <v>0.12705</v>
      </c>
      <c r="I19">
        <v>381.15</v>
      </c>
      <c r="J19">
        <f t="shared" si="1"/>
        <v>0.12705</v>
      </c>
      <c r="K19">
        <f t="shared" si="0"/>
        <v>381.15</v>
      </c>
    </row>
    <row r="20" spans="1:11" x14ac:dyDescent="0.25">
      <c r="A20">
        <v>19</v>
      </c>
      <c r="B20">
        <v>4000</v>
      </c>
      <c r="C20" t="s">
        <v>390</v>
      </c>
      <c r="D20" t="s">
        <v>684</v>
      </c>
      <c r="F20">
        <v>649</v>
      </c>
      <c r="G20">
        <v>3351</v>
      </c>
      <c r="H20">
        <v>0.88088</v>
      </c>
      <c r="I20">
        <v>3523.52</v>
      </c>
      <c r="J20">
        <v>0.6</v>
      </c>
      <c r="K20">
        <f t="shared" si="0"/>
        <v>2400</v>
      </c>
    </row>
    <row r="21" spans="1:11" x14ac:dyDescent="0.25">
      <c r="A21">
        <v>20</v>
      </c>
      <c r="B21">
        <v>1000</v>
      </c>
      <c r="C21" t="s">
        <v>685</v>
      </c>
      <c r="D21" t="s">
        <v>686</v>
      </c>
      <c r="F21">
        <v>1000</v>
      </c>
      <c r="G21">
        <v>0</v>
      </c>
      <c r="H21">
        <v>1.29E-2</v>
      </c>
      <c r="I21">
        <v>12.9</v>
      </c>
      <c r="J21">
        <f t="shared" si="1"/>
        <v>1.29E-2</v>
      </c>
      <c r="K21">
        <f t="shared" si="0"/>
        <v>12.9</v>
      </c>
    </row>
    <row r="22" spans="1:11" x14ac:dyDescent="0.25">
      <c r="A22">
        <v>21</v>
      </c>
      <c r="B22">
        <v>1000</v>
      </c>
      <c r="C22" t="s">
        <v>687</v>
      </c>
      <c r="D22" t="s">
        <v>688</v>
      </c>
      <c r="F22">
        <v>1000</v>
      </c>
      <c r="G22">
        <v>0</v>
      </c>
      <c r="H22">
        <v>1.5180000000000001E-2</v>
      </c>
      <c r="I22">
        <v>15.18</v>
      </c>
      <c r="J22">
        <f t="shared" si="1"/>
        <v>1.5180000000000001E-2</v>
      </c>
      <c r="K22">
        <f t="shared" si="0"/>
        <v>15.180000000000001</v>
      </c>
    </row>
    <row r="23" spans="1:11" x14ac:dyDescent="0.25">
      <c r="A23">
        <v>22</v>
      </c>
      <c r="B23">
        <v>1000</v>
      </c>
      <c r="C23" t="s">
        <v>689</v>
      </c>
      <c r="D23" t="s">
        <v>690</v>
      </c>
      <c r="F23">
        <v>0</v>
      </c>
      <c r="G23">
        <v>1000</v>
      </c>
      <c r="H23">
        <v>0.10503999999999999</v>
      </c>
      <c r="I23">
        <v>105.04</v>
      </c>
      <c r="J23">
        <f t="shared" si="1"/>
        <v>0.10503999999999999</v>
      </c>
      <c r="K23">
        <f t="shared" si="0"/>
        <v>105.03999999999999</v>
      </c>
    </row>
    <row r="24" spans="1:11" x14ac:dyDescent="0.25">
      <c r="A24">
        <v>23</v>
      </c>
      <c r="B24">
        <v>1000</v>
      </c>
      <c r="C24" t="s">
        <v>691</v>
      </c>
      <c r="D24" t="s">
        <v>692</v>
      </c>
      <c r="F24">
        <v>1000</v>
      </c>
      <c r="G24">
        <v>0</v>
      </c>
      <c r="H24">
        <v>8.8599999999999998E-3</v>
      </c>
      <c r="I24">
        <v>8.86</v>
      </c>
      <c r="J24">
        <f t="shared" si="1"/>
        <v>8.8599999999999998E-3</v>
      </c>
      <c r="K24">
        <f t="shared" si="0"/>
        <v>8.86</v>
      </c>
    </row>
    <row r="25" spans="1:11" x14ac:dyDescent="0.25">
      <c r="A25">
        <v>24</v>
      </c>
      <c r="B25">
        <v>1000</v>
      </c>
      <c r="C25" t="s">
        <v>693</v>
      </c>
      <c r="D25" t="s">
        <v>694</v>
      </c>
      <c r="F25">
        <v>1000</v>
      </c>
      <c r="G25">
        <v>0</v>
      </c>
      <c r="H25">
        <v>0.12236</v>
      </c>
      <c r="I25">
        <v>122.36</v>
      </c>
      <c r="J25">
        <f t="shared" si="1"/>
        <v>0.12236</v>
      </c>
      <c r="K25">
        <f t="shared" si="0"/>
        <v>122.36</v>
      </c>
    </row>
    <row r="26" spans="1:11" x14ac:dyDescent="0.25">
      <c r="A26">
        <v>25</v>
      </c>
      <c r="B26">
        <v>3000</v>
      </c>
      <c r="C26" t="s">
        <v>68</v>
      </c>
      <c r="D26" t="s">
        <v>572</v>
      </c>
      <c r="F26">
        <v>3000</v>
      </c>
      <c r="G26">
        <v>0</v>
      </c>
      <c r="H26">
        <v>3.2259999999999997E-2</v>
      </c>
      <c r="I26">
        <v>96.77</v>
      </c>
      <c r="J26">
        <f t="shared" si="1"/>
        <v>3.2259999999999997E-2</v>
      </c>
      <c r="K26">
        <f t="shared" si="0"/>
        <v>96.779999999999987</v>
      </c>
    </row>
    <row r="27" spans="1:11" x14ac:dyDescent="0.25">
      <c r="A27">
        <v>26</v>
      </c>
      <c r="B27">
        <v>1000</v>
      </c>
      <c r="C27" t="s">
        <v>641</v>
      </c>
      <c r="D27" t="s">
        <v>572</v>
      </c>
      <c r="F27">
        <v>1000</v>
      </c>
      <c r="G27">
        <v>0</v>
      </c>
      <c r="H27">
        <v>3.9109999999999999E-2</v>
      </c>
      <c r="I27">
        <v>39.11</v>
      </c>
      <c r="J27">
        <f t="shared" si="1"/>
        <v>3.9109999999999999E-2</v>
      </c>
      <c r="K27">
        <f t="shared" si="0"/>
        <v>39.11</v>
      </c>
    </row>
    <row r="28" spans="1:11" x14ac:dyDescent="0.25">
      <c r="A28">
        <v>27</v>
      </c>
      <c r="B28">
        <v>1000</v>
      </c>
      <c r="C28" t="s">
        <v>695</v>
      </c>
      <c r="D28" t="s">
        <v>696</v>
      </c>
      <c r="F28">
        <v>1000</v>
      </c>
      <c r="G28">
        <v>0</v>
      </c>
      <c r="H28">
        <v>0.22403999999999999</v>
      </c>
      <c r="I28">
        <v>224.04</v>
      </c>
      <c r="J28">
        <f t="shared" si="1"/>
        <v>0.22403999999999999</v>
      </c>
      <c r="K28">
        <f t="shared" si="0"/>
        <v>224.04</v>
      </c>
    </row>
    <row r="29" spans="1:11" x14ac:dyDescent="0.25">
      <c r="A29">
        <v>28</v>
      </c>
      <c r="B29">
        <v>2000</v>
      </c>
      <c r="C29" t="s">
        <v>697</v>
      </c>
      <c r="D29" t="s">
        <v>698</v>
      </c>
      <c r="F29">
        <v>2000</v>
      </c>
      <c r="G29">
        <v>0</v>
      </c>
      <c r="H29">
        <v>4.6299999999999996E-3</v>
      </c>
      <c r="I29">
        <v>9.26</v>
      </c>
      <c r="J29">
        <f t="shared" si="1"/>
        <v>4.6299999999999996E-3</v>
      </c>
      <c r="K29">
        <f t="shared" si="0"/>
        <v>9.26</v>
      </c>
    </row>
    <row r="30" spans="1:11" x14ac:dyDescent="0.25">
      <c r="A30">
        <v>29</v>
      </c>
      <c r="B30">
        <v>3000</v>
      </c>
      <c r="C30" t="s">
        <v>699</v>
      </c>
      <c r="D30" t="s">
        <v>700</v>
      </c>
      <c r="F30">
        <v>3000</v>
      </c>
      <c r="G30">
        <v>0</v>
      </c>
      <c r="H30">
        <v>4.0200000000000001E-3</v>
      </c>
      <c r="I30">
        <v>12.06</v>
      </c>
      <c r="J30">
        <f t="shared" si="1"/>
        <v>4.0200000000000001E-3</v>
      </c>
      <c r="K30">
        <f t="shared" si="0"/>
        <v>12.06</v>
      </c>
    </row>
    <row r="31" spans="1:11" x14ac:dyDescent="0.25">
      <c r="A31">
        <v>30</v>
      </c>
      <c r="B31">
        <v>1000</v>
      </c>
      <c r="C31" t="s">
        <v>701</v>
      </c>
      <c r="D31" t="s">
        <v>702</v>
      </c>
      <c r="F31">
        <v>0</v>
      </c>
      <c r="G31">
        <v>1000</v>
      </c>
      <c r="H31">
        <v>5.9650000000000002E-2</v>
      </c>
      <c r="I31">
        <v>59.65</v>
      </c>
      <c r="J31">
        <f t="shared" si="1"/>
        <v>5.9650000000000002E-2</v>
      </c>
      <c r="K31">
        <f t="shared" si="0"/>
        <v>59.65</v>
      </c>
    </row>
    <row r="32" spans="1:11" x14ac:dyDescent="0.25">
      <c r="A32">
        <v>31</v>
      </c>
      <c r="B32">
        <v>3000</v>
      </c>
      <c r="C32" t="s">
        <v>703</v>
      </c>
      <c r="D32" t="s">
        <v>704</v>
      </c>
      <c r="F32">
        <v>3000</v>
      </c>
      <c r="G32">
        <v>0</v>
      </c>
      <c r="H32">
        <v>2.96E-3</v>
      </c>
      <c r="I32">
        <v>8.89</v>
      </c>
      <c r="J32">
        <f t="shared" si="1"/>
        <v>2.96E-3</v>
      </c>
      <c r="K32">
        <f t="shared" si="0"/>
        <v>8.879999999999999</v>
      </c>
    </row>
    <row r="33" spans="1:11" x14ac:dyDescent="0.25">
      <c r="A33">
        <v>32</v>
      </c>
      <c r="B33">
        <v>1000</v>
      </c>
      <c r="C33" t="s">
        <v>705</v>
      </c>
      <c r="D33" t="s">
        <v>706</v>
      </c>
      <c r="F33">
        <v>1000</v>
      </c>
      <c r="G33">
        <v>0</v>
      </c>
      <c r="H33">
        <v>4.6299999999999996E-3</v>
      </c>
      <c r="I33">
        <v>4.63</v>
      </c>
      <c r="J33">
        <f t="shared" si="1"/>
        <v>4.6299999999999996E-3</v>
      </c>
      <c r="K33">
        <f t="shared" si="0"/>
        <v>4.63</v>
      </c>
    </row>
    <row r="34" spans="1:11" x14ac:dyDescent="0.25">
      <c r="A34">
        <v>33</v>
      </c>
      <c r="B34">
        <v>1000</v>
      </c>
      <c r="C34" t="s">
        <v>707</v>
      </c>
      <c r="D34" t="s">
        <v>708</v>
      </c>
      <c r="F34">
        <v>1000</v>
      </c>
      <c r="G34">
        <v>0</v>
      </c>
      <c r="H34">
        <v>3.4099999999999998E-3</v>
      </c>
      <c r="I34">
        <v>3.41</v>
      </c>
      <c r="J34">
        <f t="shared" si="1"/>
        <v>3.4099999999999998E-3</v>
      </c>
      <c r="K34">
        <f t="shared" si="0"/>
        <v>3.4099999999999997</v>
      </c>
    </row>
    <row r="35" spans="1:11" x14ac:dyDescent="0.25">
      <c r="A35">
        <v>34</v>
      </c>
      <c r="B35">
        <v>1000</v>
      </c>
      <c r="C35" t="s">
        <v>709</v>
      </c>
      <c r="D35" t="s">
        <v>710</v>
      </c>
      <c r="F35">
        <v>1000</v>
      </c>
      <c r="G35">
        <v>0</v>
      </c>
      <c r="H35">
        <v>3.96E-3</v>
      </c>
      <c r="I35">
        <v>3.96</v>
      </c>
      <c r="J35">
        <f t="shared" si="1"/>
        <v>3.96E-3</v>
      </c>
      <c r="K35">
        <f t="shared" si="0"/>
        <v>3.96</v>
      </c>
    </row>
    <row r="36" spans="1:11" x14ac:dyDescent="0.25">
      <c r="A36">
        <v>35</v>
      </c>
      <c r="B36">
        <v>1000</v>
      </c>
      <c r="C36" t="s">
        <v>711</v>
      </c>
      <c r="D36" t="s">
        <v>712</v>
      </c>
      <c r="F36">
        <v>1000</v>
      </c>
      <c r="G36">
        <v>0</v>
      </c>
      <c r="H36">
        <v>3.4099999999999998E-3</v>
      </c>
      <c r="I36">
        <v>3.41</v>
      </c>
      <c r="J36">
        <f t="shared" si="1"/>
        <v>3.4099999999999998E-3</v>
      </c>
      <c r="K36">
        <f t="shared" si="0"/>
        <v>3.4099999999999997</v>
      </c>
    </row>
    <row r="37" spans="1:11" x14ac:dyDescent="0.25">
      <c r="A37">
        <v>36</v>
      </c>
      <c r="B37">
        <v>1000</v>
      </c>
      <c r="C37" t="s">
        <v>713</v>
      </c>
      <c r="D37" t="s">
        <v>714</v>
      </c>
      <c r="F37">
        <v>1000</v>
      </c>
      <c r="G37">
        <v>0</v>
      </c>
      <c r="H37">
        <v>3.96E-3</v>
      </c>
      <c r="I37">
        <v>3.96</v>
      </c>
      <c r="J37">
        <f t="shared" si="1"/>
        <v>3.96E-3</v>
      </c>
      <c r="K37">
        <f t="shared" si="0"/>
        <v>3.96</v>
      </c>
    </row>
    <row r="38" spans="1:11" x14ac:dyDescent="0.25">
      <c r="A38">
        <v>37</v>
      </c>
      <c r="B38">
        <v>5000</v>
      </c>
      <c r="C38" t="s">
        <v>430</v>
      </c>
      <c r="D38" t="s">
        <v>715</v>
      </c>
      <c r="F38">
        <v>0</v>
      </c>
      <c r="G38">
        <v>5000</v>
      </c>
      <c r="H38">
        <v>4.181E-2</v>
      </c>
      <c r="I38">
        <v>209.07</v>
      </c>
      <c r="J38">
        <f t="shared" si="1"/>
        <v>4.181E-2</v>
      </c>
      <c r="K38">
        <f t="shared" si="0"/>
        <v>209.05</v>
      </c>
    </row>
    <row r="39" spans="1:11" x14ac:dyDescent="0.25">
      <c r="A39">
        <v>38</v>
      </c>
      <c r="B39">
        <v>10000</v>
      </c>
      <c r="C39" t="s">
        <v>177</v>
      </c>
      <c r="D39" t="s">
        <v>602</v>
      </c>
      <c r="F39">
        <v>0</v>
      </c>
      <c r="G39">
        <v>10000</v>
      </c>
      <c r="H39">
        <v>2.1299999999999999E-3</v>
      </c>
      <c r="I39">
        <v>21.25</v>
      </c>
      <c r="J39">
        <f t="shared" si="1"/>
        <v>2.1299999999999999E-3</v>
      </c>
      <c r="K39">
        <f t="shared" si="0"/>
        <v>21.3</v>
      </c>
    </row>
    <row r="40" spans="1:11" x14ac:dyDescent="0.25">
      <c r="A40">
        <v>39</v>
      </c>
      <c r="B40">
        <v>2000</v>
      </c>
      <c r="C40" t="s">
        <v>603</v>
      </c>
      <c r="D40" t="s">
        <v>602</v>
      </c>
      <c r="F40">
        <v>2000</v>
      </c>
      <c r="G40">
        <v>0</v>
      </c>
      <c r="H40">
        <v>3.4099999999999998E-3</v>
      </c>
      <c r="I40">
        <v>6.82</v>
      </c>
      <c r="J40">
        <f t="shared" si="1"/>
        <v>3.4099999999999998E-3</v>
      </c>
      <c r="K40">
        <f t="shared" si="0"/>
        <v>6.8199999999999994</v>
      </c>
    </row>
    <row r="41" spans="1:11" x14ac:dyDescent="0.25">
      <c r="A41">
        <v>40</v>
      </c>
      <c r="B41">
        <v>4000</v>
      </c>
      <c r="C41" t="s">
        <v>716</v>
      </c>
      <c r="D41" t="s">
        <v>717</v>
      </c>
      <c r="F41">
        <v>4000</v>
      </c>
      <c r="G41">
        <v>0</v>
      </c>
      <c r="H41">
        <v>2.96E-3</v>
      </c>
      <c r="I41">
        <v>11.86</v>
      </c>
      <c r="J41">
        <f t="shared" si="1"/>
        <v>2.96E-3</v>
      </c>
      <c r="K41">
        <f t="shared" si="0"/>
        <v>11.84</v>
      </c>
    </row>
    <row r="42" spans="1:11" x14ac:dyDescent="0.25">
      <c r="A42">
        <v>41</v>
      </c>
      <c r="B42">
        <v>1000</v>
      </c>
      <c r="C42" t="s">
        <v>718</v>
      </c>
      <c r="D42" t="s">
        <v>719</v>
      </c>
      <c r="F42">
        <v>1000</v>
      </c>
      <c r="G42">
        <v>0</v>
      </c>
      <c r="H42">
        <v>0.50985000000000003</v>
      </c>
      <c r="I42">
        <v>509.85</v>
      </c>
      <c r="J42" s="118">
        <v>0.35</v>
      </c>
      <c r="K42">
        <f t="shared" si="0"/>
        <v>350</v>
      </c>
    </row>
    <row r="43" spans="1:11" x14ac:dyDescent="0.25">
      <c r="A43">
        <v>42</v>
      </c>
      <c r="B43">
        <v>5400</v>
      </c>
      <c r="C43" t="s">
        <v>720</v>
      </c>
      <c r="D43" t="s">
        <v>721</v>
      </c>
      <c r="F43">
        <v>0</v>
      </c>
      <c r="G43">
        <v>5400</v>
      </c>
      <c r="H43">
        <v>6.7030000000000006E-2</v>
      </c>
      <c r="I43">
        <v>361.97</v>
      </c>
      <c r="J43">
        <f t="shared" si="1"/>
        <v>6.7030000000000006E-2</v>
      </c>
      <c r="K43">
        <f t="shared" si="0"/>
        <v>361.96200000000005</v>
      </c>
    </row>
    <row r="44" spans="1:11" x14ac:dyDescent="0.25">
      <c r="A44">
        <v>43</v>
      </c>
      <c r="B44">
        <v>1000</v>
      </c>
      <c r="C44" t="s">
        <v>722</v>
      </c>
      <c r="D44" t="s">
        <v>723</v>
      </c>
      <c r="F44">
        <v>1000</v>
      </c>
      <c r="G44">
        <v>0</v>
      </c>
      <c r="H44">
        <v>4.5440000000000001E-2</v>
      </c>
      <c r="I44">
        <v>45.44</v>
      </c>
      <c r="J44">
        <f t="shared" si="1"/>
        <v>4.5440000000000001E-2</v>
      </c>
      <c r="K44">
        <f t="shared" si="0"/>
        <v>45.44</v>
      </c>
    </row>
    <row r="45" spans="1:11" x14ac:dyDescent="0.25">
      <c r="A45">
        <v>44</v>
      </c>
      <c r="B45">
        <v>1000</v>
      </c>
      <c r="C45" t="s">
        <v>724</v>
      </c>
      <c r="D45" t="s">
        <v>725</v>
      </c>
      <c r="F45">
        <v>0</v>
      </c>
      <c r="G45">
        <v>1000</v>
      </c>
      <c r="H45">
        <v>2.997E-2</v>
      </c>
      <c r="I45">
        <v>29.97</v>
      </c>
      <c r="J45">
        <f t="shared" si="1"/>
        <v>2.997E-2</v>
      </c>
      <c r="K45">
        <f t="shared" si="0"/>
        <v>29.97</v>
      </c>
    </row>
    <row r="46" spans="1:11" x14ac:dyDescent="0.25">
      <c r="A46">
        <v>45</v>
      </c>
      <c r="B46">
        <v>2000</v>
      </c>
      <c r="C46" t="s">
        <v>726</v>
      </c>
      <c r="D46" t="s">
        <v>727</v>
      </c>
      <c r="F46">
        <v>2000</v>
      </c>
      <c r="G46">
        <v>0</v>
      </c>
      <c r="H46">
        <v>0.24365999999999999</v>
      </c>
      <c r="I46">
        <v>487.32</v>
      </c>
      <c r="J46" s="118">
        <v>0.1</v>
      </c>
      <c r="K46">
        <f t="shared" si="0"/>
        <v>200</v>
      </c>
    </row>
    <row r="47" spans="1:11" x14ac:dyDescent="0.25">
      <c r="A47">
        <v>46</v>
      </c>
      <c r="B47">
        <v>5000</v>
      </c>
      <c r="C47" t="s">
        <v>728</v>
      </c>
      <c r="D47" t="s">
        <v>729</v>
      </c>
      <c r="F47">
        <v>5000</v>
      </c>
      <c r="G47">
        <v>0</v>
      </c>
      <c r="H47">
        <v>4.8180000000000001E-2</v>
      </c>
      <c r="I47">
        <v>240.9</v>
      </c>
      <c r="J47">
        <f t="shared" si="1"/>
        <v>4.8180000000000001E-2</v>
      </c>
      <c r="K47">
        <f t="shared" si="0"/>
        <v>240.9</v>
      </c>
    </row>
    <row r="48" spans="1:11" x14ac:dyDescent="0.25">
      <c r="A48">
        <v>47</v>
      </c>
      <c r="B48">
        <v>4000</v>
      </c>
      <c r="C48" t="s">
        <v>730</v>
      </c>
      <c r="D48" t="s">
        <v>729</v>
      </c>
      <c r="F48">
        <v>4000</v>
      </c>
      <c r="G48">
        <v>0</v>
      </c>
      <c r="H48">
        <v>6.3280000000000003E-2</v>
      </c>
      <c r="I48">
        <v>253.12</v>
      </c>
      <c r="J48">
        <f t="shared" si="1"/>
        <v>6.3280000000000003E-2</v>
      </c>
      <c r="K48">
        <f t="shared" si="0"/>
        <v>253.12</v>
      </c>
    </row>
    <row r="49" spans="1:11" x14ac:dyDescent="0.25">
      <c r="A49">
        <v>48</v>
      </c>
      <c r="B49">
        <v>6000</v>
      </c>
      <c r="C49" t="s">
        <v>363</v>
      </c>
      <c r="D49" t="s">
        <v>731</v>
      </c>
      <c r="F49">
        <v>0</v>
      </c>
      <c r="G49">
        <v>6000</v>
      </c>
      <c r="H49">
        <v>0.16747999999999999</v>
      </c>
      <c r="I49">
        <v>1004.85</v>
      </c>
      <c r="J49">
        <f t="shared" si="1"/>
        <v>0.16747999999999999</v>
      </c>
      <c r="K49">
        <f t="shared" si="0"/>
        <v>1004.88</v>
      </c>
    </row>
    <row r="50" spans="1:11" x14ac:dyDescent="0.25">
      <c r="A50" s="117">
        <v>49</v>
      </c>
      <c r="B50" s="117">
        <v>1000</v>
      </c>
      <c r="C50" s="117" t="s">
        <v>456</v>
      </c>
      <c r="D50" s="117" t="s">
        <v>455</v>
      </c>
      <c r="E50" s="117"/>
      <c r="F50" s="117"/>
      <c r="G50" s="117"/>
      <c r="H50" s="117">
        <v>0.6</v>
      </c>
      <c r="I50" s="116">
        <f>H50*B50</f>
        <v>600</v>
      </c>
      <c r="J50" s="118">
        <f t="shared" si="1"/>
        <v>0.6</v>
      </c>
      <c r="K50">
        <f t="shared" si="0"/>
        <v>600</v>
      </c>
    </row>
    <row r="52" spans="1:11" x14ac:dyDescent="0.25">
      <c r="H52" s="1" t="s">
        <v>637</v>
      </c>
      <c r="I52" s="115">
        <f>SUM(I2:I50)</f>
        <v>18643.769999999997</v>
      </c>
      <c r="K52">
        <f>SUM(K2:K51)</f>
        <v>12474.821999999996</v>
      </c>
    </row>
    <row r="53" spans="1:11" x14ac:dyDescent="0.25">
      <c r="H53" t="s">
        <v>758</v>
      </c>
      <c r="I53">
        <f>I52/B50</f>
        <v>18.643769999999996</v>
      </c>
      <c r="K53">
        <f>K52/1000</f>
        <v>12.474821999999996</v>
      </c>
    </row>
    <row r="54" spans="1:11" x14ac:dyDescent="0.25">
      <c r="I54" t="s">
        <v>809</v>
      </c>
      <c r="K54">
        <v>1</v>
      </c>
    </row>
    <row r="55" spans="1:11" x14ac:dyDescent="0.25">
      <c r="I55" t="s">
        <v>810</v>
      </c>
      <c r="K55">
        <v>2</v>
      </c>
    </row>
    <row r="56" spans="1:11" x14ac:dyDescent="0.25">
      <c r="K56">
        <f>SUM(K53:K55)</f>
        <v>15.474821999999996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D1" workbookViewId="0">
      <pane ySplit="1" topLeftCell="A2" activePane="bottomLeft" state="frozen"/>
      <selection pane="bottomLeft" activeCell="I62" sqref="I62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3.85546875" bestFit="1" customWidth="1"/>
    <col min="4" max="4" width="36.140625" bestFit="1" customWidth="1"/>
    <col min="5" max="5" width="19.5703125" bestFit="1" customWidth="1"/>
    <col min="6" max="6" width="16.85546875" bestFit="1" customWidth="1"/>
    <col min="7" max="7" width="18.28515625" bestFit="1" customWidth="1"/>
    <col min="8" max="8" width="14.28515625" bestFit="1" customWidth="1"/>
    <col min="9" max="9" width="19.28515625" bestFit="1" customWidth="1"/>
  </cols>
  <sheetData>
    <row r="1" spans="1:9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</row>
    <row r="2" spans="1:9" x14ac:dyDescent="0.25">
      <c r="A2">
        <v>1</v>
      </c>
      <c r="B2">
        <v>20000</v>
      </c>
      <c r="C2" t="s">
        <v>283</v>
      </c>
      <c r="D2" t="s">
        <v>668</v>
      </c>
      <c r="F2">
        <v>20000</v>
      </c>
      <c r="G2">
        <v>0</v>
      </c>
      <c r="H2">
        <v>0.29013</v>
      </c>
      <c r="I2">
        <v>5802.6</v>
      </c>
    </row>
    <row r="3" spans="1:9" x14ac:dyDescent="0.25">
      <c r="A3">
        <v>2</v>
      </c>
      <c r="B3">
        <v>20000</v>
      </c>
      <c r="C3" t="s">
        <v>289</v>
      </c>
      <c r="D3" t="s">
        <v>669</v>
      </c>
      <c r="F3">
        <v>12979</v>
      </c>
      <c r="G3">
        <v>7021</v>
      </c>
      <c r="H3">
        <v>0.31734000000000001</v>
      </c>
      <c r="I3">
        <v>6346.72</v>
      </c>
    </row>
    <row r="4" spans="1:9" x14ac:dyDescent="0.25">
      <c r="A4">
        <v>3</v>
      </c>
      <c r="B4">
        <v>10000</v>
      </c>
      <c r="C4" t="s">
        <v>294</v>
      </c>
      <c r="D4" t="s">
        <v>670</v>
      </c>
      <c r="F4">
        <v>10000</v>
      </c>
      <c r="G4">
        <v>0</v>
      </c>
      <c r="H4">
        <v>0.49653000000000003</v>
      </c>
      <c r="I4">
        <v>4965.3</v>
      </c>
    </row>
    <row r="5" spans="1:9" x14ac:dyDescent="0.25">
      <c r="A5">
        <v>4</v>
      </c>
      <c r="B5">
        <v>10000</v>
      </c>
      <c r="C5" t="s">
        <v>299</v>
      </c>
      <c r="D5" t="s">
        <v>671</v>
      </c>
      <c r="F5">
        <v>4423</v>
      </c>
      <c r="G5">
        <v>5577</v>
      </c>
      <c r="H5">
        <v>0.72865000000000002</v>
      </c>
      <c r="I5">
        <v>7286.5</v>
      </c>
    </row>
    <row r="6" spans="1:9" x14ac:dyDescent="0.25">
      <c r="A6">
        <v>5</v>
      </c>
      <c r="B6">
        <v>30000</v>
      </c>
      <c r="C6" t="s">
        <v>304</v>
      </c>
      <c r="D6" t="s">
        <v>672</v>
      </c>
      <c r="F6">
        <v>30000</v>
      </c>
      <c r="G6">
        <v>0</v>
      </c>
      <c r="H6">
        <v>0.22900000000000001</v>
      </c>
      <c r="I6">
        <v>6869.94</v>
      </c>
    </row>
    <row r="7" spans="1:9" x14ac:dyDescent="0.25">
      <c r="A7">
        <v>6</v>
      </c>
      <c r="B7">
        <v>30000</v>
      </c>
      <c r="C7" t="s">
        <v>319</v>
      </c>
      <c r="D7" t="s">
        <v>673</v>
      </c>
      <c r="F7">
        <v>17118</v>
      </c>
      <c r="G7">
        <v>12882</v>
      </c>
      <c r="H7">
        <v>0.12348000000000001</v>
      </c>
      <c r="I7">
        <v>3704.4</v>
      </c>
    </row>
    <row r="8" spans="1:9" x14ac:dyDescent="0.25">
      <c r="A8">
        <v>7</v>
      </c>
      <c r="B8">
        <v>40000</v>
      </c>
      <c r="C8" t="s">
        <v>322</v>
      </c>
      <c r="D8" t="s">
        <v>674</v>
      </c>
      <c r="F8">
        <v>0</v>
      </c>
      <c r="G8">
        <v>40000</v>
      </c>
      <c r="H8">
        <v>9.1299999999999992E-3</v>
      </c>
      <c r="I8">
        <v>365.23</v>
      </c>
    </row>
    <row r="9" spans="1:9" x14ac:dyDescent="0.25">
      <c r="A9">
        <v>8</v>
      </c>
      <c r="B9">
        <v>10000</v>
      </c>
      <c r="C9" t="s">
        <v>326</v>
      </c>
      <c r="D9" t="s">
        <v>675</v>
      </c>
      <c r="F9">
        <v>10000</v>
      </c>
      <c r="G9">
        <v>0</v>
      </c>
      <c r="H9">
        <v>0.11633</v>
      </c>
      <c r="I9">
        <v>1163.26</v>
      </c>
    </row>
    <row r="10" spans="1:9" x14ac:dyDescent="0.25">
      <c r="A10">
        <v>9</v>
      </c>
      <c r="B10">
        <v>40000</v>
      </c>
      <c r="C10" t="s">
        <v>337</v>
      </c>
      <c r="D10" t="s">
        <v>676</v>
      </c>
      <c r="F10">
        <v>0</v>
      </c>
      <c r="G10">
        <v>40000</v>
      </c>
      <c r="H10">
        <v>9.35E-2</v>
      </c>
      <c r="I10">
        <v>3740</v>
      </c>
    </row>
    <row r="11" spans="1:9" x14ac:dyDescent="0.25">
      <c r="A11">
        <v>10</v>
      </c>
      <c r="B11">
        <v>10000</v>
      </c>
      <c r="C11">
        <v>744862250</v>
      </c>
      <c r="D11" t="s">
        <v>677</v>
      </c>
      <c r="F11">
        <v>2742</v>
      </c>
      <c r="G11">
        <v>7258</v>
      </c>
      <c r="H11">
        <v>2.2959999999999998</v>
      </c>
      <c r="I11">
        <v>22960</v>
      </c>
    </row>
    <row r="12" spans="1:9" x14ac:dyDescent="0.25">
      <c r="A12">
        <v>11</v>
      </c>
      <c r="B12">
        <v>10000</v>
      </c>
      <c r="C12" t="s">
        <v>72</v>
      </c>
      <c r="D12" t="s">
        <v>574</v>
      </c>
      <c r="F12">
        <v>10000</v>
      </c>
      <c r="G12">
        <v>0</v>
      </c>
      <c r="H12">
        <v>0.2238</v>
      </c>
      <c r="I12">
        <v>2237.9499999999998</v>
      </c>
    </row>
    <row r="13" spans="1:9" x14ac:dyDescent="0.25">
      <c r="A13">
        <v>12</v>
      </c>
      <c r="B13">
        <v>10000</v>
      </c>
      <c r="C13" t="s">
        <v>380</v>
      </c>
      <c r="D13" t="s">
        <v>678</v>
      </c>
      <c r="F13">
        <v>10000</v>
      </c>
      <c r="G13">
        <v>0</v>
      </c>
      <c r="H13">
        <v>0.25919999999999999</v>
      </c>
      <c r="I13">
        <v>2592</v>
      </c>
    </row>
    <row r="14" spans="1:9" x14ac:dyDescent="0.25">
      <c r="A14">
        <v>13</v>
      </c>
      <c r="B14">
        <v>30000</v>
      </c>
      <c r="C14" t="s">
        <v>396</v>
      </c>
      <c r="D14" t="s">
        <v>679</v>
      </c>
      <c r="F14">
        <v>0</v>
      </c>
      <c r="G14">
        <v>30000</v>
      </c>
      <c r="H14">
        <v>0.115</v>
      </c>
      <c r="I14">
        <v>3450</v>
      </c>
    </row>
    <row r="15" spans="1:9" x14ac:dyDescent="0.25">
      <c r="A15">
        <v>14</v>
      </c>
      <c r="B15">
        <v>40000</v>
      </c>
      <c r="C15" t="s">
        <v>434</v>
      </c>
      <c r="D15" t="s">
        <v>680</v>
      </c>
      <c r="F15">
        <v>0</v>
      </c>
      <c r="G15">
        <v>40000</v>
      </c>
      <c r="H15">
        <v>0.12920000000000001</v>
      </c>
      <c r="I15">
        <v>5168</v>
      </c>
    </row>
    <row r="16" spans="1:9" x14ac:dyDescent="0.25">
      <c r="A16">
        <v>15</v>
      </c>
      <c r="B16">
        <v>30000</v>
      </c>
      <c r="C16" t="s">
        <v>451</v>
      </c>
      <c r="D16" t="s">
        <v>681</v>
      </c>
      <c r="F16">
        <v>2356</v>
      </c>
      <c r="G16">
        <v>27644</v>
      </c>
      <c r="H16">
        <v>0.42333999999999999</v>
      </c>
      <c r="I16">
        <v>12700.2</v>
      </c>
    </row>
    <row r="17" spans="1:9" x14ac:dyDescent="0.25">
      <c r="A17">
        <v>16</v>
      </c>
      <c r="B17">
        <v>50000</v>
      </c>
      <c r="C17" t="s">
        <v>430</v>
      </c>
      <c r="D17" t="s">
        <v>715</v>
      </c>
      <c r="F17">
        <v>0</v>
      </c>
      <c r="G17">
        <v>50000</v>
      </c>
      <c r="H17">
        <v>4.181E-2</v>
      </c>
      <c r="I17">
        <v>2090.6999999999998</v>
      </c>
    </row>
    <row r="18" spans="1:9" x14ac:dyDescent="0.25">
      <c r="A18">
        <v>17</v>
      </c>
      <c r="B18">
        <v>54000</v>
      </c>
      <c r="C18" t="s">
        <v>720</v>
      </c>
      <c r="D18" t="s">
        <v>721</v>
      </c>
      <c r="F18">
        <v>0</v>
      </c>
      <c r="G18">
        <v>54000</v>
      </c>
      <c r="H18">
        <v>5.586E-2</v>
      </c>
      <c r="I18">
        <v>3016.44</v>
      </c>
    </row>
    <row r="19" spans="1:9" x14ac:dyDescent="0.25">
      <c r="A19">
        <v>18</v>
      </c>
      <c r="B19">
        <v>90000</v>
      </c>
      <c r="C19" t="s">
        <v>728</v>
      </c>
      <c r="D19" t="s">
        <v>729</v>
      </c>
      <c r="F19">
        <v>90000</v>
      </c>
      <c r="G19">
        <v>0</v>
      </c>
      <c r="H19">
        <v>3.6139999999999999E-2</v>
      </c>
      <c r="I19">
        <v>3252.15</v>
      </c>
    </row>
    <row r="20" spans="1:9" x14ac:dyDescent="0.25">
      <c r="A20">
        <v>19</v>
      </c>
      <c r="B20">
        <v>60000</v>
      </c>
      <c r="C20" t="s">
        <v>363</v>
      </c>
      <c r="D20" t="s">
        <v>731</v>
      </c>
      <c r="F20">
        <v>0</v>
      </c>
      <c r="G20">
        <v>60000</v>
      </c>
      <c r="H20">
        <v>0.16747999999999999</v>
      </c>
      <c r="I20">
        <v>10048.5</v>
      </c>
    </row>
    <row r="21" spans="1:9" x14ac:dyDescent="0.25">
      <c r="A21">
        <v>20</v>
      </c>
      <c r="B21">
        <v>8000</v>
      </c>
      <c r="C21" t="s">
        <v>732</v>
      </c>
      <c r="D21" t="s">
        <v>683</v>
      </c>
      <c r="F21">
        <v>8000</v>
      </c>
      <c r="G21">
        <v>0</v>
      </c>
      <c r="H21">
        <v>4.759E-2</v>
      </c>
      <c r="I21">
        <v>380.71</v>
      </c>
    </row>
    <row r="22" spans="1:9" x14ac:dyDescent="0.25">
      <c r="A22">
        <v>21</v>
      </c>
      <c r="B22">
        <v>2000</v>
      </c>
      <c r="C22" t="s">
        <v>682</v>
      </c>
      <c r="D22" t="s">
        <v>683</v>
      </c>
      <c r="F22">
        <v>2000</v>
      </c>
      <c r="G22">
        <v>0</v>
      </c>
      <c r="H22">
        <v>6.0400000000000002E-2</v>
      </c>
      <c r="I22">
        <v>120.8</v>
      </c>
    </row>
    <row r="23" spans="1:9" x14ac:dyDescent="0.25">
      <c r="A23">
        <v>22</v>
      </c>
      <c r="B23">
        <v>30000</v>
      </c>
      <c r="C23" t="s">
        <v>94</v>
      </c>
      <c r="D23" t="s">
        <v>96</v>
      </c>
      <c r="F23">
        <v>12000</v>
      </c>
      <c r="G23">
        <v>18000</v>
      </c>
      <c r="H23">
        <v>0.10395</v>
      </c>
      <c r="I23">
        <v>3118.5</v>
      </c>
    </row>
    <row r="24" spans="1:9" x14ac:dyDescent="0.25">
      <c r="A24">
        <v>23</v>
      </c>
      <c r="B24">
        <v>40000</v>
      </c>
      <c r="C24" t="s">
        <v>390</v>
      </c>
      <c r="D24" t="s">
        <v>684</v>
      </c>
      <c r="F24">
        <v>649</v>
      </c>
      <c r="G24">
        <v>39351</v>
      </c>
      <c r="H24">
        <v>0.84941999999999995</v>
      </c>
      <c r="I24">
        <v>33976.800000000003</v>
      </c>
    </row>
    <row r="25" spans="1:9" x14ac:dyDescent="0.25">
      <c r="A25">
        <v>24</v>
      </c>
      <c r="B25">
        <v>8000</v>
      </c>
      <c r="C25" t="s">
        <v>733</v>
      </c>
      <c r="D25" t="s">
        <v>686</v>
      </c>
      <c r="F25">
        <v>4000</v>
      </c>
      <c r="G25">
        <v>4000</v>
      </c>
      <c r="H25">
        <v>8.6E-3</v>
      </c>
      <c r="I25">
        <v>68.78</v>
      </c>
    </row>
    <row r="26" spans="1:9" x14ac:dyDescent="0.25">
      <c r="A26">
        <v>25</v>
      </c>
      <c r="B26">
        <v>2000</v>
      </c>
      <c r="C26" t="s">
        <v>685</v>
      </c>
      <c r="D26" t="s">
        <v>686</v>
      </c>
      <c r="F26">
        <v>2000</v>
      </c>
      <c r="G26">
        <v>0</v>
      </c>
      <c r="H26">
        <v>1.29E-2</v>
      </c>
      <c r="I26">
        <v>25.8</v>
      </c>
    </row>
    <row r="27" spans="1:9" x14ac:dyDescent="0.25">
      <c r="A27">
        <v>26</v>
      </c>
      <c r="B27">
        <v>8000</v>
      </c>
      <c r="C27" t="s">
        <v>734</v>
      </c>
      <c r="D27" t="s">
        <v>688</v>
      </c>
      <c r="F27">
        <v>8000</v>
      </c>
      <c r="G27">
        <v>0</v>
      </c>
      <c r="H27">
        <v>1.01E-2</v>
      </c>
      <c r="I27">
        <v>80.760000000000005</v>
      </c>
    </row>
    <row r="28" spans="1:9" x14ac:dyDescent="0.25">
      <c r="A28">
        <v>27</v>
      </c>
      <c r="B28">
        <v>2000</v>
      </c>
      <c r="C28" t="s">
        <v>687</v>
      </c>
      <c r="D28" t="s">
        <v>688</v>
      </c>
      <c r="F28">
        <v>2000</v>
      </c>
      <c r="G28">
        <v>0</v>
      </c>
      <c r="H28">
        <v>1.5180000000000001E-2</v>
      </c>
      <c r="I28">
        <v>30.36</v>
      </c>
    </row>
    <row r="29" spans="1:9" x14ac:dyDescent="0.25">
      <c r="A29">
        <v>28</v>
      </c>
      <c r="B29">
        <v>10000</v>
      </c>
      <c r="C29" t="s">
        <v>735</v>
      </c>
      <c r="D29" t="s">
        <v>690</v>
      </c>
      <c r="F29">
        <v>0</v>
      </c>
      <c r="G29">
        <v>10000</v>
      </c>
      <c r="H29">
        <v>8.1720000000000001E-2</v>
      </c>
      <c r="I29">
        <v>817.2</v>
      </c>
    </row>
    <row r="30" spans="1:9" x14ac:dyDescent="0.25">
      <c r="A30">
        <v>29</v>
      </c>
      <c r="B30">
        <v>8000</v>
      </c>
      <c r="C30" t="s">
        <v>736</v>
      </c>
      <c r="D30" t="s">
        <v>692</v>
      </c>
      <c r="F30">
        <v>0</v>
      </c>
      <c r="G30">
        <v>8000</v>
      </c>
      <c r="H30">
        <v>5.8700000000000002E-3</v>
      </c>
      <c r="I30">
        <v>46.95</v>
      </c>
    </row>
    <row r="31" spans="1:9" x14ac:dyDescent="0.25">
      <c r="A31">
        <v>30</v>
      </c>
      <c r="B31">
        <v>2000</v>
      </c>
      <c r="C31" t="s">
        <v>691</v>
      </c>
      <c r="D31" t="s">
        <v>692</v>
      </c>
      <c r="F31">
        <v>2000</v>
      </c>
      <c r="G31">
        <v>0</v>
      </c>
      <c r="H31">
        <v>8.8599999999999998E-3</v>
      </c>
      <c r="I31">
        <v>17.72</v>
      </c>
    </row>
    <row r="32" spans="1:9" x14ac:dyDescent="0.25">
      <c r="A32">
        <v>31</v>
      </c>
      <c r="B32">
        <v>9000</v>
      </c>
      <c r="C32" t="s">
        <v>737</v>
      </c>
      <c r="D32" t="s">
        <v>694</v>
      </c>
      <c r="F32">
        <v>9000</v>
      </c>
      <c r="G32">
        <v>0</v>
      </c>
      <c r="H32">
        <v>0.1023</v>
      </c>
      <c r="I32">
        <v>920.7</v>
      </c>
    </row>
    <row r="33" spans="1:9" x14ac:dyDescent="0.25">
      <c r="A33">
        <v>32</v>
      </c>
      <c r="B33">
        <v>1000</v>
      </c>
      <c r="C33" t="s">
        <v>693</v>
      </c>
      <c r="D33" t="s">
        <v>694</v>
      </c>
      <c r="F33">
        <v>1000</v>
      </c>
      <c r="G33">
        <v>0</v>
      </c>
      <c r="H33">
        <v>0.12236</v>
      </c>
      <c r="I33">
        <v>122.36</v>
      </c>
    </row>
    <row r="34" spans="1:9" x14ac:dyDescent="0.25">
      <c r="A34">
        <v>33</v>
      </c>
      <c r="B34">
        <v>39000</v>
      </c>
      <c r="C34" t="s">
        <v>68</v>
      </c>
      <c r="D34" t="s">
        <v>572</v>
      </c>
      <c r="F34">
        <v>39000</v>
      </c>
      <c r="G34">
        <v>0</v>
      </c>
      <c r="H34">
        <v>2.2769999999999999E-2</v>
      </c>
      <c r="I34">
        <v>888.03</v>
      </c>
    </row>
    <row r="35" spans="1:9" x14ac:dyDescent="0.25">
      <c r="A35">
        <v>34</v>
      </c>
      <c r="B35">
        <v>1000</v>
      </c>
      <c r="C35" t="s">
        <v>641</v>
      </c>
      <c r="D35" t="s">
        <v>572</v>
      </c>
      <c r="F35">
        <v>1000</v>
      </c>
      <c r="G35">
        <v>0</v>
      </c>
      <c r="H35">
        <v>3.9109999999999999E-2</v>
      </c>
      <c r="I35">
        <v>39.11</v>
      </c>
    </row>
    <row r="36" spans="1:9" x14ac:dyDescent="0.25">
      <c r="A36">
        <v>35</v>
      </c>
      <c r="B36">
        <v>9000</v>
      </c>
      <c r="C36" t="s">
        <v>738</v>
      </c>
      <c r="D36" t="s">
        <v>696</v>
      </c>
      <c r="F36">
        <v>9000</v>
      </c>
      <c r="G36">
        <v>0</v>
      </c>
      <c r="H36">
        <v>0.13264000000000001</v>
      </c>
      <c r="I36">
        <v>1193.76</v>
      </c>
    </row>
    <row r="37" spans="1:9" x14ac:dyDescent="0.25">
      <c r="A37">
        <v>36</v>
      </c>
      <c r="B37">
        <v>1000</v>
      </c>
      <c r="C37" t="s">
        <v>695</v>
      </c>
      <c r="D37" t="s">
        <v>696</v>
      </c>
      <c r="F37">
        <v>1000</v>
      </c>
      <c r="G37">
        <v>0</v>
      </c>
      <c r="H37">
        <v>0.22403999999999999</v>
      </c>
      <c r="I37">
        <v>224.04</v>
      </c>
    </row>
    <row r="38" spans="1:9" x14ac:dyDescent="0.25">
      <c r="A38">
        <v>37</v>
      </c>
      <c r="B38">
        <v>20000</v>
      </c>
      <c r="C38" t="s">
        <v>739</v>
      </c>
      <c r="D38" t="s">
        <v>698</v>
      </c>
      <c r="F38">
        <v>20000</v>
      </c>
      <c r="G38">
        <v>0</v>
      </c>
      <c r="H38">
        <v>2.8800000000000002E-3</v>
      </c>
      <c r="I38">
        <v>57.68</v>
      </c>
    </row>
    <row r="39" spans="1:9" x14ac:dyDescent="0.25">
      <c r="A39">
        <v>38</v>
      </c>
      <c r="B39">
        <v>30000</v>
      </c>
      <c r="C39" t="s">
        <v>740</v>
      </c>
      <c r="D39" t="s">
        <v>700</v>
      </c>
      <c r="F39">
        <v>30000</v>
      </c>
      <c r="G39">
        <v>0</v>
      </c>
      <c r="H39">
        <v>2.5300000000000001E-3</v>
      </c>
      <c r="I39">
        <v>76.040000000000006</v>
      </c>
    </row>
    <row r="40" spans="1:9" x14ac:dyDescent="0.25">
      <c r="A40">
        <v>39</v>
      </c>
      <c r="B40">
        <v>10000</v>
      </c>
      <c r="C40" t="s">
        <v>741</v>
      </c>
      <c r="D40" t="s">
        <v>702</v>
      </c>
      <c r="F40">
        <v>0</v>
      </c>
      <c r="G40">
        <v>10000</v>
      </c>
      <c r="H40">
        <v>4.9299999999999997E-2</v>
      </c>
      <c r="I40">
        <v>493</v>
      </c>
    </row>
    <row r="41" spans="1:9" x14ac:dyDescent="0.25">
      <c r="A41">
        <v>40</v>
      </c>
      <c r="B41">
        <v>30000</v>
      </c>
      <c r="C41" t="s">
        <v>742</v>
      </c>
      <c r="D41" t="s">
        <v>704</v>
      </c>
      <c r="F41">
        <v>30000</v>
      </c>
      <c r="G41">
        <v>0</v>
      </c>
      <c r="H41">
        <v>1.8699999999999999E-3</v>
      </c>
      <c r="I41">
        <v>56.03</v>
      </c>
    </row>
    <row r="42" spans="1:9" x14ac:dyDescent="0.25">
      <c r="A42">
        <v>41</v>
      </c>
      <c r="B42">
        <v>10000</v>
      </c>
      <c r="C42" t="s">
        <v>743</v>
      </c>
      <c r="D42" t="s">
        <v>706</v>
      </c>
      <c r="F42">
        <v>10000</v>
      </c>
      <c r="G42">
        <v>0</v>
      </c>
      <c r="H42">
        <v>2.8800000000000002E-3</v>
      </c>
      <c r="I42">
        <v>28.84</v>
      </c>
    </row>
    <row r="43" spans="1:9" x14ac:dyDescent="0.25">
      <c r="A43">
        <v>42</v>
      </c>
      <c r="B43">
        <v>10000</v>
      </c>
      <c r="C43" t="s">
        <v>744</v>
      </c>
      <c r="D43" t="s">
        <v>708</v>
      </c>
      <c r="F43">
        <v>10000</v>
      </c>
      <c r="G43">
        <v>0</v>
      </c>
      <c r="H43">
        <v>2.1299999999999999E-3</v>
      </c>
      <c r="I43">
        <v>21.25</v>
      </c>
    </row>
    <row r="44" spans="1:9" x14ac:dyDescent="0.25">
      <c r="A44">
        <v>43</v>
      </c>
      <c r="B44">
        <v>10000</v>
      </c>
      <c r="C44" t="s">
        <v>745</v>
      </c>
      <c r="D44" t="s">
        <v>710</v>
      </c>
      <c r="F44">
        <v>10000</v>
      </c>
      <c r="G44">
        <v>0</v>
      </c>
      <c r="H44">
        <v>2.47E-3</v>
      </c>
      <c r="I44">
        <v>24.67</v>
      </c>
    </row>
    <row r="45" spans="1:9" x14ac:dyDescent="0.25">
      <c r="A45">
        <v>44</v>
      </c>
      <c r="B45">
        <v>10000</v>
      </c>
      <c r="C45" t="s">
        <v>746</v>
      </c>
      <c r="D45" t="s">
        <v>712</v>
      </c>
      <c r="F45">
        <v>10000</v>
      </c>
      <c r="G45">
        <v>0</v>
      </c>
      <c r="H45">
        <v>2.1299999999999999E-3</v>
      </c>
      <c r="I45">
        <v>21.25</v>
      </c>
    </row>
    <row r="46" spans="1:9" x14ac:dyDescent="0.25">
      <c r="A46">
        <v>45</v>
      </c>
      <c r="B46">
        <v>10000</v>
      </c>
      <c r="C46" t="s">
        <v>747</v>
      </c>
      <c r="D46" t="s">
        <v>714</v>
      </c>
      <c r="F46">
        <v>10000</v>
      </c>
      <c r="G46">
        <v>0</v>
      </c>
      <c r="H46">
        <v>2.47E-3</v>
      </c>
      <c r="I46">
        <v>24.67</v>
      </c>
    </row>
    <row r="47" spans="1:9" x14ac:dyDescent="0.25">
      <c r="A47">
        <v>46</v>
      </c>
      <c r="B47">
        <v>120000</v>
      </c>
      <c r="C47" t="s">
        <v>177</v>
      </c>
      <c r="D47" t="s">
        <v>602</v>
      </c>
      <c r="F47">
        <v>0</v>
      </c>
      <c r="G47">
        <v>120000</v>
      </c>
      <c r="H47">
        <v>1.7099999999999999E-3</v>
      </c>
      <c r="I47">
        <v>205.56</v>
      </c>
    </row>
    <row r="48" spans="1:9" x14ac:dyDescent="0.25">
      <c r="A48">
        <v>47</v>
      </c>
      <c r="B48">
        <v>40000</v>
      </c>
      <c r="C48" t="s">
        <v>748</v>
      </c>
      <c r="D48" t="s">
        <v>717</v>
      </c>
      <c r="F48">
        <v>40000</v>
      </c>
      <c r="G48">
        <v>0</v>
      </c>
      <c r="H48">
        <v>1.8699999999999999E-3</v>
      </c>
      <c r="I48">
        <v>74.7</v>
      </c>
    </row>
    <row r="49" spans="1:10" x14ac:dyDescent="0.25">
      <c r="A49">
        <v>48</v>
      </c>
      <c r="B49">
        <v>10000</v>
      </c>
      <c r="C49" t="s">
        <v>749</v>
      </c>
      <c r="D49" t="s">
        <v>719</v>
      </c>
      <c r="F49">
        <v>2500</v>
      </c>
      <c r="G49">
        <v>7500</v>
      </c>
      <c r="H49">
        <v>0.43890000000000001</v>
      </c>
      <c r="I49">
        <v>4389</v>
      </c>
    </row>
    <row r="50" spans="1:10" x14ac:dyDescent="0.25">
      <c r="A50">
        <v>49</v>
      </c>
      <c r="B50">
        <v>9000</v>
      </c>
      <c r="C50" t="s">
        <v>750</v>
      </c>
      <c r="D50" t="s">
        <v>723</v>
      </c>
      <c r="F50">
        <v>0</v>
      </c>
      <c r="G50">
        <v>9000</v>
      </c>
      <c r="H50">
        <v>3.4599999999999999E-2</v>
      </c>
      <c r="I50">
        <v>311.39999999999998</v>
      </c>
    </row>
    <row r="51" spans="1:10" x14ac:dyDescent="0.25">
      <c r="A51">
        <v>50</v>
      </c>
      <c r="B51">
        <v>1000</v>
      </c>
      <c r="C51" t="s">
        <v>722</v>
      </c>
      <c r="D51" t="s">
        <v>723</v>
      </c>
      <c r="F51">
        <v>1000</v>
      </c>
      <c r="G51">
        <v>0</v>
      </c>
      <c r="H51">
        <v>4.5440000000000001E-2</v>
      </c>
      <c r="I51">
        <v>45.44</v>
      </c>
    </row>
    <row r="52" spans="1:10" x14ac:dyDescent="0.25">
      <c r="A52">
        <v>51</v>
      </c>
      <c r="B52">
        <v>9000</v>
      </c>
      <c r="C52" t="s">
        <v>751</v>
      </c>
      <c r="D52" t="s">
        <v>725</v>
      </c>
      <c r="F52">
        <v>0</v>
      </c>
      <c r="G52">
        <v>9000</v>
      </c>
      <c r="H52">
        <v>2.231E-2</v>
      </c>
      <c r="I52">
        <v>200.79</v>
      </c>
    </row>
    <row r="53" spans="1:10" x14ac:dyDescent="0.25">
      <c r="A53">
        <v>52</v>
      </c>
      <c r="B53">
        <v>1000</v>
      </c>
      <c r="C53" t="s">
        <v>724</v>
      </c>
      <c r="D53" t="s">
        <v>725</v>
      </c>
      <c r="F53">
        <v>0</v>
      </c>
      <c r="G53">
        <v>1000</v>
      </c>
      <c r="H53">
        <v>2.997E-2</v>
      </c>
      <c r="I53">
        <v>29.97</v>
      </c>
    </row>
    <row r="54" spans="1:10" x14ac:dyDescent="0.25">
      <c r="A54">
        <v>53</v>
      </c>
      <c r="B54">
        <v>18000</v>
      </c>
      <c r="C54" t="s">
        <v>752</v>
      </c>
      <c r="D54" t="s">
        <v>727</v>
      </c>
      <c r="F54">
        <v>15000</v>
      </c>
      <c r="G54">
        <v>3000</v>
      </c>
      <c r="H54">
        <v>0.21568000000000001</v>
      </c>
      <c r="I54">
        <v>3882.3</v>
      </c>
    </row>
    <row r="55" spans="1:10" x14ac:dyDescent="0.25">
      <c r="A55">
        <v>54</v>
      </c>
      <c r="B55">
        <v>2000</v>
      </c>
      <c r="C55" t="s">
        <v>726</v>
      </c>
      <c r="D55" t="s">
        <v>727</v>
      </c>
      <c r="F55">
        <v>2000</v>
      </c>
      <c r="G55">
        <v>0</v>
      </c>
      <c r="H55">
        <v>0.24365999999999999</v>
      </c>
      <c r="I55">
        <v>487.32</v>
      </c>
    </row>
    <row r="56" spans="1:10" x14ac:dyDescent="0.25">
      <c r="A56">
        <v>55</v>
      </c>
      <c r="B56">
        <v>10000</v>
      </c>
      <c r="C56" t="s">
        <v>753</v>
      </c>
      <c r="D56" t="s">
        <v>754</v>
      </c>
      <c r="F56">
        <v>549</v>
      </c>
      <c r="G56">
        <v>9451</v>
      </c>
      <c r="H56">
        <v>0.46200000000000002</v>
      </c>
      <c r="I56">
        <v>4620</v>
      </c>
    </row>
    <row r="57" spans="1:10" x14ac:dyDescent="0.25">
      <c r="A57" s="117">
        <v>56</v>
      </c>
      <c r="B57" s="117">
        <v>10000</v>
      </c>
      <c r="C57" s="117" t="s">
        <v>456</v>
      </c>
      <c r="D57" s="117" t="s">
        <v>455</v>
      </c>
      <c r="E57" s="117"/>
      <c r="F57" s="117"/>
      <c r="G57" s="117"/>
      <c r="H57" s="117"/>
      <c r="I57" s="116"/>
      <c r="J57" t="s">
        <v>755</v>
      </c>
    </row>
    <row r="59" spans="1:10" x14ac:dyDescent="0.25">
      <c r="H59" s="1" t="s">
        <v>637</v>
      </c>
      <c r="I59" s="115">
        <f>SUM(I2:I56)</f>
        <v>164882.18000000005</v>
      </c>
    </row>
    <row r="60" spans="1:10" x14ac:dyDescent="0.25">
      <c r="H60" t="s">
        <v>756</v>
      </c>
      <c r="I60">
        <f>I59/10000</f>
        <v>16.488218000000003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DỰ TOÁN</vt:lpstr>
      <vt:lpstr>MAIN+PWR+HOUSING</vt:lpstr>
      <vt:lpstr>MAIN</vt:lpstr>
      <vt:lpstr>PWR</vt:lpstr>
      <vt:lpstr>ASSY</vt:lpstr>
      <vt:lpstr>Main_1K</vt:lpstr>
      <vt:lpstr>Main_10K</vt:lpstr>
      <vt:lpstr>Pwr_1K</vt:lpstr>
      <vt:lpstr>Pwr_10K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Lam</dc:creator>
  <cp:lastModifiedBy>thienhaiblue</cp:lastModifiedBy>
  <dcterms:created xsi:type="dcterms:W3CDTF">2017-11-10T09:50:42Z</dcterms:created>
  <dcterms:modified xsi:type="dcterms:W3CDTF">2018-03-17T10:09:03Z</dcterms:modified>
</cp:coreProperties>
</file>