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680F464-B129-49FA-B3E1-3FF9B40CBC6F}" xr6:coauthVersionLast="47" xr6:coauthVersionMax="47" xr10:uidLastSave="{00000000-0000-0000-0000-000000000000}"/>
  <bookViews>
    <workbookView xWindow="-28920" yWindow="-120" windowWidth="29040" windowHeight="15840" activeTab="2" xr2:uid="{36EBA78E-EE85-407C-9DF8-0DB671D11D34}"/>
  </bookViews>
  <sheets>
    <sheet name="גיליון1" sheetId="1" r:id="rId1"/>
    <sheet name="נציגים " sheetId="2" r:id="rId2"/>
    <sheet name="נציג בכיר " sheetId="5" r:id="rId3"/>
    <sheet name="שירות בקרה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4" l="1"/>
  <c r="J19" i="4"/>
  <c r="I17" i="4"/>
  <c r="H17" i="4"/>
  <c r="H15" i="4"/>
  <c r="H30" i="2"/>
  <c r="H31" i="2"/>
  <c r="H32" i="2"/>
  <c r="H16" i="4"/>
  <c r="I16" i="4" s="1"/>
  <c r="I15" i="4"/>
  <c r="H14" i="4"/>
  <c r="I14" i="4" s="1"/>
  <c r="H13" i="4"/>
  <c r="I13" i="4" s="1"/>
  <c r="G13" i="4"/>
  <c r="G14" i="4"/>
  <c r="J14" i="4" s="1"/>
  <c r="G15" i="4"/>
  <c r="G16" i="4"/>
  <c r="G17" i="4"/>
  <c r="G18" i="4"/>
  <c r="J18" i="4" s="1"/>
  <c r="J20" i="4" s="1"/>
  <c r="G22" i="4" s="1"/>
  <c r="G19" i="4"/>
  <c r="D38" i="5"/>
  <c r="I36" i="5"/>
  <c r="I35" i="5"/>
  <c r="I34" i="5"/>
  <c r="I33" i="5"/>
  <c r="D33" i="5"/>
  <c r="H33" i="5" s="1"/>
  <c r="D34" i="5"/>
  <c r="G32" i="5"/>
  <c r="I32" i="5" s="1"/>
  <c r="C36" i="5"/>
  <c r="D35" i="5"/>
  <c r="B36" i="5"/>
  <c r="D31" i="5"/>
  <c r="F31" i="5" s="1"/>
  <c r="I31" i="5" s="1"/>
  <c r="D30" i="5"/>
  <c r="D32" i="2"/>
  <c r="D33" i="2"/>
  <c r="G33" i="2" a="1"/>
  <c r="G33" i="2" s="1"/>
  <c r="F32" i="2"/>
  <c r="G32" i="2" s="1"/>
  <c r="D31" i="2"/>
  <c r="D30" i="2"/>
  <c r="E30" i="2" s="1"/>
  <c r="G30" i="2" s="1"/>
  <c r="C34" i="2"/>
  <c r="B34" i="2"/>
  <c r="L6" i="1"/>
  <c r="L7" i="1"/>
  <c r="L8" i="1"/>
  <c r="L9" i="1"/>
  <c r="G34" i="2" l="1"/>
  <c r="D36" i="5"/>
  <c r="D32" i="5"/>
  <c r="E30" i="5"/>
  <c r="I30" i="5" s="1"/>
  <c r="H34" i="2"/>
  <c r="D34" i="2"/>
  <c r="D3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<sst xmlns="http://schemas.openxmlformats.org/spreadsheetml/2006/main" count="133" uniqueCount="80">
  <si>
    <t>נציג</t>
  </si>
  <si>
    <t>כמות מכירות</t>
  </si>
  <si>
    <t>יעד מכירות</t>
  </si>
  <si>
    <t>יעד חידושים (%)</t>
  </si>
  <si>
    <t>ביצוע מכירות</t>
  </si>
  <si>
    <t>סה"כ עמלות מכירה</t>
  </si>
  <si>
    <t>סה"כ עמלות חידושים</t>
  </si>
  <si>
    <t>כמות חידושים</t>
  </si>
  <si>
    <t>מדרגת עמלה</t>
  </si>
  <si>
    <t>אחוז חידוש</t>
  </si>
  <si>
    <t>מדרגות עמלת מכירות</t>
  </si>
  <si>
    <t>מדרגות עמלת חידושים</t>
  </si>
  <si>
    <t>טל</t>
  </si>
  <si>
    <t>טוני</t>
  </si>
  <si>
    <t>נועה</t>
  </si>
  <si>
    <t>שיר</t>
  </si>
  <si>
    <t>אחוז ביצוע חידושים</t>
  </si>
  <si>
    <t>כמות חידושים שבוצעה</t>
  </si>
  <si>
    <t xml:space="preserve">טבלת שכר נציגים </t>
  </si>
  <si>
    <t xml:space="preserve">אחוז חידוש </t>
  </si>
  <si>
    <t xml:space="preserve">מדרגת בונוס </t>
  </si>
  <si>
    <t xml:space="preserve">מכירות </t>
  </si>
  <si>
    <t xml:space="preserve">יעד צוותי </t>
  </si>
  <si>
    <t xml:space="preserve">יעד אישי </t>
  </si>
  <si>
    <t xml:space="preserve">מכירות חדשות </t>
  </si>
  <si>
    <t xml:space="preserve">מכירות ריידרים </t>
  </si>
  <si>
    <t xml:space="preserve">אחוז עמידה ביעד </t>
  </si>
  <si>
    <t>חידושים  אישי</t>
  </si>
  <si>
    <t xml:space="preserve">יעד </t>
  </si>
  <si>
    <t xml:space="preserve">חידושים צוותי </t>
  </si>
  <si>
    <t>עמודה1</t>
  </si>
  <si>
    <t xml:space="preserve">סהכ </t>
  </si>
  <si>
    <t xml:space="preserve">שם נציג: </t>
  </si>
  <si>
    <t>בונוס</t>
  </si>
  <si>
    <t xml:space="preserve"> </t>
  </si>
  <si>
    <t>י</t>
  </si>
  <si>
    <t xml:space="preserve">חודש/שנה </t>
  </si>
  <si>
    <t xml:space="preserve">אחוז יעד </t>
  </si>
  <si>
    <t xml:space="preserve">בונוס </t>
  </si>
  <si>
    <t xml:space="preserve"> חידושים אישי </t>
  </si>
  <si>
    <t xml:space="preserve">מכירות אישי </t>
  </si>
  <si>
    <t>הערות</t>
  </si>
  <si>
    <t>כמות ביצוע</t>
  </si>
  <si>
    <t>יעד</t>
  </si>
  <si>
    <t xml:space="preserve">ריידרים </t>
  </si>
  <si>
    <t xml:space="preserve">יחסי </t>
  </si>
  <si>
    <t>בונוס אחוז חידוש</t>
  </si>
  <si>
    <t>בונוס מכירות</t>
  </si>
  <si>
    <t>חישוב בונוס מכירות</t>
  </si>
  <si>
    <t>בונוס 250</t>
  </si>
  <si>
    <t>סה"כ בונוסים</t>
  </si>
  <si>
    <t>תחום</t>
  </si>
  <si>
    <t>אישי</t>
  </si>
  <si>
    <t>צוותי</t>
  </si>
  <si>
    <t>מכירות אישי</t>
  </si>
  <si>
    <t>מכירות צוותי</t>
  </si>
  <si>
    <t>מכירות ריידר אישי</t>
  </si>
  <si>
    <t>מכירות ריידר צוותי</t>
  </si>
  <si>
    <t>בונוס מכירות אישי</t>
  </si>
  <si>
    <t>בונוס אחוז חידוש אישי</t>
  </si>
  <si>
    <t>בונוס אחוז חידוש צוות</t>
  </si>
  <si>
    <t xml:space="preserve">חישוב </t>
  </si>
  <si>
    <t>בונוס מכירות צוותי</t>
  </si>
  <si>
    <t xml:space="preserve">הפקה </t>
  </si>
  <si>
    <t>החלפה</t>
  </si>
  <si>
    <t xml:space="preserve">חידושים צוותי ברוטו </t>
  </si>
  <si>
    <t xml:space="preserve">יעד מכירות צוותי </t>
  </si>
  <si>
    <t xml:space="preserve">יעד  חודשי </t>
  </si>
  <si>
    <t xml:space="preserve">אחוז שימור אישי </t>
  </si>
  <si>
    <t>שימור</t>
  </si>
  <si>
    <t>ריידרים</t>
  </si>
  <si>
    <t xml:space="preserve">החלפה </t>
  </si>
  <si>
    <t xml:space="preserve">מכירות צוותי </t>
  </si>
  <si>
    <t xml:space="preserve">יעד/התקבל </t>
  </si>
  <si>
    <t>הפקה</t>
  </si>
  <si>
    <t>סכום</t>
  </si>
  <si>
    <t>סה"כ מדרגת בונוס</t>
  </si>
  <si>
    <t>טבלת בונוסים שירות ובקרה</t>
  </si>
  <si>
    <t>טבלת בונוסים נציג בכיר</t>
  </si>
  <si>
    <t>בונוסים נוספים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</si>
</sst>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₪-40D]\ * #,##0_ ;_ [$₪-40D]\ * \-#,##0_ ;_ [$₪-40D]\ * &quot;-&quot;_ ;_ @_ "/>
  </numFmts>
  <fonts count="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charset val="177"/>
      <scheme val="minor"/>
    </font>
    <font>
      <sz val="8"/>
      <name val="Aptos Narrow"/>
      <family val="2"/>
      <charset val="177"/>
      <scheme val="minor"/>
    </font>
    <font>
      <b/>
      <sz val="14"/>
      <color theme="1"/>
      <name val="Aptos Narrow"/>
      <family val="2"/>
      <scheme val="minor"/>
    </font>
    <font>
      <sz val="26"/>
      <color rgb="FF9C0006"/>
      <name val="Aptos Narrow"/>
      <family val="2"/>
      <charset val="177"/>
      <scheme val="minor"/>
    </font>
    <font>
      <b/>
      <sz val="18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23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4" borderId="1" xfId="3" applyFont="1" applyAlignment="1">
      <alignment horizontal="right"/>
    </xf>
    <xf numFmtId="17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5" fillId="0" borderId="0" xfId="0" applyFont="1"/>
    <xf numFmtId="164" fontId="5" fillId="0" borderId="0" xfId="0" applyNumberFormat="1" applyFont="1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4" borderId="1" xfId="3" applyFont="1" applyAlignment="1" applyProtection="1">
      <alignment horizontal="right"/>
      <protection locked="0"/>
    </xf>
    <xf numFmtId="0" fontId="2" fillId="2" borderId="0" xfId="0" applyFont="1" applyFill="1" applyAlignment="1">
      <alignment horizontal="center"/>
    </xf>
    <xf numFmtId="0" fontId="6" fillId="3" borderId="0" xfId="2" applyFont="1" applyAlignment="1" applyProtection="1">
      <alignment horizontal="center" vertical="center"/>
      <protection locked="0"/>
    </xf>
    <xf numFmtId="0" fontId="0" fillId="0" borderId="0" xfId="0"/>
    <xf numFmtId="0" fontId="0" fillId="4" borderId="1" xfId="3" applyFont="1" applyAlignment="1" applyProtection="1">
      <alignment horizontal="right"/>
      <protection locked="0"/>
    </xf>
    <xf numFmtId="0" fontId="0" fillId="4" borderId="1" xfId="3" applyFont="1" applyAlignment="1">
      <alignment horizontal="right"/>
    </xf>
    <xf numFmtId="0" fontId="0" fillId="0" borderId="0" xfId="0" applyNumberFormat="1"/>
    <xf numFmtId="0" fontId="0" fillId="0" borderId="0" xfId="0" applyAlignment="1"/>
    <xf numFmtId="0" fontId="7" fillId="3" borderId="0" xfId="2" applyFont="1" applyAlignment="1">
      <alignment horizontal="center" vertical="center"/>
    </xf>
    <xf numFmtId="3" fontId="2" fillId="0" borderId="0" xfId="0" applyNumberFormat="1" applyFont="1"/>
    <xf numFmtId="2" fontId="0" fillId="0" borderId="0" xfId="0" applyNumberFormat="1"/>
  </cellXfs>
  <cellStyles count="4">
    <cellStyle name="Bad" xfId="2" builtinId="27"/>
    <cellStyle name="Normal" xfId="0" builtinId="0"/>
    <cellStyle name="Note" xfId="3" builtinId="10"/>
    <cellStyle name="Percent" xfId="1" builtinId="5"/>
  </cellStyles>
  <dxfs count="50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55AC0F-C4AB-4D77-9018-F4830595DA97}" name="טבלה2" displayName="טבלה2" ref="F5:N9" totalsRowShown="0">
  <autoFilter ref="F5:N9" xr:uid="{4855AC0F-C4AB-4D77-9018-F4830595DA97}"/>
  <tableColumns count="9">
    <tableColumn id="1" xr3:uid="{EFABBB39-42BE-41C6-ABC4-F6609E08732D}" name="נציג"/>
    <tableColumn id="2" xr3:uid="{7B9B184F-517C-4073-89AC-4D5370852F40}" name="יעד מכירות"/>
    <tableColumn id="3" xr3:uid="{3ABB0D84-1DA7-4617-88A8-2E684672E4BE}" name="יעד חידושים (%)"/>
    <tableColumn id="8" xr3:uid="{90FD3C7F-FA35-4DDF-A0D6-C018622715E5}" name="כמות חידושים"/>
    <tableColumn id="4" xr3:uid="{6EAEE554-5285-400C-998D-EFDEEBF5109B}" name="ביצוע מכירות"/>
    <tableColumn id="9" xr3:uid="{6FA929D4-0226-46A1-A25F-0AF6435F0450}" name="כמות חידושים שבוצעה"/>
    <tableColumn id="5" xr3:uid="{89CF35EF-C72F-4D4F-BB33-F1588287549A}" name="אחוז ביצוע חידושים" dataCellStyle="Percent">
      <calculatedColumnFormula>טבלה2[[#This Row],[כמות חידושים שבוצעה]]/טבלה2[[#This Row],[כמות חידושים]]</calculatedColumnFormula>
    </tableColumn>
    <tableColumn id="6" xr3:uid="{999A73A5-DABC-4771-8FC9-D73964B22F79}" name="סה&quot;כ עמלות מכירה" dataDxfId="49"/>
    <tableColumn id="7" xr3:uid="{272B415D-32AB-48CA-869A-19DD7DEB5D84}" name="סה&quot;כ עמלות חידושים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5D153D-2B84-4F6F-9035-9CB38627618C}" name="טבלה3" displayName="טבלה3" ref="F15:G19" totalsRowShown="0">
  <autoFilter ref="F15:G19" xr:uid="{2C5D153D-2B84-4F6F-9035-9CB38627618C}"/>
  <tableColumns count="2">
    <tableColumn id="1" xr3:uid="{0FC4932E-EE7D-4D42-807E-6BC2DF3F2668}" name="כמות מכירות"/>
    <tableColumn id="2" xr3:uid="{7494DF86-61F4-4C73-8837-069C73C2C160}" name="מדרגת עמלה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36A949-C817-447B-8806-20BCCBA4DE1C}" name="טבלה4" displayName="טבלה4" ref="F22:G26" totalsRowShown="0">
  <autoFilter ref="F22:G26" xr:uid="{2E36A949-C817-447B-8806-20BCCBA4DE1C}"/>
  <tableColumns count="2">
    <tableColumn id="1" xr3:uid="{51DDF9C4-BCF2-4FED-A79A-C1A29AC1C24C}" name="אחוז חידוש"/>
    <tableColumn id="2" xr3:uid="{906254A2-B1CF-453B-B593-DA175B928BAD}" name="מדרגת עמלה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74AB2-2B40-4D45-8F44-4C8AA3868DE7}" name="טבלה1" displayName="טבלה1" ref="A29:I34" totalsRowShown="0" headerRowDxfId="48">
  <autoFilter ref="A29:I34" xr:uid="{1D774AB2-2B40-4D45-8F44-4C8AA3868DE7}"/>
  <tableColumns count="9">
    <tableColumn id="1" xr3:uid="{70587209-4D1D-440E-82FD-7ADEDBA87770}" name="תחום"/>
    <tableColumn id="2" xr3:uid="{31A531F5-00FD-4696-A484-32578E2CCA2D}" name="יעד"/>
    <tableColumn id="7" xr3:uid="{1159B45E-F3F2-4E41-B1FF-E50C0E548A1F}" name="כמות ביצוע"/>
    <tableColumn id="3" xr3:uid="{5CF357EB-339F-4D55-BB7C-787CE565DCB3}" name="אחוז עמידה ביעד " dataCellStyle="Percent">
      <calculatedColumnFormula>טבלה1[[#This Row],[כמות ביצוע]]/טבלה1[[#This Row],[יעד]]</calculatedColumnFormula>
    </tableColumn>
    <tableColumn id="4" xr3:uid="{07060276-DEAD-46ED-9F19-54E5ACA6529F}" name="בונוס אחוז חידוש" dataDxfId="47">
      <calculatedColumnFormula>VLOOKUP(D30, $K$27:$L$31, 2, TRUE)</calculatedColumnFormula>
    </tableColumn>
    <tableColumn id="5" xr3:uid="{EF87463D-E936-4B5E-84FC-7866C71DA184}" name="בונוס מכירות" dataDxfId="46">
      <calculatedColumnFormula>VLOOKUP(C30, $K$34:$L$37, 2, TRUE)</calculatedColumnFormula>
    </tableColumn>
    <tableColumn id="10" xr3:uid="{CACA328A-34FE-47B1-89E7-CF7C2370BEDA}" name="חישוב בונוס מכירות" dataDxfId="45">
      <calculatedColumnFormula>טבלה1[[#This Row],[בונוס מכירות]]*טבלה1[[#This Row],[כמות ביצוע]]</calculatedColumnFormula>
    </tableColumn>
    <tableColumn id="12" xr3:uid="{FB6EED68-FDC2-4B33-8F7F-4853B2EEF6B6}" name="בונוס 250" dataDxfId="44">
      <calculatedColumnFormula>IF(D30&gt;=0.95, 250, 0)</calculatedColumnFormula>
    </tableColumn>
    <tableColumn id="6" xr3:uid="{AE364614-10D3-4445-8F9E-33E7F086B103}" name="הערות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618E24-0961-476D-8C7B-8FADC126F342}" name="טבלה5" displayName="טבלה5" ref="K27:L31" totalsRowShown="0" headerRowDxfId="42" dataDxfId="41">
  <autoFilter ref="K27:L31" xr:uid="{29618E24-0961-476D-8C7B-8FADC126F342}"/>
  <tableColumns count="2">
    <tableColumn id="1" xr3:uid="{3F1B1309-8A2D-48EC-A6DD-3EAC5A66957F}" name="אחוז חידוש " dataDxfId="40"/>
    <tableColumn id="2" xr3:uid="{BBC598E1-ACBC-4E34-B1F3-C49835689956}" name="בונוס" dataDxfId="39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4A379C-E27B-445D-A08C-43AEA9EA6FBA}" name="טבלה57" displayName="טבלה57" ref="K33:L37" totalsRowShown="0" headerRowDxfId="38" dataDxfId="37">
  <autoFilter ref="K33:L37" xr:uid="{364A379C-E27B-445D-A08C-43AEA9EA6FBA}"/>
  <tableColumns count="2">
    <tableColumn id="1" xr3:uid="{80A64619-F1B5-4C69-86BA-C52DE83449CB}" name="מכירות " dataDxfId="36"/>
    <tableColumn id="2" xr3:uid="{DBE166EA-D3E8-48A3-8471-F9EA4AA22F6C}" name="בונוס" dataDxfId="35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75D8300-68AD-48CC-9275-F4EA91BCF92A}" name="טבלה13" displayName="טבלה13" ref="K40:M43" totalsRowShown="0" headerRowDxfId="34" dataDxfId="33">
  <autoFilter ref="K40:M43" xr:uid="{375D8300-68AD-48CC-9275-F4EA91BCF92A}"/>
  <tableColumns count="3">
    <tableColumn id="1" xr3:uid="{DEEB0CA2-D1BE-420A-9CC0-5F214C710C53}" name="יעד " dataDxfId="32"/>
    <tableColumn id="2" xr3:uid="{1E9394B7-E17E-49B5-B0C6-F2628273E869}" name="אחוז יעד " dataDxfId="31"/>
    <tableColumn id="3" xr3:uid="{DD1952B4-2E3C-4800-B370-3263820B5C31}" name="בונוס " dataDxfId="3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81907DF-06A5-42A8-B1A3-DC3CC6E67CFB}" name="טבלה2023" displayName="טבלה2023" ref="K46:K47" totalsRowShown="0" headerRowDxfId="29" dataDxfId="28">
  <autoFilter ref="K46:K47" xr:uid="{C81907DF-06A5-42A8-B1A3-DC3CC6E67CFB}"/>
  <tableColumns count="1">
    <tableColumn id="1" xr3:uid="{93C7DB95-B692-4B2C-BE60-860720245F2D}" name="ריידרים " dataDxfId="27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6C6F6F-4F24-490D-B526-BCB8A314523A}" name="טבלה110" displayName="טבלה110" ref="A29:J36" totalsRowShown="0" headerRowDxfId="26">
  <autoFilter ref="A29:J36" xr:uid="{1D774AB2-2B40-4D45-8F44-4C8AA3868DE7}"/>
  <tableColumns count="10">
    <tableColumn id="1" xr3:uid="{093A009A-FCC1-4579-975B-4F1F02B899D9}" name="תחום"/>
    <tableColumn id="2" xr3:uid="{321A7A83-3FF3-4AEE-B1F6-EFC5CE080898}" name="יעד"/>
    <tableColumn id="7" xr3:uid="{C57A41B3-85D3-4BF2-8C6D-261810595198}" name="כמות ביצוע"/>
    <tableColumn id="3" xr3:uid="{1091DE5F-6D4C-4A39-9E7A-05856F8F7398}" name="אחוז עמידה ביעד " dataCellStyle="Percent">
      <calculatedColumnFormula>טבלה110[[#This Row],[כמות ביצוע]]/טבלה110[[#This Row],[יעד]]</calculatedColumnFormula>
    </tableColumn>
    <tableColumn id="4" xr3:uid="{C3166535-A412-45C0-B6C0-363EFE1EAAB1}" name="בונוס אחוז חידוש אישי" dataDxfId="25">
      <calculatedColumnFormula>VLOOKUP(D30, $L$27:$M$31, 2, TRUE)</calculatedColumnFormula>
    </tableColumn>
    <tableColumn id="14" xr3:uid="{37426FEF-BF0B-4E96-971A-6474A0141B63}" name="בונוס אחוז חידוש צוות" dataDxfId="24">
      <calculatedColumnFormula>VLOOKUP(D30, $M$42:$N$46, 2, TRUE)</calculatedColumnFormula>
    </tableColumn>
    <tableColumn id="13" xr3:uid="{36FC841A-CECA-4A2F-A77B-DDB7BF67747A}" name="בונוס מכירות אישי" dataDxfId="23">
      <calculatedColumnFormula>VLOOKUP(C30, $L$36:$M$39, 2, TRUE)</calculatedColumnFormula>
    </tableColumn>
    <tableColumn id="15" xr3:uid="{A7708F34-B645-4B99-AA60-2B09E3033E84}" name="בונוס מכירות צוותי" dataDxfId="22">
      <calculatedColumnFormula>VLOOKUP(D30, $M$42:$N$46, 2, TRUE)</calculatedColumnFormula>
    </tableColumn>
    <tableColumn id="9" xr3:uid="{449F8A96-C9FD-48C7-B213-DFA5FFBA8931}" name="חישוב " dataDxfId="21">
      <calculatedColumnFormula>טבלה110[[#This Row],[בונוס אחוז חידוש אישי]]*טבלה110[[#This Row],[כמות ביצוע]]</calculatedColumnFormula>
    </tableColumn>
    <tableColumn id="6" xr3:uid="{1BFF0C9A-8BAD-49B7-8570-31B9637B6EBB}" name="הערות" dataDxfId="2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F762C2-A58D-4884-B64E-7C261A5AC677}" name="טבלה511" displayName="טבלה511" ref="L27:M31" totalsRowShown="0" headerRowDxfId="19" dataDxfId="18">
  <autoFilter ref="L27:M31" xr:uid="{29618E24-0961-476D-8C7B-8FADC126F342}"/>
  <tableColumns count="2">
    <tableColumn id="1" xr3:uid="{3C639542-072E-4A9E-9966-5F20128CA5A3}" name="אחוז חידוש " dataDxfId="17"/>
    <tableColumn id="2" xr3:uid="{22FE768F-269A-4F34-88DA-0623C5DDFA01}" name="בונוס" dataDxfId="16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A05428-C501-4CE6-8FBC-2A3D1548B965}" name="טבלה5712" displayName="טבלה5712" ref="L35:M39" totalsRowShown="0" headerRowDxfId="15" dataDxfId="14">
  <autoFilter ref="L35:M39" xr:uid="{364A379C-E27B-445D-A08C-43AEA9EA6FBA}"/>
  <tableColumns count="2">
    <tableColumn id="1" xr3:uid="{3994B7C8-C372-4D6E-A887-B48D7E9D33F6}" name="מכירות " dataDxfId="13"/>
    <tableColumn id="2" xr3:uid="{EC9CC3EF-7C85-43EB-996E-FC39BA6B741E}" name="בונוס" dataDxfId="12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9A832C8-B61F-4BB7-9503-3FE889B76D4C}" name="טבלה202321" displayName="טבלה202321" ref="L48:M50" totalsRowShown="0" headerRowDxfId="11" dataDxfId="10">
  <autoFilter ref="L48:M50" xr:uid="{C81907DF-06A5-42A8-B1A3-DC3CC6E67CFB}"/>
  <tableColumns count="2">
    <tableColumn id="1" xr3:uid="{69EF69BC-4B95-4E42-A7BB-CDABF1CA3622}" name="ריידרים " dataDxfId="9"/>
    <tableColumn id="2" xr3:uid="{8CAEE8F7-C712-4147-8CC3-94E6028B1BA8}" name="בונוס" dataDxfId="8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D5E0903-9EFF-4FBA-A41D-3BC3DDB96C45}" name="Table28" displayName="Table28" ref="L41:N46" totalsRowShown="0" headerRowCellStyle="Normal" dataCellStyle="Normal">
  <autoFilter ref="L41:N46" xr:uid="{AD5E0903-9EFF-4FBA-A41D-3BC3DDB96C45}"/>
  <tableColumns count="3">
    <tableColumn id="1" xr3:uid="{7351268A-9708-431F-9701-FF4334FFFD16}" name="יעד " dataCellStyle="Normal"/>
    <tableColumn id="2" xr3:uid="{721EC394-7736-4753-823C-B1FE79408976}" name="אחוז יעד " dataCellStyle="Normal"/>
    <tableColumn id="3" xr3:uid="{ED043C19-57B0-4E8E-84D0-EF88D3493922}" name="בונוס " dataCellStyle="Normal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4BF8E6-0938-41ED-AA87-5A11107353D4}" name="טבלה19" displayName="טבלה19" ref="D12:K20" totalsRowShown="0">
  <autoFilter ref="D12:K20" xr:uid="{144BF8E6-0938-41ED-AA87-5A11107353D4}"/>
  <tableColumns count="8">
    <tableColumn id="1" xr3:uid="{51B8E405-6066-4B41-967B-27798AA3CFB4}" name="עמודה1"/>
    <tableColumn id="2" xr3:uid="{941DE2A4-4B89-48EB-8F5C-6013982E3E94}" name="יעד/התקבל "/>
    <tableColumn id="7" xr3:uid="{BC22E430-8538-4F6D-9AB9-DFC3DE4DDADC}" name="כמות ביצוע"/>
    <tableColumn id="3" xr3:uid="{3DDDC301-6BB9-44EB-B505-9BAF22223718}" name="אחוז עמידה ביעד " dataDxfId="7">
      <calculatedColumnFormula>טבלה19[[#This Row],[כמות ביצוע]]/טבלה19[[#This Row],[יעד/התקבל ]]</calculatedColumnFormula>
    </tableColumn>
    <tableColumn id="4" xr3:uid="{BABEB994-231B-4B4A-9501-41637F84EAD0}" name="מדרגת בונוס " dataDxfId="6">
      <calculatedColumnFormula>M33</calculatedColumnFormula>
    </tableColumn>
    <tableColumn id="5" xr3:uid="{376F0D5D-7587-42E3-8CD6-812E21B19939}" name="סה&quot;כ מדרגת בונוס" dataDxfId="5">
      <calculatedColumnFormula>טבלה19[[#This Row],[כמות ביצוע]]*טבלה19[[#This Row],[מדרגת בונוס ]]</calculatedColumnFormula>
    </tableColumn>
    <tableColumn id="9" xr3:uid="{D7476C81-E031-4BB8-BBE3-28070A24E920}" name="בונוסים נוספים" dataDxfId="1">
      <calculatedColumnFormula>IFERROR(VLOOKUP(G13, $M$40:$N$42, 2, TRUE), 0)</calculatedColumnFormula>
    </tableColumn>
    <tableColumn id="6" xr3:uid="{AF10F4EC-A212-409F-B3B0-A2AB4F9A818B}" name="הערות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3D0873-2930-40FF-B4B7-5FA6C1F8B303}" name="טבלה571518" displayName="טבלה571518" ref="L21:M25" totalsRowShown="0">
  <autoFilter ref="L21:M25" xr:uid="{5D3D0873-2930-40FF-B4B7-5FA6C1F8B303}"/>
  <tableColumns count="2">
    <tableColumn id="1" xr3:uid="{8778D4D3-FC99-413F-B4D6-EB1C8DF0AC50}" name="מכירות " dataDxfId="0"/>
    <tableColumn id="2" xr3:uid="{70642DB2-A7CD-4456-A3A2-200C6ADF4E0B}" name="בונוס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A295EA5-BFAC-4EE0-A33C-5C04BFEE58D3}" name="טבלה131619" displayName="טבלה131619" ref="L28:N30" totalsRowShown="0">
  <autoFilter ref="L28:N30" xr:uid="{FA295EA5-BFAC-4EE0-A33C-5C04BFEE58D3}"/>
  <tableColumns count="3">
    <tableColumn id="1" xr3:uid="{20D0B30F-E0D5-42B4-97B4-5956D85AD06A}" name="יעד  חודשי "/>
    <tableColumn id="2" xr3:uid="{218067F8-F1E9-4496-870B-AE980980D018}" name="אחוז יעד "/>
    <tableColumn id="3" xr3:uid="{A940078B-E919-4B35-865D-AB10A86A4B7A}" name="בונוס 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1F786E4-2146-4D4A-B14A-6DCC5E9BD9A8}" name="טבלה14" displayName="טבלה14" ref="M40:N42" totalsRowShown="0" dataDxfId="2">
  <autoFilter ref="M40:N42" xr:uid="{81F786E4-2146-4D4A-B14A-6DCC5E9BD9A8}"/>
  <tableColumns count="2">
    <tableColumn id="1" xr3:uid="{4A49EFBB-BB4F-4E3F-96A8-F9B472F115B2}" name="אחוז שימור אישי " dataDxfId="4"/>
    <tableColumn id="2" xr3:uid="{A754DD30-E278-440A-B7FE-04CCA28781B9}" name="עמודה1" dataDxfId="3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BF9968-DA16-4823-9549-972815CDADB7}" name="Table12" displayName="Table12" ref="L33:M37" totalsRowShown="0">
  <autoFilter ref="L33:M37" xr:uid="{25BF9968-DA16-4823-9549-972815CDADB7}"/>
  <tableColumns count="2">
    <tableColumn id="1" xr3:uid="{557DE405-1C3F-437A-83FF-B2DFC694CF7B}" name="תחום"/>
    <tableColumn id="2" xr3:uid="{4223D243-DEE8-4396-B957-BB1DE4442261}" name="סכום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0296-FB8A-4492-B398-5529E354F0D9}">
  <dimension ref="F5:N26"/>
  <sheetViews>
    <sheetView rightToLeft="1" topLeftCell="A4" workbookViewId="0">
      <selection activeCell="I19" sqref="I19"/>
    </sheetView>
  </sheetViews>
  <sheetFormatPr defaultRowHeight="14.25" x14ac:dyDescent="0.2"/>
  <cols>
    <col min="6" max="6" width="12.375" bestFit="1" customWidth="1"/>
    <col min="7" max="7" width="12.75" bestFit="1" customWidth="1"/>
    <col min="8" max="8" width="15.625" bestFit="1" customWidth="1"/>
    <col min="9" max="9" width="21.75" customWidth="1"/>
    <col min="10" max="10" width="13.75" bestFit="1" customWidth="1"/>
    <col min="11" max="11" width="25.625" customWidth="1"/>
    <col min="12" max="14" width="19.125" bestFit="1" customWidth="1"/>
  </cols>
  <sheetData>
    <row r="5" spans="6:14" x14ac:dyDescent="0.2">
      <c r="F5" t="s">
        <v>0</v>
      </c>
      <c r="G5" t="s">
        <v>2</v>
      </c>
      <c r="H5" t="s">
        <v>3</v>
      </c>
      <c r="I5" t="s">
        <v>7</v>
      </c>
      <c r="J5" t="s">
        <v>4</v>
      </c>
      <c r="K5" t="s">
        <v>17</v>
      </c>
      <c r="L5" t="s">
        <v>16</v>
      </c>
      <c r="M5" t="s">
        <v>5</v>
      </c>
      <c r="N5" t="s">
        <v>6</v>
      </c>
    </row>
    <row r="6" spans="6:14" x14ac:dyDescent="0.2">
      <c r="F6" t="s">
        <v>12</v>
      </c>
      <c r="G6">
        <v>35</v>
      </c>
      <c r="H6" s="1">
        <v>0.75</v>
      </c>
      <c r="I6">
        <v>100</v>
      </c>
      <c r="J6">
        <v>40</v>
      </c>
      <c r="L6" s="2">
        <f>טבלה2[[#This Row],[כמות חידושים שבוצעה]]/טבלה2[[#This Row],[כמות חידושים]]</f>
        <v>0</v>
      </c>
    </row>
    <row r="7" spans="6:14" x14ac:dyDescent="0.2">
      <c r="F7" t="s">
        <v>13</v>
      </c>
      <c r="G7">
        <v>35</v>
      </c>
      <c r="H7" s="1">
        <v>0.75</v>
      </c>
      <c r="I7">
        <v>100</v>
      </c>
      <c r="J7">
        <v>40</v>
      </c>
      <c r="L7" s="2">
        <f>טבלה2[[#This Row],[כמות חידושים שבוצעה]]/טבלה2[[#This Row],[כמות חידושים]]</f>
        <v>0</v>
      </c>
    </row>
    <row r="8" spans="6:14" x14ac:dyDescent="0.2">
      <c r="F8" t="s">
        <v>14</v>
      </c>
      <c r="G8">
        <v>35</v>
      </c>
      <c r="H8" s="1">
        <v>0.75</v>
      </c>
      <c r="I8">
        <v>100</v>
      </c>
      <c r="J8">
        <v>40</v>
      </c>
      <c r="L8" s="2">
        <f>טבלה2[[#This Row],[כמות חידושים שבוצעה]]/טבלה2[[#This Row],[כמות חידושים]]</f>
        <v>0</v>
      </c>
    </row>
    <row r="9" spans="6:14" x14ac:dyDescent="0.2">
      <c r="F9" t="s">
        <v>15</v>
      </c>
      <c r="G9">
        <v>35</v>
      </c>
      <c r="H9" s="1">
        <v>0.75</v>
      </c>
      <c r="I9">
        <v>100</v>
      </c>
      <c r="J9">
        <v>40</v>
      </c>
      <c r="L9" s="2">
        <f>טבלה2[[#This Row],[כמות חידושים שבוצעה]]/טבלה2[[#This Row],[כמות חידושים]]</f>
        <v>0</v>
      </c>
    </row>
    <row r="14" spans="6:14" ht="15" x14ac:dyDescent="0.25">
      <c r="F14" s="13" t="s">
        <v>10</v>
      </c>
      <c r="G14" s="13"/>
    </row>
    <row r="15" spans="6:14" x14ac:dyDescent="0.2">
      <c r="F15" t="s">
        <v>1</v>
      </c>
      <c r="G15" t="s">
        <v>8</v>
      </c>
    </row>
    <row r="16" spans="6:14" x14ac:dyDescent="0.2">
      <c r="F16">
        <v>1</v>
      </c>
      <c r="G16">
        <v>20</v>
      </c>
    </row>
    <row r="17" spans="6:7" x14ac:dyDescent="0.2">
      <c r="F17">
        <v>31</v>
      </c>
      <c r="G17">
        <v>40</v>
      </c>
    </row>
    <row r="18" spans="6:7" x14ac:dyDescent="0.2">
      <c r="F18">
        <v>61</v>
      </c>
      <c r="G18">
        <v>50</v>
      </c>
    </row>
    <row r="19" spans="6:7" x14ac:dyDescent="0.2">
      <c r="F19">
        <v>81</v>
      </c>
      <c r="G19">
        <v>70</v>
      </c>
    </row>
    <row r="21" spans="6:7" ht="15" x14ac:dyDescent="0.25">
      <c r="F21" s="13" t="s">
        <v>11</v>
      </c>
      <c r="G21" s="13"/>
    </row>
    <row r="22" spans="6:7" x14ac:dyDescent="0.2">
      <c r="F22" t="s">
        <v>9</v>
      </c>
      <c r="G22" t="s">
        <v>8</v>
      </c>
    </row>
    <row r="23" spans="6:7" x14ac:dyDescent="0.2">
      <c r="F23">
        <v>1</v>
      </c>
      <c r="G23">
        <v>5</v>
      </c>
    </row>
    <row r="24" spans="6:7" x14ac:dyDescent="0.2">
      <c r="F24">
        <v>75</v>
      </c>
      <c r="G24">
        <v>10</v>
      </c>
    </row>
    <row r="25" spans="6:7" x14ac:dyDescent="0.2">
      <c r="F25">
        <v>81</v>
      </c>
      <c r="G25">
        <v>15</v>
      </c>
    </row>
    <row r="26" spans="6:7" x14ac:dyDescent="0.2">
      <c r="F26">
        <v>85</v>
      </c>
      <c r="G26">
        <v>20</v>
      </c>
    </row>
  </sheetData>
  <mergeCells count="2">
    <mergeCell ref="F14:G14"/>
    <mergeCell ref="F21:G2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D6C1-8C99-4D6B-A979-BB840D1981E2}">
  <dimension ref="A18:M106"/>
  <sheetViews>
    <sheetView rightToLeft="1" topLeftCell="A16" workbookViewId="0">
      <selection activeCell="H31" sqref="H31"/>
    </sheetView>
  </sheetViews>
  <sheetFormatPr defaultRowHeight="14.25" x14ac:dyDescent="0.2"/>
  <cols>
    <col min="1" max="3" width="17.25" customWidth="1"/>
    <col min="4" max="4" width="16.375" customWidth="1"/>
    <col min="5" max="5" width="32.5" customWidth="1"/>
    <col min="6" max="8" width="25.25" customWidth="1"/>
    <col min="9" max="9" width="29.375" customWidth="1"/>
    <col min="11" max="11" width="11.125" customWidth="1"/>
    <col min="12" max="12" width="9.375" customWidth="1"/>
  </cols>
  <sheetData>
    <row r="18" spans="1:13" ht="14.25" customHeight="1" x14ac:dyDescent="0.2">
      <c r="D18" s="14" t="s">
        <v>18</v>
      </c>
      <c r="E18" s="14"/>
      <c r="F18" s="14"/>
      <c r="G18" s="14"/>
      <c r="H18" s="14"/>
    </row>
    <row r="19" spans="1:13" ht="14.25" customHeight="1" x14ac:dyDescent="0.2">
      <c r="D19" s="14"/>
      <c r="E19" s="14"/>
      <c r="F19" s="14"/>
      <c r="G19" s="14"/>
      <c r="H19" s="14"/>
    </row>
    <row r="23" spans="1:13" x14ac:dyDescent="0.2">
      <c r="A23" s="16" t="s">
        <v>32</v>
      </c>
      <c r="B23" s="16"/>
      <c r="C23" s="12"/>
      <c r="D23" t="s">
        <v>34</v>
      </c>
      <c r="E23" t="s">
        <v>35</v>
      </c>
    </row>
    <row r="24" spans="1:13" x14ac:dyDescent="0.2">
      <c r="A24" s="12" t="s">
        <v>36</v>
      </c>
      <c r="B24" s="12"/>
      <c r="C24" s="12"/>
    </row>
    <row r="25" spans="1:13" x14ac:dyDescent="0.2">
      <c r="A25" s="12" t="s">
        <v>23</v>
      </c>
      <c r="B25" s="12"/>
      <c r="C25" s="12"/>
    </row>
    <row r="26" spans="1:13" x14ac:dyDescent="0.2">
      <c r="A26" s="12" t="s">
        <v>22</v>
      </c>
      <c r="B26" s="12"/>
      <c r="C26" s="12"/>
    </row>
    <row r="27" spans="1:13" x14ac:dyDescent="0.2">
      <c r="K27" s="9" t="s">
        <v>19</v>
      </c>
      <c r="L27" s="9" t="s">
        <v>33</v>
      </c>
      <c r="M27" s="9"/>
    </row>
    <row r="28" spans="1:13" x14ac:dyDescent="0.2">
      <c r="K28" s="10">
        <v>0</v>
      </c>
      <c r="L28" s="9">
        <v>5</v>
      </c>
      <c r="M28" s="9"/>
    </row>
    <row r="29" spans="1:13" x14ac:dyDescent="0.2">
      <c r="A29" s="9" t="s">
        <v>51</v>
      </c>
      <c r="B29" s="9" t="s">
        <v>43</v>
      </c>
      <c r="C29" s="9" t="s">
        <v>42</v>
      </c>
      <c r="D29" s="9" t="s">
        <v>26</v>
      </c>
      <c r="E29" s="9" t="s">
        <v>46</v>
      </c>
      <c r="F29" s="9" t="s">
        <v>47</v>
      </c>
      <c r="G29" s="9" t="s">
        <v>48</v>
      </c>
      <c r="H29" s="9" t="s">
        <v>49</v>
      </c>
      <c r="I29" s="9" t="s">
        <v>41</v>
      </c>
      <c r="K29" s="11">
        <v>0.75</v>
      </c>
      <c r="L29" s="9">
        <v>10</v>
      </c>
      <c r="M29" s="9"/>
    </row>
    <row r="30" spans="1:13" x14ac:dyDescent="0.2">
      <c r="A30" s="9" t="s">
        <v>27</v>
      </c>
      <c r="B30" s="9">
        <v>100</v>
      </c>
      <c r="C30" s="9">
        <v>95</v>
      </c>
      <c r="D30" s="6">
        <f>טבלה1[[#This Row],[כמות ביצוע]]/טבלה1[[#This Row],[יעד]]</f>
        <v>0.95</v>
      </c>
      <c r="E30">
        <f>VLOOKUP(D30, $K$27:$L$31, 2, TRUE)</f>
        <v>20</v>
      </c>
      <c r="G30">
        <f>טבלה1[[#This Row],[בונוס אחוז חידוש]]*טבלה1[[#This Row],[כמות ביצוע]]</f>
        <v>1900</v>
      </c>
      <c r="H30">
        <f>IF(D30&gt;=L41, M41, 0)</f>
        <v>250</v>
      </c>
      <c r="I30" s="9"/>
      <c r="K30" s="11">
        <v>0.81</v>
      </c>
      <c r="L30" s="9">
        <v>15</v>
      </c>
      <c r="M30" s="9"/>
    </row>
    <row r="31" spans="1:13" x14ac:dyDescent="0.2">
      <c r="A31" s="9" t="s">
        <v>29</v>
      </c>
      <c r="B31" s="9">
        <v>517</v>
      </c>
      <c r="C31" s="9">
        <v>500</v>
      </c>
      <c r="D31" s="6">
        <f>טבלה1[[#This Row],[כמות ביצוע]]/טבלה1[[#This Row],[יעד]]</f>
        <v>0.96711798839458418</v>
      </c>
      <c r="H31">
        <f>IF(D31&gt;=L42, M42, 0)</f>
        <v>250</v>
      </c>
      <c r="I31" s="9"/>
      <c r="K31" s="11">
        <v>0.86</v>
      </c>
      <c r="L31" s="9">
        <v>20</v>
      </c>
      <c r="M31" s="9"/>
    </row>
    <row r="32" spans="1:13" x14ac:dyDescent="0.2">
      <c r="A32" s="9" t="s">
        <v>24</v>
      </c>
      <c r="B32" s="9">
        <v>30</v>
      </c>
      <c r="C32" s="9">
        <v>40</v>
      </c>
      <c r="D32" s="6">
        <f>טבלה1[[#This Row],[כמות ביצוע]]/טבלה1[[#This Row],[יעד]]</f>
        <v>1.3333333333333333</v>
      </c>
      <c r="F32">
        <f>VLOOKUP(C32, $K$34:$L$37, 2, TRUE)</f>
        <v>40</v>
      </c>
      <c r="G32">
        <f>טבלה1[[#This Row],[בונוס מכירות]]*טבלה1[[#This Row],[כמות ביצוע]]</f>
        <v>1600</v>
      </c>
      <c r="H32">
        <f>IF(D32&gt;=L43, M43, 0)</f>
        <v>250</v>
      </c>
      <c r="I32" s="9"/>
      <c r="K32" s="10"/>
      <c r="L32" s="9"/>
      <c r="M32" s="9"/>
    </row>
    <row r="33" spans="1:13" x14ac:dyDescent="0.2">
      <c r="A33" s="9" t="s">
        <v>25</v>
      </c>
      <c r="B33" s="9">
        <v>50</v>
      </c>
      <c r="C33" s="9">
        <v>50</v>
      </c>
      <c r="D33" s="6">
        <f>טבלה1[[#This Row],[כמות ביצוע]]/טבלה1[[#This Row],[יעד]]</f>
        <v>1</v>
      </c>
      <c r="G33" cm="1">
        <f t="array" ref="G33">טבלה1[[#This Row],[כמות ביצוע]]*טבלה2023[[ריידרים ]]</f>
        <v>1000</v>
      </c>
      <c r="I33" s="9"/>
      <c r="K33" s="10" t="s">
        <v>21</v>
      </c>
      <c r="L33" s="9" t="s">
        <v>33</v>
      </c>
      <c r="M33" s="9"/>
    </row>
    <row r="34" spans="1:13" ht="15" x14ac:dyDescent="0.25">
      <c r="A34" s="5" t="s">
        <v>31</v>
      </c>
      <c r="B34" s="5">
        <f>SUM(B30:B33)</f>
        <v>697</v>
      </c>
      <c r="C34" s="5">
        <f>SUM(C30:C33)</f>
        <v>685</v>
      </c>
      <c r="D34" s="6">
        <f>טבלה1[[#This Row],[כמות ביצוע]]/טבלה1[[#This Row],[יעד]]</f>
        <v>0.98278335724533716</v>
      </c>
      <c r="G34">
        <f>SUM(G30:G33)</f>
        <v>4500</v>
      </c>
      <c r="H34">
        <f>SUM(H30:H32)</f>
        <v>750</v>
      </c>
      <c r="I34" s="9"/>
      <c r="K34" s="10">
        <v>0</v>
      </c>
      <c r="L34" s="9">
        <v>20</v>
      </c>
      <c r="M34" s="9"/>
    </row>
    <row r="35" spans="1:13" x14ac:dyDescent="0.2">
      <c r="K35" s="10">
        <v>31</v>
      </c>
      <c r="L35" s="9">
        <v>40</v>
      </c>
      <c r="M35" s="9"/>
    </row>
    <row r="36" spans="1:13" ht="18.75" x14ac:dyDescent="0.3">
      <c r="C36" s="7" t="s">
        <v>50</v>
      </c>
      <c r="D36" s="8">
        <f>G34+H34</f>
        <v>5250</v>
      </c>
      <c r="K36" s="10">
        <v>61</v>
      </c>
      <c r="L36" s="9">
        <v>50</v>
      </c>
      <c r="M36" s="9"/>
    </row>
    <row r="37" spans="1:13" x14ac:dyDescent="0.2">
      <c r="K37" s="10">
        <v>81</v>
      </c>
      <c r="L37" s="9">
        <v>70</v>
      </c>
      <c r="M37" s="9"/>
    </row>
    <row r="38" spans="1:13" x14ac:dyDescent="0.2">
      <c r="K38" s="9"/>
      <c r="L38" s="9"/>
      <c r="M38" s="9"/>
    </row>
    <row r="39" spans="1:13" x14ac:dyDescent="0.2">
      <c r="K39" s="9"/>
      <c r="L39" s="9"/>
      <c r="M39" s="9"/>
    </row>
    <row r="40" spans="1:13" x14ac:dyDescent="0.2">
      <c r="K40" s="9" t="s">
        <v>28</v>
      </c>
      <c r="L40" s="9" t="s">
        <v>37</v>
      </c>
      <c r="M40" s="9" t="s">
        <v>38</v>
      </c>
    </row>
    <row r="41" spans="1:13" x14ac:dyDescent="0.2">
      <c r="A41" s="15"/>
      <c r="B41" s="15"/>
      <c r="E41" t="s">
        <v>35</v>
      </c>
      <c r="K41" s="9" t="s">
        <v>39</v>
      </c>
      <c r="L41" s="9">
        <v>0.95</v>
      </c>
      <c r="M41" s="9">
        <v>250</v>
      </c>
    </row>
    <row r="42" spans="1:13" x14ac:dyDescent="0.2">
      <c r="K42" s="9" t="s">
        <v>29</v>
      </c>
      <c r="L42" s="9">
        <v>0.88</v>
      </c>
      <c r="M42" s="9">
        <v>250</v>
      </c>
    </row>
    <row r="43" spans="1:13" x14ac:dyDescent="0.2">
      <c r="K43" s="9" t="s">
        <v>40</v>
      </c>
      <c r="L43" s="9">
        <v>1.25</v>
      </c>
      <c r="M43" s="9">
        <v>250</v>
      </c>
    </row>
    <row r="44" spans="1:13" x14ac:dyDescent="0.2">
      <c r="K44" s="9"/>
      <c r="L44" s="9"/>
      <c r="M44" s="9"/>
    </row>
    <row r="45" spans="1:13" x14ac:dyDescent="0.2">
      <c r="K45" s="9"/>
      <c r="L45" s="9"/>
      <c r="M45" s="9"/>
    </row>
    <row r="46" spans="1:13" x14ac:dyDescent="0.2">
      <c r="K46" s="9" t="s">
        <v>44</v>
      </c>
      <c r="L46" s="9"/>
      <c r="M46" s="9"/>
    </row>
    <row r="47" spans="1:13" x14ac:dyDescent="0.2">
      <c r="K47" s="9">
        <v>20</v>
      </c>
      <c r="L47" s="9"/>
      <c r="M47" s="9"/>
    </row>
    <row r="48" spans="1:13" x14ac:dyDescent="0.2">
      <c r="K48" s="9"/>
      <c r="L48" s="9"/>
      <c r="M48" s="9"/>
    </row>
    <row r="62" spans="1:2" x14ac:dyDescent="0.2">
      <c r="A62" s="15"/>
      <c r="B62" s="15"/>
    </row>
    <row r="85" spans="1:2" x14ac:dyDescent="0.2">
      <c r="A85" s="15"/>
      <c r="B85" s="15"/>
    </row>
    <row r="106" spans="1:2" x14ac:dyDescent="0.2">
      <c r="A106" s="15"/>
      <c r="B106" s="15"/>
    </row>
  </sheetData>
  <mergeCells count="6">
    <mergeCell ref="D18:H19"/>
    <mergeCell ref="A106:B106"/>
    <mergeCell ref="A23:B23"/>
    <mergeCell ref="A41:B41"/>
    <mergeCell ref="A62:B62"/>
    <mergeCell ref="A85:B85"/>
  </mergeCells>
  <phoneticPr fontId="4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E986-4A8D-40DF-8961-F53EC40DF03A}">
  <dimension ref="A18:N108"/>
  <sheetViews>
    <sheetView rightToLeft="1" tabSelected="1" topLeftCell="A16" zoomScaleNormal="100" workbookViewId="0">
      <selection activeCell="E43" sqref="E43"/>
    </sheetView>
  </sheetViews>
  <sheetFormatPr defaultRowHeight="14.25" x14ac:dyDescent="0.2"/>
  <cols>
    <col min="1" max="3" width="17.25" customWidth="1"/>
    <col min="4" max="4" width="16.375" customWidth="1"/>
    <col min="5" max="5" width="21.125" customWidth="1"/>
    <col min="6" max="6" width="20.125" customWidth="1"/>
    <col min="7" max="9" width="32.5" customWidth="1"/>
    <col min="10" max="10" width="29.375" customWidth="1"/>
    <col min="12" max="12" width="11.125" customWidth="1"/>
    <col min="13" max="13" width="9.75" customWidth="1"/>
  </cols>
  <sheetData>
    <row r="18" spans="1:14" ht="14.25" customHeight="1" x14ac:dyDescent="0.2">
      <c r="D18" s="14" t="s">
        <v>78</v>
      </c>
      <c r="E18" s="14"/>
      <c r="F18" s="14"/>
      <c r="G18" s="14"/>
      <c r="H18" s="14"/>
      <c r="I18" s="14"/>
    </row>
    <row r="19" spans="1:14" ht="14.25" customHeight="1" x14ac:dyDescent="0.2">
      <c r="D19" s="14"/>
      <c r="E19" s="14"/>
      <c r="F19" s="14"/>
      <c r="G19" s="14"/>
      <c r="H19" s="14"/>
      <c r="I19" s="14"/>
    </row>
    <row r="23" spans="1:14" x14ac:dyDescent="0.2">
      <c r="A23" s="16" t="s">
        <v>32</v>
      </c>
      <c r="B23" s="16"/>
      <c r="C23" s="12"/>
      <c r="D23" t="s">
        <v>34</v>
      </c>
      <c r="E23" t="s">
        <v>35</v>
      </c>
    </row>
    <row r="24" spans="1:14" x14ac:dyDescent="0.2">
      <c r="A24" s="12" t="s">
        <v>36</v>
      </c>
      <c r="B24" s="12"/>
      <c r="C24" s="12"/>
    </row>
    <row r="25" spans="1:14" x14ac:dyDescent="0.2">
      <c r="A25" s="12" t="s">
        <v>23</v>
      </c>
      <c r="B25" s="12"/>
      <c r="C25" s="12"/>
    </row>
    <row r="26" spans="1:14" x14ac:dyDescent="0.2">
      <c r="A26" s="12" t="s">
        <v>22</v>
      </c>
      <c r="B26" s="12"/>
      <c r="C26" s="12"/>
    </row>
    <row r="27" spans="1:14" x14ac:dyDescent="0.2">
      <c r="L27" s="9" t="s">
        <v>19</v>
      </c>
      <c r="M27" s="9" t="s">
        <v>33</v>
      </c>
      <c r="N27" s="9"/>
    </row>
    <row r="28" spans="1:14" x14ac:dyDescent="0.2">
      <c r="L28" s="10">
        <v>0</v>
      </c>
      <c r="M28" s="9">
        <v>10</v>
      </c>
      <c r="N28" s="9"/>
    </row>
    <row r="29" spans="1:14" x14ac:dyDescent="0.2">
      <c r="A29" s="9" t="s">
        <v>51</v>
      </c>
      <c r="B29" s="9" t="s">
        <v>43</v>
      </c>
      <c r="C29" s="9" t="s">
        <v>42</v>
      </c>
      <c r="D29" s="9" t="s">
        <v>26</v>
      </c>
      <c r="E29" s="9" t="s">
        <v>59</v>
      </c>
      <c r="F29" s="9" t="s">
        <v>60</v>
      </c>
      <c r="G29" s="9" t="s">
        <v>58</v>
      </c>
      <c r="H29" s="9" t="s">
        <v>62</v>
      </c>
      <c r="I29" s="9" t="s">
        <v>61</v>
      </c>
      <c r="J29" s="9" t="s">
        <v>41</v>
      </c>
      <c r="L29" s="11">
        <v>0.75</v>
      </c>
      <c r="M29" s="9">
        <v>15</v>
      </c>
      <c r="N29" s="9"/>
    </row>
    <row r="30" spans="1:14" x14ac:dyDescent="0.2">
      <c r="A30" s="9" t="s">
        <v>27</v>
      </c>
      <c r="B30" s="9">
        <v>70</v>
      </c>
      <c r="C30" s="9">
        <v>60</v>
      </c>
      <c r="D30" s="6">
        <f>טבלה110[[#This Row],[כמות ביצוע]]/טבלה110[[#This Row],[יעד]]</f>
        <v>0.8571428571428571</v>
      </c>
      <c r="E30">
        <f>VLOOKUP(D30, $L$27:$M$31, 2, TRUE)</f>
        <v>20</v>
      </c>
      <c r="I30">
        <f>טבלה110[[#This Row],[בונוס אחוז חידוש אישי]]*טבלה110[[#This Row],[כמות ביצוע]]</f>
        <v>1200</v>
      </c>
      <c r="J30" s="9"/>
      <c r="L30" s="11">
        <v>0.81</v>
      </c>
      <c r="M30" s="9">
        <v>20</v>
      </c>
      <c r="N30" s="9"/>
    </row>
    <row r="31" spans="1:14" x14ac:dyDescent="0.2">
      <c r="A31" s="9" t="s">
        <v>29</v>
      </c>
      <c r="B31" s="9">
        <v>60</v>
      </c>
      <c r="C31" s="9">
        <v>55</v>
      </c>
      <c r="D31" s="6">
        <f>טבלה110[[#This Row],[כמות ביצוע]]/טבלה110[[#This Row],[יעד]]</f>
        <v>0.91666666666666663</v>
      </c>
      <c r="F31">
        <f>VLOOKUP(D31, $M$42:$N$46, 2, TRUE)</f>
        <v>2000</v>
      </c>
      <c r="I31">
        <f>טבלה110[[#This Row],[בונוס אחוז חידוש צוות]]</f>
        <v>2000</v>
      </c>
      <c r="J31" s="9"/>
      <c r="L31" s="11">
        <v>0.86</v>
      </c>
      <c r="M31" s="9">
        <v>25</v>
      </c>
      <c r="N31" s="9"/>
    </row>
    <row r="32" spans="1:14" x14ac:dyDescent="0.2">
      <c r="A32" s="9" t="s">
        <v>54</v>
      </c>
      <c r="B32" s="9">
        <v>35</v>
      </c>
      <c r="C32" s="9">
        <v>35</v>
      </c>
      <c r="D32" s="6">
        <f>טבלה110[[#This Row],[כמות ביצוע]]/טבלה110[[#This Row],[יעד]]</f>
        <v>1</v>
      </c>
      <c r="G32">
        <f>VLOOKUP(C32, $L$36:$M$39, 2, TRUE)</f>
        <v>40</v>
      </c>
      <c r="I32">
        <f>טבלה110[[#This Row],[בונוס מכירות אישי]]*טבלה110[[#This Row],[כמות ביצוע]]</f>
        <v>1400</v>
      </c>
      <c r="J32" s="9"/>
      <c r="L32" s="11"/>
      <c r="M32" s="9"/>
      <c r="N32" s="9"/>
    </row>
    <row r="33" spans="1:14" x14ac:dyDescent="0.2">
      <c r="A33" s="9" t="s">
        <v>55</v>
      </c>
      <c r="B33" s="9">
        <v>50</v>
      </c>
      <c r="C33" s="9">
        <v>40</v>
      </c>
      <c r="D33" s="6">
        <f>טבלה110[[#This Row],[כמות ביצוע]]/טבלה110[[#This Row],[יעד]]</f>
        <v>0.8</v>
      </c>
      <c r="H33">
        <f t="shared" ref="H33" si="0">VLOOKUP(D33, $M$42:$N$46, 2, TRUE)</f>
        <v>200</v>
      </c>
      <c r="I33">
        <f>טבלה110[[#This Row],[בונוס מכירות צוותי]]</f>
        <v>200</v>
      </c>
      <c r="J33" s="9"/>
      <c r="L33" s="11"/>
      <c r="M33" s="9"/>
      <c r="N33" s="9"/>
    </row>
    <row r="34" spans="1:14" x14ac:dyDescent="0.2">
      <c r="A34" t="s">
        <v>56</v>
      </c>
      <c r="B34">
        <v>20</v>
      </c>
      <c r="C34">
        <v>15</v>
      </c>
      <c r="D34" s="6">
        <f>טבלה110[[#This Row],[כמות ביצוע]]/טבלה110[[#This Row],[יעד]]</f>
        <v>0.75</v>
      </c>
      <c r="I34">
        <f>טבלה110[[#This Row],[כמות ביצוע]]*M49</f>
        <v>300</v>
      </c>
      <c r="J34" s="9"/>
      <c r="L34" s="10"/>
      <c r="M34" s="9"/>
      <c r="N34" s="9"/>
    </row>
    <row r="35" spans="1:14" x14ac:dyDescent="0.2">
      <c r="A35" s="9" t="s">
        <v>57</v>
      </c>
      <c r="B35" s="9">
        <v>90</v>
      </c>
      <c r="C35" s="9">
        <v>80</v>
      </c>
      <c r="D35" s="6">
        <f>טבלה110[[#This Row],[כמות ביצוע]]/טבלה110[[#This Row],[יעד]]</f>
        <v>0.88888888888888884</v>
      </c>
      <c r="I35">
        <f>טבלה110[[#This Row],[כמות ביצוע]]*M50</f>
        <v>160</v>
      </c>
      <c r="J35" s="9"/>
      <c r="L35" s="10" t="s">
        <v>21</v>
      </c>
      <c r="M35" s="9" t="s">
        <v>33</v>
      </c>
      <c r="N35" s="9"/>
    </row>
    <row r="36" spans="1:14" ht="15" x14ac:dyDescent="0.25">
      <c r="A36" s="5" t="s">
        <v>31</v>
      </c>
      <c r="B36" s="5">
        <f>SUM(B30:B35)</f>
        <v>325</v>
      </c>
      <c r="C36" s="5">
        <f>SUM(C30:C35)</f>
        <v>285</v>
      </c>
      <c r="D36" s="6">
        <f>טבלה110[[#This Row],[כמות ביצוע]]/טבלה110[[#This Row],[יעד]]</f>
        <v>0.87692307692307692</v>
      </c>
      <c r="I36">
        <f>SUM(I30:I35)</f>
        <v>5260</v>
      </c>
      <c r="J36" s="9"/>
      <c r="L36" s="10">
        <v>0</v>
      </c>
      <c r="M36" s="9">
        <v>20</v>
      </c>
      <c r="N36" s="9"/>
    </row>
    <row r="37" spans="1:14" x14ac:dyDescent="0.2">
      <c r="L37" s="10">
        <v>31</v>
      </c>
      <c r="M37" s="9">
        <v>40</v>
      </c>
      <c r="N37" s="9"/>
    </row>
    <row r="38" spans="1:14" ht="18.75" x14ac:dyDescent="0.3">
      <c r="C38" s="7" t="s">
        <v>50</v>
      </c>
      <c r="D38" s="8">
        <f>I36</f>
        <v>5260</v>
      </c>
      <c r="L38" s="10">
        <v>61</v>
      </c>
      <c r="M38" s="9">
        <v>50</v>
      </c>
      <c r="N38" s="9"/>
    </row>
    <row r="39" spans="1:14" x14ac:dyDescent="0.2">
      <c r="L39" s="10">
        <v>81</v>
      </c>
      <c r="M39" s="9">
        <v>70</v>
      </c>
      <c r="N39" s="9"/>
    </row>
    <row r="40" spans="1:14" x14ac:dyDescent="0.2">
      <c r="L40" s="9"/>
      <c r="M40" s="9"/>
      <c r="N40" s="9"/>
    </row>
    <row r="41" spans="1:14" x14ac:dyDescent="0.2">
      <c r="L41" t="s">
        <v>28</v>
      </c>
      <c r="M41" t="s">
        <v>37</v>
      </c>
      <c r="N41" t="s">
        <v>38</v>
      </c>
    </row>
    <row r="42" spans="1:14" x14ac:dyDescent="0.2">
      <c r="L42" t="s">
        <v>45</v>
      </c>
      <c r="M42">
        <v>0</v>
      </c>
      <c r="N42">
        <v>0</v>
      </c>
    </row>
    <row r="43" spans="1:14" x14ac:dyDescent="0.2">
      <c r="A43" s="15"/>
      <c r="B43" s="15"/>
      <c r="E43" t="s">
        <v>35</v>
      </c>
      <c r="L43" t="s">
        <v>45</v>
      </c>
      <c r="M43">
        <v>0.76</v>
      </c>
      <c r="N43">
        <v>200</v>
      </c>
    </row>
    <row r="44" spans="1:14" x14ac:dyDescent="0.2">
      <c r="L44" t="s">
        <v>45</v>
      </c>
      <c r="M44">
        <v>0.81</v>
      </c>
      <c r="N44">
        <v>500</v>
      </c>
    </row>
    <row r="45" spans="1:14" x14ac:dyDescent="0.2">
      <c r="L45" t="s">
        <v>45</v>
      </c>
      <c r="M45">
        <v>0.86</v>
      </c>
      <c r="N45">
        <v>1000</v>
      </c>
    </row>
    <row r="46" spans="1:14" x14ac:dyDescent="0.2">
      <c r="L46" t="s">
        <v>45</v>
      </c>
      <c r="M46">
        <v>0.9</v>
      </c>
      <c r="N46">
        <v>2000</v>
      </c>
    </row>
    <row r="47" spans="1:14" x14ac:dyDescent="0.2">
      <c r="L47" s="9"/>
      <c r="M47" s="9"/>
      <c r="N47" s="9"/>
    </row>
    <row r="48" spans="1:14" x14ac:dyDescent="0.2">
      <c r="L48" s="9" t="s">
        <v>44</v>
      </c>
      <c r="M48" s="9" t="s">
        <v>33</v>
      </c>
      <c r="N48" s="9"/>
    </row>
    <row r="49" spans="1:14" x14ac:dyDescent="0.2">
      <c r="L49" s="9" t="s">
        <v>52</v>
      </c>
      <c r="M49" s="9">
        <v>20</v>
      </c>
      <c r="N49" s="9"/>
    </row>
    <row r="50" spans="1:14" x14ac:dyDescent="0.2">
      <c r="L50" s="9" t="s">
        <v>53</v>
      </c>
      <c r="M50" s="9">
        <v>2</v>
      </c>
      <c r="N50" s="9"/>
    </row>
    <row r="64" spans="1:14" x14ac:dyDescent="0.2">
      <c r="A64" s="15"/>
      <c r="B64" s="15"/>
      <c r="M64" s="4"/>
    </row>
    <row r="80" spans="13:13" x14ac:dyDescent="0.2">
      <c r="M80" s="4"/>
    </row>
    <row r="87" spans="1:2" x14ac:dyDescent="0.2">
      <c r="A87" s="15"/>
      <c r="B87" s="15"/>
    </row>
    <row r="108" spans="1:2" x14ac:dyDescent="0.2">
      <c r="A108" s="15"/>
      <c r="B108" s="15"/>
    </row>
  </sheetData>
  <mergeCells count="6">
    <mergeCell ref="A108:B108"/>
    <mergeCell ref="D18:I19"/>
    <mergeCell ref="A23:B23"/>
    <mergeCell ref="A43:B43"/>
    <mergeCell ref="A64:B64"/>
    <mergeCell ref="A87:B87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0505-4F6A-451B-A244-C9784C342675}">
  <dimension ref="A1:X42"/>
  <sheetViews>
    <sheetView rightToLeft="1" topLeftCell="D13" zoomScaleNormal="100" workbookViewId="0">
      <selection activeCell="E26" sqref="E26"/>
    </sheetView>
  </sheetViews>
  <sheetFormatPr defaultRowHeight="14.25" x14ac:dyDescent="0.2"/>
  <cols>
    <col min="1" max="3" width="9" hidden="1" customWidth="1"/>
    <col min="4" max="4" width="22.5" customWidth="1"/>
    <col min="5" max="5" width="18.5" customWidth="1"/>
    <col min="6" max="6" width="22.625" customWidth="1"/>
    <col min="7" max="7" width="16" customWidth="1"/>
    <col min="8" max="8" width="8.5" customWidth="1"/>
    <col min="9" max="10" width="22" customWidth="1"/>
    <col min="11" max="11" width="25.75" customWidth="1"/>
    <col min="12" max="12" width="17.75" customWidth="1"/>
    <col min="13" max="13" width="11.625" customWidth="1"/>
  </cols>
  <sheetData>
    <row r="1" spans="4:11" x14ac:dyDescent="0.2">
      <c r="H1" s="19"/>
      <c r="I1" s="19"/>
      <c r="J1" s="19"/>
      <c r="K1" s="19"/>
    </row>
    <row r="2" spans="4:11" x14ac:dyDescent="0.2">
      <c r="H2" s="19"/>
      <c r="I2" s="19"/>
      <c r="J2" s="19"/>
      <c r="K2" s="19"/>
    </row>
    <row r="3" spans="4:11" x14ac:dyDescent="0.2">
      <c r="H3" s="20" t="s">
        <v>77</v>
      </c>
      <c r="I3" s="20"/>
      <c r="J3" s="20"/>
    </row>
    <row r="4" spans="4:11" x14ac:dyDescent="0.2">
      <c r="H4" s="20"/>
      <c r="I4" s="20"/>
      <c r="J4" s="20"/>
    </row>
    <row r="6" spans="4:11" x14ac:dyDescent="0.2">
      <c r="D6" s="17" t="s">
        <v>32</v>
      </c>
      <c r="E6" s="17"/>
      <c r="F6" s="3"/>
      <c r="G6" t="s">
        <v>34</v>
      </c>
    </row>
    <row r="7" spans="4:11" x14ac:dyDescent="0.2">
      <c r="D7" s="3" t="s">
        <v>36</v>
      </c>
      <c r="E7" s="3"/>
      <c r="F7" s="3"/>
    </row>
    <row r="8" spans="4:11" x14ac:dyDescent="0.2">
      <c r="D8" s="3" t="s">
        <v>23</v>
      </c>
      <c r="E8" s="3"/>
      <c r="F8" s="3"/>
    </row>
    <row r="9" spans="4:11" x14ac:dyDescent="0.2">
      <c r="D9" s="3" t="s">
        <v>22</v>
      </c>
      <c r="E9" s="3"/>
      <c r="F9" s="3"/>
    </row>
    <row r="12" spans="4:11" x14ac:dyDescent="0.2">
      <c r="D12" t="s">
        <v>30</v>
      </c>
      <c r="E12" t="s">
        <v>73</v>
      </c>
      <c r="F12" t="s">
        <v>42</v>
      </c>
      <c r="G12" t="s">
        <v>26</v>
      </c>
      <c r="H12" t="s">
        <v>20</v>
      </c>
      <c r="I12" t="s">
        <v>76</v>
      </c>
      <c r="J12" t="s">
        <v>79</v>
      </c>
      <c r="K12" t="s">
        <v>41</v>
      </c>
    </row>
    <row r="13" spans="4:11" x14ac:dyDescent="0.2">
      <c r="D13" t="s">
        <v>63</v>
      </c>
      <c r="E13">
        <v>100</v>
      </c>
      <c r="F13">
        <v>87</v>
      </c>
      <c r="G13" s="2">
        <f>טבלה19[[#This Row],[כמות ביצוע]]/טבלה19[[#This Row],[יעד/התקבל ]]</f>
        <v>0.87</v>
      </c>
      <c r="H13">
        <f>M34</f>
        <v>2.5</v>
      </c>
      <c r="I13">
        <f>טבלה19[[#This Row],[כמות ביצוע]]*טבלה19[[#This Row],[מדרגת בונוס ]]</f>
        <v>217.5</v>
      </c>
    </row>
    <row r="14" spans="4:11" x14ac:dyDescent="0.2">
      <c r="D14" t="s">
        <v>69</v>
      </c>
      <c r="E14">
        <v>30</v>
      </c>
      <c r="F14">
        <v>40</v>
      </c>
      <c r="G14" s="2">
        <f>טבלה19[[#This Row],[כמות ביצוע]]/טבלה19[[#This Row],[יעד/התקבל ]]</f>
        <v>1.3333333333333333</v>
      </c>
      <c r="H14">
        <f>M35</f>
        <v>60</v>
      </c>
      <c r="I14">
        <f>טבלה19[[#This Row],[כמות ביצוע]]*טבלה19[[#This Row],[מדרגת בונוס ]]</f>
        <v>2400</v>
      </c>
      <c r="J14">
        <f>IFERROR(VLOOKUP(G14, $M$40:$N$42, 2, TRUE), 0)</f>
        <v>250</v>
      </c>
    </row>
    <row r="15" spans="4:11" x14ac:dyDescent="0.2">
      <c r="D15" t="s">
        <v>70</v>
      </c>
      <c r="E15">
        <v>30</v>
      </c>
      <c r="F15">
        <v>20</v>
      </c>
      <c r="G15" s="2">
        <f>טבלה19[[#This Row],[כמות ביצוע]]/טבלה19[[#This Row],[יעד/התקבל ]]</f>
        <v>0.66666666666666663</v>
      </c>
      <c r="H15" s="18">
        <f>M37</f>
        <v>20</v>
      </c>
      <c r="I15">
        <f>טבלה19[[#This Row],[כמות ביצוע]]*טבלה19[[#This Row],[מדרגת בונוס ]]</f>
        <v>400</v>
      </c>
    </row>
    <row r="16" spans="4:11" x14ac:dyDescent="0.2">
      <c r="D16" t="s">
        <v>71</v>
      </c>
      <c r="E16">
        <v>30</v>
      </c>
      <c r="F16">
        <v>20</v>
      </c>
      <c r="G16" s="2">
        <f>טבלה19[[#This Row],[כמות ביצוע]]/טבלה19[[#This Row],[יעד/התקבל ]]</f>
        <v>0.66666666666666663</v>
      </c>
      <c r="H16" s="18">
        <f>M36</f>
        <v>45</v>
      </c>
      <c r="I16">
        <f>טבלה19[[#This Row],[כמות ביצוע]]*טבלה19[[#This Row],[מדרגת בונוס ]]</f>
        <v>900</v>
      </c>
    </row>
    <row r="17" spans="4:14" x14ac:dyDescent="0.2">
      <c r="D17" t="s">
        <v>54</v>
      </c>
      <c r="E17">
        <v>30</v>
      </c>
      <c r="F17">
        <v>20</v>
      </c>
      <c r="G17" s="2">
        <f>טבלה19[[#This Row],[כמות ביצוע]]/טבלה19[[#This Row],[יעד/התקבל ]]</f>
        <v>0.66666666666666663</v>
      </c>
      <c r="H17" s="18">
        <f>VLOOKUP(טבלה19[[#This Row],[אחוז עמידה ביעד ]], $L$21:$M$25, 2, TRUE)</f>
        <v>50</v>
      </c>
      <c r="I17">
        <f>טבלה19[[#This Row],[מדרגת בונוס ]]*טבלה19[[#This Row],[כמות ביצוע]]</f>
        <v>1000</v>
      </c>
    </row>
    <row r="18" spans="4:14" x14ac:dyDescent="0.2">
      <c r="D18" t="s">
        <v>72</v>
      </c>
      <c r="E18">
        <v>30</v>
      </c>
      <c r="F18">
        <v>16</v>
      </c>
      <c r="G18" s="2">
        <f>טבלה19[[#This Row],[כמות ביצוע]]/טבלה19[[#This Row],[יעד/התקבל ]]</f>
        <v>0.53333333333333333</v>
      </c>
      <c r="H18" s="18"/>
      <c r="J18">
        <f>IF(טבלה19[[#This Row],[אחוז עמידה ביעד ]]&gt;=M29, N29, 0)</f>
        <v>0</v>
      </c>
    </row>
    <row r="19" spans="4:14" x14ac:dyDescent="0.2">
      <c r="D19" t="s">
        <v>29</v>
      </c>
      <c r="E19">
        <v>30</v>
      </c>
      <c r="F19">
        <v>30</v>
      </c>
      <c r="G19" s="2">
        <f>טבלה19[[#This Row],[כמות ביצוע]]/טבלה19[[#This Row],[יעד/התקבל ]]</f>
        <v>1</v>
      </c>
      <c r="H19" s="18"/>
      <c r="J19">
        <f>IF(טבלה19[[#This Row],[אחוז עמידה ביעד ]]&gt;=M30, N30, 0)</f>
        <v>250</v>
      </c>
    </row>
    <row r="20" spans="4:14" ht="15" x14ac:dyDescent="0.25">
      <c r="D20" s="5" t="s">
        <v>31</v>
      </c>
      <c r="H20" s="18"/>
      <c r="I20" s="21">
        <f>SUM(I13:I18)</f>
        <v>4917.5</v>
      </c>
      <c r="J20" s="5">
        <f>SUM(J14:J19)</f>
        <v>500</v>
      </c>
    </row>
    <row r="21" spans="4:14" x14ac:dyDescent="0.2">
      <c r="L21" t="s">
        <v>21</v>
      </c>
      <c r="M21" t="s">
        <v>33</v>
      </c>
    </row>
    <row r="22" spans="4:14" ht="18.75" x14ac:dyDescent="0.3">
      <c r="F22" s="7" t="s">
        <v>50</v>
      </c>
      <c r="G22" s="8">
        <f>I20+J20</f>
        <v>5417.5</v>
      </c>
      <c r="L22" s="22">
        <v>0</v>
      </c>
      <c r="M22">
        <v>20</v>
      </c>
    </row>
    <row r="23" spans="4:14" x14ac:dyDescent="0.2">
      <c r="L23" s="22">
        <v>0.31</v>
      </c>
      <c r="M23">
        <v>40</v>
      </c>
    </row>
    <row r="24" spans="4:14" x14ac:dyDescent="0.2">
      <c r="L24" s="22">
        <v>0.61</v>
      </c>
      <c r="M24">
        <v>50</v>
      </c>
    </row>
    <row r="25" spans="4:14" x14ac:dyDescent="0.2">
      <c r="L25" s="22">
        <v>0.81</v>
      </c>
      <c r="M25">
        <v>70</v>
      </c>
    </row>
    <row r="28" spans="4:14" x14ac:dyDescent="0.2">
      <c r="L28" t="s">
        <v>67</v>
      </c>
      <c r="M28" t="s">
        <v>37</v>
      </c>
      <c r="N28" t="s">
        <v>38</v>
      </c>
    </row>
    <row r="29" spans="4:14" x14ac:dyDescent="0.2">
      <c r="L29" t="s">
        <v>66</v>
      </c>
      <c r="M29" s="22">
        <v>0.6</v>
      </c>
      <c r="N29">
        <v>250</v>
      </c>
    </row>
    <row r="30" spans="4:14" x14ac:dyDescent="0.2">
      <c r="L30" t="s">
        <v>65</v>
      </c>
      <c r="M30" s="22">
        <v>0.8</v>
      </c>
      <c r="N30">
        <v>250</v>
      </c>
    </row>
    <row r="33" spans="12:14" x14ac:dyDescent="0.2">
      <c r="L33" t="s">
        <v>51</v>
      </c>
      <c r="M33" t="s">
        <v>75</v>
      </c>
    </row>
    <row r="34" spans="12:14" x14ac:dyDescent="0.2">
      <c r="L34" t="s">
        <v>74</v>
      </c>
      <c r="M34">
        <v>2.5</v>
      </c>
    </row>
    <row r="35" spans="12:14" x14ac:dyDescent="0.2">
      <c r="L35" t="s">
        <v>69</v>
      </c>
      <c r="M35">
        <v>60</v>
      </c>
    </row>
    <row r="36" spans="12:14" x14ac:dyDescent="0.2">
      <c r="L36" t="s">
        <v>64</v>
      </c>
      <c r="M36">
        <v>45</v>
      </c>
    </row>
    <row r="37" spans="12:14" x14ac:dyDescent="0.2">
      <c r="L37" t="s">
        <v>70</v>
      </c>
      <c r="M37">
        <v>20</v>
      </c>
    </row>
    <row r="40" spans="12:14" x14ac:dyDescent="0.2">
      <c r="M40" t="s">
        <v>68</v>
      </c>
      <c r="N40" t="s">
        <v>30</v>
      </c>
    </row>
    <row r="41" spans="12:14" x14ac:dyDescent="0.2">
      <c r="M41" s="22">
        <v>0.85</v>
      </c>
      <c r="N41" s="22">
        <v>150</v>
      </c>
    </row>
    <row r="42" spans="12:14" x14ac:dyDescent="0.2">
      <c r="M42" s="22">
        <v>0.9</v>
      </c>
      <c r="N42" s="22">
        <v>250</v>
      </c>
    </row>
  </sheetData>
  <mergeCells count="2">
    <mergeCell ref="D6:E6"/>
    <mergeCell ref="H3:J4"/>
  </mergeCells>
  <pageMargins left="0.7" right="0.7" top="0.75" bottom="0.75" header="0.3" footer="0.3"/>
  <ignoredErrors>
    <ignoredError sqref="J19" calculatedColumn="1"/>
  </ignoredErrors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גיליון1</vt:lpstr>
      <vt:lpstr>נציגים </vt:lpstr>
      <vt:lpstr>נציג בכיר </vt:lpstr>
      <vt:lpstr>שירות בקרה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מתן גל</dc:creator>
  <cp:lastModifiedBy>Dvir Raz</cp:lastModifiedBy>
  <dcterms:created xsi:type="dcterms:W3CDTF">2025-05-27T07:07:26Z</dcterms:created>
  <dcterms:modified xsi:type="dcterms:W3CDTF">2025-05-28T12:33:03Z</dcterms:modified>
</cp:coreProperties>
</file>