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/>
  </bookViews>
  <sheets>
    <sheet name="Отчет" sheetId="2" r:id="rId1"/>
    <sheet name="МНК" sheetId="1" r:id="rId2"/>
    <sheet name="Лаб.Журнал" sheetId="6" r:id="rId3"/>
    <sheet name="погрешности" sheetId="7" r:id="rId4"/>
  </sheets>
  <calcPr calcId="125725"/>
</workbook>
</file>

<file path=xl/calcChain.xml><?xml version="1.0" encoding="utf-8"?>
<calcChain xmlns="http://schemas.openxmlformats.org/spreadsheetml/2006/main">
  <c r="R17" i="2"/>
  <c r="S17"/>
  <c r="T17"/>
  <c r="U17"/>
  <c r="V17"/>
  <c r="W17"/>
  <c r="X17"/>
  <c r="Q17"/>
  <c r="R16"/>
  <c r="S16"/>
  <c r="T16"/>
  <c r="U16"/>
  <c r="V16"/>
  <c r="W16"/>
  <c r="X16"/>
  <c r="R15"/>
  <c r="S15"/>
  <c r="T15"/>
  <c r="U15"/>
  <c r="V15"/>
  <c r="W15"/>
  <c r="X15"/>
  <c r="Q15"/>
  <c r="Q16" s="1"/>
  <c r="P17"/>
  <c r="P16"/>
  <c r="O16"/>
  <c r="U21"/>
  <c r="V21"/>
  <c r="W21"/>
  <c r="X21"/>
  <c r="Y21"/>
  <c r="T21"/>
  <c r="N21"/>
  <c r="O21"/>
  <c r="P21"/>
  <c r="Q21"/>
  <c r="R21"/>
  <c r="S21"/>
  <c r="M21"/>
  <c r="F21"/>
  <c r="G21"/>
  <c r="H21"/>
  <c r="I21"/>
  <c r="J21"/>
  <c r="K21"/>
  <c r="L21"/>
  <c r="E21"/>
  <c r="M32" i="7"/>
  <c r="E32"/>
  <c r="F32"/>
  <c r="G32"/>
  <c r="H32"/>
  <c r="I32"/>
  <c r="J32"/>
  <c r="K32"/>
  <c r="E22"/>
  <c r="F22"/>
  <c r="G22"/>
  <c r="H22"/>
  <c r="I22"/>
  <c r="J22"/>
  <c r="K22"/>
  <c r="D32"/>
  <c r="D22"/>
  <c r="D29"/>
  <c r="D30" s="1"/>
  <c r="E31" s="1"/>
  <c r="E29"/>
  <c r="E30" s="1"/>
  <c r="F29"/>
  <c r="F30" s="1"/>
  <c r="G29"/>
  <c r="G30" s="1"/>
  <c r="H29"/>
  <c r="H30" s="1"/>
  <c r="I31" s="1"/>
  <c r="I29"/>
  <c r="I30" s="1"/>
  <c r="J29"/>
  <c r="J30" s="1"/>
  <c r="K29"/>
  <c r="K30" s="1"/>
  <c r="C29"/>
  <c r="C30" s="1"/>
  <c r="D31" s="1"/>
  <c r="C28"/>
  <c r="D27"/>
  <c r="E27"/>
  <c r="F27"/>
  <c r="G27"/>
  <c r="H27"/>
  <c r="I27"/>
  <c r="J27"/>
  <c r="K27"/>
  <c r="C27"/>
  <c r="D26"/>
  <c r="E26"/>
  <c r="F26"/>
  <c r="G26"/>
  <c r="H26"/>
  <c r="I26"/>
  <c r="J26"/>
  <c r="K26"/>
  <c r="C26"/>
  <c r="D25"/>
  <c r="E25"/>
  <c r="F25"/>
  <c r="G25"/>
  <c r="H25"/>
  <c r="I25"/>
  <c r="J25"/>
  <c r="K25"/>
  <c r="C25"/>
  <c r="V20"/>
  <c r="J20"/>
  <c r="F20"/>
  <c r="A20"/>
  <c r="B15"/>
  <c r="N14"/>
  <c r="O15" s="1"/>
  <c r="K14"/>
  <c r="J14"/>
  <c r="G14"/>
  <c r="F14"/>
  <c r="C14"/>
  <c r="B14"/>
  <c r="N13"/>
  <c r="O12"/>
  <c r="N12"/>
  <c r="O9"/>
  <c r="O8"/>
  <c r="E8"/>
  <c r="K5"/>
  <c r="K15" s="1"/>
  <c r="J5"/>
  <c r="J15" s="1"/>
  <c r="I5"/>
  <c r="I15" s="1"/>
  <c r="H5"/>
  <c r="H15" s="1"/>
  <c r="G5"/>
  <c r="G15" s="1"/>
  <c r="F5"/>
  <c r="F15" s="1"/>
  <c r="E5"/>
  <c r="E15" s="1"/>
  <c r="D5"/>
  <c r="D15" s="1"/>
  <c r="C5"/>
  <c r="C15" s="1"/>
  <c r="C19" s="1"/>
  <c r="K4"/>
  <c r="R20" s="1"/>
  <c r="J4"/>
  <c r="W20" s="1"/>
  <c r="I4"/>
  <c r="P20" s="1"/>
  <c r="H4"/>
  <c r="U20" s="1"/>
  <c r="G4"/>
  <c r="N20" s="1"/>
  <c r="F4"/>
  <c r="S20" s="1"/>
  <c r="E4"/>
  <c r="L20" s="1"/>
  <c r="D4"/>
  <c r="E20" s="1"/>
  <c r="C4"/>
  <c r="C20" s="1"/>
  <c r="P14" i="2"/>
  <c r="O14"/>
  <c r="O15"/>
  <c r="E7"/>
  <c r="F7"/>
  <c r="G7"/>
  <c r="H7"/>
  <c r="I7"/>
  <c r="J7"/>
  <c r="K7"/>
  <c r="L7"/>
  <c r="D7"/>
  <c r="F10"/>
  <c r="D7" i="1"/>
  <c r="B7"/>
  <c r="B2"/>
  <c r="C2"/>
  <c r="D2"/>
  <c r="E2"/>
  <c r="F2"/>
  <c r="G2"/>
  <c r="H2"/>
  <c r="I2"/>
  <c r="J2"/>
  <c r="B22" i="2"/>
  <c r="L6"/>
  <c r="E6"/>
  <c r="F6"/>
  <c r="G6"/>
  <c r="H6"/>
  <c r="X22" s="1"/>
  <c r="I6"/>
  <c r="J6"/>
  <c r="K6"/>
  <c r="D6"/>
  <c r="Y22"/>
  <c r="K22"/>
  <c r="U22"/>
  <c r="V22"/>
  <c r="W22"/>
  <c r="T22"/>
  <c r="N22"/>
  <c r="P22"/>
  <c r="Q22"/>
  <c r="R22"/>
  <c r="S22"/>
  <c r="M22"/>
  <c r="L22"/>
  <c r="J22"/>
  <c r="F22"/>
  <c r="G22"/>
  <c r="E22"/>
  <c r="E17"/>
  <c r="C3" i="1" s="1"/>
  <c r="F17" i="2"/>
  <c r="D3" i="1" s="1"/>
  <c r="D5" s="1"/>
  <c r="G17" i="2"/>
  <c r="E3" i="1" s="1"/>
  <c r="H17" i="2"/>
  <c r="F3" i="1" s="1"/>
  <c r="F6" s="1"/>
  <c r="I17" i="2"/>
  <c r="G3" i="1" s="1"/>
  <c r="J17" i="2"/>
  <c r="H3" i="1" s="1"/>
  <c r="K17" i="2"/>
  <c r="I3" i="1" s="1"/>
  <c r="L17" i="2"/>
  <c r="J3" i="1" s="1"/>
  <c r="K16" i="2"/>
  <c r="L16"/>
  <c r="E16"/>
  <c r="F16"/>
  <c r="G16"/>
  <c r="H16"/>
  <c r="I16"/>
  <c r="J16"/>
  <c r="D22"/>
  <c r="D16"/>
  <c r="P10"/>
  <c r="C16"/>
  <c r="D17"/>
  <c r="D21" s="1"/>
  <c r="P11"/>
  <c r="C17"/>
  <c r="G4" i="1"/>
  <c r="H4"/>
  <c r="I4"/>
  <c r="J4"/>
  <c r="D4"/>
  <c r="C4"/>
  <c r="K31" i="7" l="1"/>
  <c r="G31"/>
  <c r="H31"/>
  <c r="J31"/>
  <c r="F31"/>
  <c r="L19"/>
  <c r="E19"/>
  <c r="P19"/>
  <c r="U19"/>
  <c r="D19"/>
  <c r="N19"/>
  <c r="G19"/>
  <c r="X19"/>
  <c r="R19"/>
  <c r="K19"/>
  <c r="M19"/>
  <c r="S19"/>
  <c r="W19"/>
  <c r="Q19"/>
  <c r="M20"/>
  <c r="E14"/>
  <c r="F19" s="1"/>
  <c r="I14"/>
  <c r="V19" s="1"/>
  <c r="O14"/>
  <c r="D20"/>
  <c r="H20"/>
  <c r="T20"/>
  <c r="X20"/>
  <c r="I20"/>
  <c r="D14"/>
  <c r="T19" s="1"/>
  <c r="H14"/>
  <c r="O19" s="1"/>
  <c r="G20"/>
  <c r="K20"/>
  <c r="O20"/>
  <c r="Q20"/>
  <c r="C5" i="1"/>
  <c r="C6"/>
  <c r="G5"/>
  <c r="G6"/>
  <c r="H5"/>
  <c r="H6"/>
  <c r="E5"/>
  <c r="E6"/>
  <c r="I5"/>
  <c r="I6"/>
  <c r="J6"/>
  <c r="J5"/>
  <c r="B3"/>
  <c r="H22" i="2"/>
  <c r="I22"/>
  <c r="O22"/>
  <c r="F5" i="1"/>
  <c r="E4"/>
  <c r="B4"/>
  <c r="F4"/>
  <c r="D6"/>
  <c r="J19" i="7" l="1"/>
  <c r="H19"/>
  <c r="I19"/>
  <c r="B5" i="1"/>
  <c r="D8" s="1"/>
  <c r="B8"/>
  <c r="B6"/>
  <c r="F7" s="1"/>
  <c r="B9" s="1"/>
  <c r="D9" l="1"/>
  <c r="F9" s="1"/>
  <c r="B11"/>
  <c r="D11" s="1"/>
  <c r="F11" s="1"/>
  <c r="B10"/>
  <c r="D10" l="1"/>
  <c r="F10" s="1"/>
</calcChain>
</file>

<file path=xl/sharedStrings.xml><?xml version="1.0" encoding="utf-8"?>
<sst xmlns="http://schemas.openxmlformats.org/spreadsheetml/2006/main" count="54" uniqueCount="39">
  <si>
    <t>x</t>
  </si>
  <si>
    <t>y</t>
  </si>
  <si>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</si>
  <si>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</si>
  <si>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</si>
  <si>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</si>
  <si>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</si>
  <si>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</si>
  <si>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</si>
  <si>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</si>
  <si>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</si>
  <si>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</si>
  <si>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</si>
  <si>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</si>
  <si>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</si>
  <si>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</si>
  <si>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</si>
  <si>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</si>
  <si>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</si>
  <si>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</si>
  <si>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(4.</t>
  </si>
  <si>
    <t>Фазовые равновесия</t>
  </si>
  <si>
    <t>Давление нас пара от температуры</t>
  </si>
  <si>
    <t>Р , мм рт ст</t>
  </si>
  <si>
    <t>Р вн</t>
  </si>
  <si>
    <t>h, м</t>
  </si>
  <si>
    <t>d(Hg)</t>
  </si>
  <si>
    <t>d()</t>
  </si>
  <si>
    <t>Проверка закона Клаузиуса</t>
  </si>
  <si>
    <t>ln(p)</t>
  </si>
  <si>
    <t>Теплота испарения</t>
  </si>
  <si>
    <t>1/Т*(-1)</t>
  </si>
  <si>
    <t>λ</t>
  </si>
  <si>
    <t>лямбда</t>
  </si>
  <si>
    <t>Т , К</t>
  </si>
  <si>
    <t>Const</t>
  </si>
  <si>
    <t>давления</t>
  </si>
  <si>
    <t>отн</t>
  </si>
  <si>
    <t>темп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</si>
</sst>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2" xfId="0" applyFill="1" applyBorder="1" applyAlignment="1">
      <alignment horizontal="right"/>
    </xf>
    <xf numFmtId="0" fontId="0" fillId="9" borderId="0" xfId="0" applyFill="1" applyBorder="1"/>
    <xf numFmtId="0" fontId="1" fillId="0" borderId="0" xfId="0" applyFont="1" applyFill="1" applyBorder="1"/>
    <xf numFmtId="0" fontId="0" fillId="2" borderId="0" xfId="0" applyFill="1" applyBorder="1"/>
    <xf numFmtId="0" fontId="0" fillId="6" borderId="0" xfId="0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ln(P) </a:t>
            </a:r>
            <a:r>
              <a:rPr lang="ru-RU"/>
              <a:t>от -1/</a:t>
            </a:r>
            <a:r>
              <a:rPr lang="en-US"/>
              <a:t>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</c:marker>
          <c:trendline>
            <c:trendlineType val="power"/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Отчет!$D$16:$L$16</c:f>
              <c:numCache>
                <c:formatCode>General</c:formatCode>
                <c:ptCount val="9"/>
                <c:pt idx="0">
                  <c:v>-3.340571237681644E-3</c:v>
                </c:pt>
                <c:pt idx="1">
                  <c:v>-3.298697014679202E-3</c:v>
                </c:pt>
                <c:pt idx="2">
                  <c:v>-3.2451728054518907E-3</c:v>
                </c:pt>
                <c:pt idx="3">
                  <c:v>-3.1933578157432542E-3</c:v>
                </c:pt>
                <c:pt idx="4">
                  <c:v>-3.1441597233139449E-3</c:v>
                </c:pt>
                <c:pt idx="5">
                  <c:v>-3.0954960532425324E-3</c:v>
                </c:pt>
                <c:pt idx="6">
                  <c:v>-3.0492453117853331E-3</c:v>
                </c:pt>
                <c:pt idx="7">
                  <c:v>-3.0179568432171424E-3</c:v>
                </c:pt>
                <c:pt idx="8">
                  <c:v>-2.9846291598268921E-3</c:v>
                </c:pt>
              </c:numCache>
            </c:numRef>
          </c:xVal>
          <c:yVal>
            <c:numRef>
              <c:f>Отчет!$D$17:$L$17</c:f>
              <c:numCache>
                <c:formatCode>General</c:formatCode>
                <c:ptCount val="9"/>
                <c:pt idx="0">
                  <c:v>3.5565265116259983</c:v>
                </c:pt>
                <c:pt idx="1">
                  <c:v>3.7961616608723663</c:v>
                </c:pt>
                <c:pt idx="2">
                  <c:v>4.0572321031156831</c:v>
                </c:pt>
                <c:pt idx="3">
                  <c:v>4.3410926027832346</c:v>
                </c:pt>
                <c:pt idx="4">
                  <c:v>4.6196836047478529</c:v>
                </c:pt>
                <c:pt idx="5">
                  <c:v>4.8814802384776534</c:v>
                </c:pt>
                <c:pt idx="6">
                  <c:v>5.1566142699314934</c:v>
                </c:pt>
                <c:pt idx="7">
                  <c:v>5.3453569795661249</c:v>
                </c:pt>
                <c:pt idx="8">
                  <c:v>5.5117635127930518</c:v>
                </c:pt>
              </c:numCache>
            </c:numRef>
          </c:yVal>
        </c:ser>
        <c:dLbls>
          <c:dLblPos val="l"/>
        </c:dLbls>
        <c:axId val="154785664"/>
        <c:axId val="154787200"/>
      </c:scatterChart>
      <c:valAx>
        <c:axId val="1547856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-1/Т,  К-1</a:t>
                </a:r>
              </a:p>
            </c:rich>
          </c:tx>
          <c:layout/>
        </c:title>
        <c:numFmt formatCode="General" sourceLinked="1"/>
        <c:tickLblPos val="nextTo"/>
        <c:crossAx val="154787200"/>
        <c:crosses val="autoZero"/>
        <c:crossBetween val="midCat"/>
      </c:valAx>
      <c:valAx>
        <c:axId val="154787200"/>
        <c:scaling>
          <c:orientation val="minMax"/>
          <c:min val="3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ln(P) </a:t>
                </a:r>
              </a:p>
            </c:rich>
          </c:tx>
          <c:layout/>
        </c:title>
        <c:numFmt formatCode="General" sourceLinked="1"/>
        <c:tickLblPos val="nextTo"/>
        <c:crossAx val="15478566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 теплоты испарения  </a:t>
            </a:r>
            <a:r>
              <a:rPr lang="el-GR"/>
              <a:t>λ</a:t>
            </a:r>
            <a:r>
              <a:rPr lang="ru-RU"/>
              <a:t>  от температуры  Т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Отчет!$B$21</c:f>
              <c:strCache>
                <c:ptCount val="1"/>
                <c:pt idx="0">
                  <c:v>λ</c:v>
                </c:pt>
              </c:strCache>
            </c:strRef>
          </c:tx>
          <c:spPr>
            <a:ln w="28575">
              <a:noFill/>
            </a:ln>
          </c:spPr>
          <c:xVal>
            <c:numRef>
              <c:f>Отчет!$E$22:$Y$22</c:f>
              <c:numCache>
                <c:formatCode>General</c:formatCode>
                <c:ptCount val="21"/>
                <c:pt idx="0">
                  <c:v>301.25</c:v>
                </c:pt>
                <c:pt idx="1">
                  <c:v>305.64999999999998</c:v>
                </c:pt>
                <c:pt idx="2">
                  <c:v>310.64999999999998</c:v>
                </c:pt>
                <c:pt idx="3">
                  <c:v>315.59999999999997</c:v>
                </c:pt>
                <c:pt idx="4">
                  <c:v>320.54999999999995</c:v>
                </c:pt>
                <c:pt idx="5">
                  <c:v>325.5</c:v>
                </c:pt>
                <c:pt idx="6">
                  <c:v>329.65</c:v>
                </c:pt>
                <c:pt idx="7">
                  <c:v>333.19999999999993</c:v>
                </c:pt>
                <c:pt idx="8">
                  <c:v>303.75</c:v>
                </c:pt>
                <c:pt idx="9">
                  <c:v>308.14999999999998</c:v>
                </c:pt>
                <c:pt idx="10">
                  <c:v>313.09999999999997</c:v>
                </c:pt>
                <c:pt idx="11">
                  <c:v>318.09999999999997</c:v>
                </c:pt>
                <c:pt idx="12">
                  <c:v>323</c:v>
                </c:pt>
                <c:pt idx="13">
                  <c:v>327.19999999999993</c:v>
                </c:pt>
                <c:pt idx="14">
                  <c:v>331.5</c:v>
                </c:pt>
                <c:pt idx="15">
                  <c:v>306.25</c:v>
                </c:pt>
                <c:pt idx="16">
                  <c:v>310.59999999999997</c:v>
                </c:pt>
                <c:pt idx="17">
                  <c:v>315.59999999999997</c:v>
                </c:pt>
                <c:pt idx="18">
                  <c:v>320.54999999999995</c:v>
                </c:pt>
                <c:pt idx="19">
                  <c:v>324.69999999999993</c:v>
                </c:pt>
                <c:pt idx="20">
                  <c:v>329.04999999999995</c:v>
                </c:pt>
              </c:numCache>
            </c:numRef>
          </c:xVal>
          <c:yVal>
            <c:numRef>
              <c:f>Отчет!$E$21:$Y$21</c:f>
              <c:numCache>
                <c:formatCode>General</c:formatCode>
                <c:ptCount val="21"/>
                <c:pt idx="0">
                  <c:v>-47.555941279703006</c:v>
                </c:pt>
                <c:pt idx="1">
                  <c:v>-40.532973889036953</c:v>
                </c:pt>
                <c:pt idx="2">
                  <c:v>-45.52506457111533</c:v>
                </c:pt>
                <c:pt idx="3">
                  <c:v>-47.056524186429321</c:v>
                </c:pt>
                <c:pt idx="4">
                  <c:v>-44.705424459398969</c:v>
                </c:pt>
                <c:pt idx="5">
                  <c:v>-49.434100499712507</c:v>
                </c:pt>
                <c:pt idx="6">
                  <c:v>-50.128753142566602</c:v>
                </c:pt>
                <c:pt idx="7">
                  <c:v>-41.492181587403671</c:v>
                </c:pt>
                <c:pt idx="8">
                  <c:v>-43.615637783841606</c:v>
                </c:pt>
                <c:pt idx="9">
                  <c:v>-42.988518737766569</c:v>
                </c:pt>
                <c:pt idx="10">
                  <c:v>-46.270956985358062</c:v>
                </c:pt>
                <c:pt idx="11">
                  <c:v>-45.887393991984382</c:v>
                </c:pt>
                <c:pt idx="12">
                  <c:v>-47.009655918595932</c:v>
                </c:pt>
                <c:pt idx="13">
                  <c:v>-49.714405359339452</c:v>
                </c:pt>
                <c:pt idx="14">
                  <c:v>-45.6741870063343</c:v>
                </c:pt>
                <c:pt idx="15">
                  <c:v>-44.287702382498843</c:v>
                </c:pt>
                <c:pt idx="16">
                  <c:v>-44.283598432111717</c:v>
                </c:pt>
                <c:pt idx="17">
                  <c:v>-45.761963055407108</c:v>
                </c:pt>
                <c:pt idx="18">
                  <c:v>-47.025656121975523</c:v>
                </c:pt>
                <c:pt idx="19">
                  <c:v>-47.782948694311365</c:v>
                </c:pt>
                <c:pt idx="20">
                  <c:v>-47.242723667966217</c:v>
                </c:pt>
              </c:numCache>
            </c:numRef>
          </c:yVal>
        </c:ser>
        <c:ser>
          <c:idx val="1"/>
          <c:order val="1"/>
          <c:tx>
            <c:v>средняя λ = -45,82</c:v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4"/>
          </c:marker>
          <c:xVal>
            <c:numLit>
              <c:formatCode>General</c:formatCode>
              <c:ptCount val="2"/>
              <c:pt idx="0">
                <c:v>300</c:v>
              </c:pt>
              <c:pt idx="1">
                <c:v>335</c:v>
              </c:pt>
            </c:numLit>
          </c:xVal>
          <c:yVal>
            <c:numRef>
              <c:f>(Отчет!$O$16,Отчет!$O$16)</c:f>
              <c:numCache>
                <c:formatCode>General</c:formatCode>
                <c:ptCount val="2"/>
                <c:pt idx="0">
                  <c:v>-45.820247611005954</c:v>
                </c:pt>
                <c:pt idx="1">
                  <c:v>-45.820247611005954</c:v>
                </c:pt>
              </c:numCache>
            </c:numRef>
          </c:yVal>
        </c:ser>
        <c:ser>
          <c:idx val="2"/>
          <c:order val="2"/>
          <c:tx>
            <c:v>наибольший разброс λ</c:v>
          </c:tx>
          <c:spPr>
            <a:ln w="15875">
              <a:solidFill>
                <a:schemeClr val="tx1"/>
              </a:solidFill>
              <a:prstDash val="lgDash"/>
              <a:round/>
            </a:ln>
          </c:spPr>
          <c:marker>
            <c:symbol val="none"/>
          </c:marker>
          <c:xVal>
            <c:numRef>
              <c:f>Отчет!$E$22:$L$22</c:f>
              <c:numCache>
                <c:formatCode>General</c:formatCode>
                <c:ptCount val="8"/>
                <c:pt idx="0">
                  <c:v>301.25</c:v>
                </c:pt>
                <c:pt idx="1">
                  <c:v>305.64999999999998</c:v>
                </c:pt>
                <c:pt idx="2">
                  <c:v>310.64999999999998</c:v>
                </c:pt>
                <c:pt idx="3">
                  <c:v>315.59999999999997</c:v>
                </c:pt>
                <c:pt idx="4">
                  <c:v>320.54999999999995</c:v>
                </c:pt>
                <c:pt idx="5">
                  <c:v>325.5</c:v>
                </c:pt>
                <c:pt idx="6">
                  <c:v>329.65</c:v>
                </c:pt>
                <c:pt idx="7">
                  <c:v>333.19999999999993</c:v>
                </c:pt>
              </c:numCache>
            </c:numRef>
          </c:xVal>
          <c:yVal>
            <c:numRef>
              <c:f>Отчет!$Q$16:$X$16</c:f>
              <c:numCache>
                <c:formatCode>General</c:formatCode>
                <c:ptCount val="8"/>
                <c:pt idx="0">
                  <c:v>-58.951301335877005</c:v>
                </c:pt>
                <c:pt idx="1">
                  <c:v>-54.616036665206977</c:v>
                </c:pt>
                <c:pt idx="2">
                  <c:v>-53.34784054380566</c:v>
                </c:pt>
                <c:pt idx="3">
                  <c:v>-52.275963057890387</c:v>
                </c:pt>
                <c:pt idx="4">
                  <c:v>-51.164100120753922</c:v>
                </c:pt>
                <c:pt idx="5">
                  <c:v>-50.442780763691871</c:v>
                </c:pt>
                <c:pt idx="6">
                  <c:v>-51.467895604686689</c:v>
                </c:pt>
                <c:pt idx="7">
                  <c:v>-50.580121918835353</c:v>
                </c:pt>
              </c:numCache>
            </c:numRef>
          </c:yVal>
          <c:smooth val="1"/>
        </c:ser>
        <c:ser>
          <c:idx val="3"/>
          <c:order val="3"/>
          <c:spPr>
            <a:ln w="95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Отчет!$E$22:$L$22</c:f>
              <c:numCache>
                <c:formatCode>General</c:formatCode>
                <c:ptCount val="8"/>
                <c:pt idx="0">
                  <c:v>301.25</c:v>
                </c:pt>
                <c:pt idx="1">
                  <c:v>305.64999999999998</c:v>
                </c:pt>
                <c:pt idx="2">
                  <c:v>310.64999999999998</c:v>
                </c:pt>
                <c:pt idx="3">
                  <c:v>315.59999999999997</c:v>
                </c:pt>
                <c:pt idx="4">
                  <c:v>320.54999999999995</c:v>
                </c:pt>
                <c:pt idx="5">
                  <c:v>325.5</c:v>
                </c:pt>
                <c:pt idx="6">
                  <c:v>329.65</c:v>
                </c:pt>
                <c:pt idx="7">
                  <c:v>333.19999999999993</c:v>
                </c:pt>
              </c:numCache>
            </c:numRef>
          </c:xVal>
          <c:yVal>
            <c:numRef>
              <c:f>Отчет!$Q$17:$X$17</c:f>
              <c:numCache>
                <c:formatCode>General</c:formatCode>
                <c:ptCount val="8"/>
                <c:pt idx="0">
                  <c:v>-33.341203542288866</c:v>
                </c:pt>
                <c:pt idx="1">
                  <c:v>-37.676468212958895</c:v>
                </c:pt>
                <c:pt idx="2">
                  <c:v>-38.944664334360212</c:v>
                </c:pt>
                <c:pt idx="3">
                  <c:v>-40.016541820275485</c:v>
                </c:pt>
                <c:pt idx="4">
                  <c:v>-41.12840475741195</c:v>
                </c:pt>
                <c:pt idx="5">
                  <c:v>-41.849724114474</c:v>
                </c:pt>
                <c:pt idx="6">
                  <c:v>-40.824609273479183</c:v>
                </c:pt>
                <c:pt idx="7">
                  <c:v>-41.712382959330519</c:v>
                </c:pt>
              </c:numCache>
            </c:numRef>
          </c:yVal>
          <c:smooth val="1"/>
        </c:ser>
        <c:axId val="154877312"/>
        <c:axId val="154887296"/>
      </c:scatterChart>
      <c:valAx>
        <c:axId val="1548773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Т, К</a:t>
                </a:r>
              </a:p>
            </c:rich>
          </c:tx>
          <c:layout>
            <c:manualLayout>
              <c:xMode val="edge"/>
              <c:yMode val="edge"/>
              <c:x val="0.76031932216180587"/>
              <c:y val="0.14534933725039054"/>
            </c:manualLayout>
          </c:layout>
        </c:title>
        <c:numFmt formatCode="General" sourceLinked="1"/>
        <c:tickLblPos val="nextTo"/>
        <c:crossAx val="154887296"/>
        <c:crosses val="autoZero"/>
        <c:crossBetween val="midCat"/>
      </c:valAx>
      <c:valAx>
        <c:axId val="15488729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λ, </a:t>
                </a:r>
                <a:r>
                  <a:rPr lang="ru-RU"/>
                  <a:t>кДж/моль</a:t>
                </a:r>
              </a:p>
            </c:rich>
          </c:tx>
          <c:layout/>
        </c:title>
        <c:numFmt formatCode="General" sourceLinked="1"/>
        <c:tickLblPos val="nextTo"/>
        <c:crossAx val="1548773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4552368842391703"/>
          <c:y val="0.461482386534525"/>
          <c:w val="0.22194175483466552"/>
          <c:h val="0.1795616454350836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 baseline="0"/>
              <a:t>Зависимость   от   </a:t>
            </a:r>
            <a:r>
              <a:rPr lang="ru-RU" baseline="0"/>
              <a:t> 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y = f (x)</c:v>
          </c:tx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МНК!$B$2:$P$2</c:f>
              <c:numCache>
                <c:formatCode>General</c:formatCode>
                <c:ptCount val="15"/>
                <c:pt idx="0">
                  <c:v>-3.340571237681644E-3</c:v>
                </c:pt>
                <c:pt idx="1">
                  <c:v>-3.298697014679202E-3</c:v>
                </c:pt>
                <c:pt idx="2">
                  <c:v>-3.2451728054518907E-3</c:v>
                </c:pt>
                <c:pt idx="3">
                  <c:v>-3.1933578157432542E-3</c:v>
                </c:pt>
                <c:pt idx="4">
                  <c:v>-3.1441597233139449E-3</c:v>
                </c:pt>
                <c:pt idx="5">
                  <c:v>-3.0954960532425324E-3</c:v>
                </c:pt>
                <c:pt idx="6">
                  <c:v>-3.0492453117853331E-3</c:v>
                </c:pt>
                <c:pt idx="7">
                  <c:v>-3.0179568432171424E-3</c:v>
                </c:pt>
                <c:pt idx="8">
                  <c:v>-2.9846291598268921E-3</c:v>
                </c:pt>
              </c:numCache>
            </c:numRef>
          </c:xVal>
          <c:yVal>
            <c:numRef>
              <c:f>МНК!$B$3:$P$3</c:f>
              <c:numCache>
                <c:formatCode>General</c:formatCode>
                <c:ptCount val="15"/>
                <c:pt idx="0">
                  <c:v>3.5565265116259983</c:v>
                </c:pt>
                <c:pt idx="1">
                  <c:v>3.7961616608723663</c:v>
                </c:pt>
                <c:pt idx="2">
                  <c:v>4.0572321031156831</c:v>
                </c:pt>
                <c:pt idx="3">
                  <c:v>4.3410926027832346</c:v>
                </c:pt>
                <c:pt idx="4">
                  <c:v>4.6196836047478529</c:v>
                </c:pt>
                <c:pt idx="5">
                  <c:v>4.8814802384776534</c:v>
                </c:pt>
                <c:pt idx="6">
                  <c:v>5.1566142699314934</c:v>
                </c:pt>
                <c:pt idx="7">
                  <c:v>5.3453569795661249</c:v>
                </c:pt>
                <c:pt idx="8">
                  <c:v>5.5117635127930518</c:v>
                </c:pt>
              </c:numCache>
            </c:numRef>
          </c:yVal>
          <c:smooth val="1"/>
        </c:ser>
        <c:axId val="155907584"/>
        <c:axId val="155909504"/>
      </c:scatterChart>
      <c:valAx>
        <c:axId val="155907584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layout/>
        </c:title>
        <c:numFmt formatCode="General" sourceLinked="1"/>
        <c:tickLblPos val="nextTo"/>
        <c:crossAx val="155909504"/>
        <c:crosses val="autoZero"/>
        <c:crossBetween val="midCat"/>
      </c:valAx>
      <c:valAx>
        <c:axId val="15590950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55907584"/>
        <c:crosses val="autoZero"/>
        <c:crossBetween val="midCat"/>
        <c:minorUnit val="0.2"/>
      </c:valAx>
    </c:plotArea>
    <c:legend>
      <c:legendPos val="r"/>
      <c:layout/>
    </c:legend>
    <c:plotVisOnly val="1"/>
  </c:chart>
  <c:spPr>
    <a:noFill/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555812</xdr:colOff>
      <xdr:row>23</xdr:row>
      <xdr:rowOff>89647</xdr:rowOff>
    </xdr:from>
    <xdr:to>
      <xdr:col>9</xdr:col>
      <xdr:colOff>439271</xdr:colOff>
      <xdr:row>44</xdr:row>
      <xdr:rowOff>134470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53788</xdr:colOff>
      <xdr:row>23</xdr:row>
      <xdr:rowOff>89647</xdr:rowOff>
    </xdr:from>
    <xdr:to>
      <xdr:col>22</xdr:col>
      <xdr:colOff>466165</xdr:colOff>
      <xdr:row>44</xdr:row>
      <xdr:rowOff>161365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26"/>
  <sheetViews>
    <sheetView tabSelected="1" topLeftCell="D17" zoomScale="85" zoomScaleNormal="85" workbookViewId="0">
      <selection activeCell="Q17" sqref="Q17:X17"/>
    </sheetView>
  </sheetViews>
  <sheetFormatPr defaultRowHeight="14.4"/>
  <cols>
    <col min="1" max="1" width="8.88671875" style="16"/>
    <col min="2" max="2" width="11.21875" style="13" customWidth="1"/>
    <col min="3" max="4" width="9" style="13" bestFit="1" customWidth="1"/>
    <col min="5" max="16384" width="8.88671875" style="13"/>
  </cols>
  <sheetData>
    <row r="2" spans="1:24" ht="24" customHeight="1">
      <c r="B2" s="26" t="s">
        <v>21</v>
      </c>
      <c r="C2" s="27"/>
      <c r="D2" s="27"/>
      <c r="E2" s="27"/>
      <c r="F2" s="27"/>
      <c r="G2" s="27"/>
      <c r="H2" s="28"/>
      <c r="I2" s="17" t="s">
        <v>20</v>
      </c>
      <c r="R2" s="14"/>
      <c r="S2" s="14"/>
      <c r="T2" s="14"/>
      <c r="U2" s="14"/>
      <c r="V2" s="14"/>
    </row>
    <row r="3" spans="1:24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4">
      <c r="A4" s="16">
        <v>1</v>
      </c>
      <c r="B4" s="29" t="s">
        <v>22</v>
      </c>
      <c r="C4" s="30"/>
      <c r="D4" s="30"/>
      <c r="E4" s="30"/>
      <c r="F4" s="30"/>
      <c r="G4" s="30"/>
    </row>
    <row r="5" spans="1:24">
      <c r="D5" s="13">
        <v>26.2</v>
      </c>
      <c r="E5" s="13">
        <v>30</v>
      </c>
      <c r="F5" s="13">
        <v>35</v>
      </c>
      <c r="G5" s="13">
        <v>40</v>
      </c>
      <c r="H5" s="13">
        <v>44.9</v>
      </c>
      <c r="I5" s="13">
        <v>49.9</v>
      </c>
      <c r="J5" s="13">
        <v>54.8</v>
      </c>
      <c r="K5" s="13">
        <v>58.2</v>
      </c>
      <c r="L5" s="13">
        <v>61.9</v>
      </c>
    </row>
    <row r="6" spans="1:24">
      <c r="B6" s="13" t="s">
        <v>34</v>
      </c>
      <c r="D6" s="13">
        <f>D5+273.15</f>
        <v>299.34999999999997</v>
      </c>
      <c r="E6" s="13">
        <f t="shared" ref="E6:K6" si="0">E5+273.15</f>
        <v>303.14999999999998</v>
      </c>
      <c r="F6" s="13">
        <f t="shared" si="0"/>
        <v>308.14999999999998</v>
      </c>
      <c r="G6" s="13">
        <f t="shared" si="0"/>
        <v>313.14999999999998</v>
      </c>
      <c r="H6" s="13">
        <f t="shared" si="0"/>
        <v>318.04999999999995</v>
      </c>
      <c r="I6" s="13">
        <f t="shared" si="0"/>
        <v>323.04999999999995</v>
      </c>
      <c r="J6" s="13">
        <f t="shared" si="0"/>
        <v>327.95</v>
      </c>
      <c r="K6" s="13">
        <f t="shared" si="0"/>
        <v>331.34999999999997</v>
      </c>
      <c r="L6" s="13">
        <f>L5+273.15</f>
        <v>335.04999999999995</v>
      </c>
      <c r="P6" s="13">
        <v>54.9</v>
      </c>
    </row>
    <row r="7" spans="1:24">
      <c r="B7" s="13" t="s">
        <v>23</v>
      </c>
      <c r="D7" s="13">
        <f>753.4*(397-D8)/397-$F$10</f>
        <v>35.041270067362589</v>
      </c>
      <c r="E7" s="13">
        <f t="shared" ref="E7:L7" si="1">753.4*(397-E8)/397-$F$10</f>
        <v>44.529935054768131</v>
      </c>
      <c r="F7" s="13">
        <f t="shared" si="1"/>
        <v>57.814066037135888</v>
      </c>
      <c r="G7" s="13">
        <f t="shared" si="1"/>
        <v>76.791396011946972</v>
      </c>
      <c r="H7" s="13">
        <f t="shared" si="1"/>
        <v>101.46192497920138</v>
      </c>
      <c r="I7" s="13">
        <f t="shared" si="1"/>
        <v>131.82565293889914</v>
      </c>
      <c r="J7" s="13">
        <f t="shared" si="1"/>
        <v>173.57577888348351</v>
      </c>
      <c r="K7" s="13">
        <f t="shared" si="1"/>
        <v>209.63270583562456</v>
      </c>
      <c r="L7" s="13">
        <f t="shared" si="1"/>
        <v>247.5873657852467</v>
      </c>
      <c r="P7" s="13">
        <v>292</v>
      </c>
    </row>
    <row r="8" spans="1:24">
      <c r="D8" s="13">
        <v>368</v>
      </c>
      <c r="E8" s="13">
        <v>363</v>
      </c>
      <c r="F8" s="13">
        <v>356</v>
      </c>
      <c r="G8" s="13">
        <v>346</v>
      </c>
      <c r="H8" s="13">
        <v>333</v>
      </c>
      <c r="I8" s="13">
        <v>317</v>
      </c>
      <c r="J8" s="13">
        <v>295</v>
      </c>
      <c r="K8" s="13">
        <v>276</v>
      </c>
      <c r="L8" s="13">
        <v>256</v>
      </c>
    </row>
    <row r="9" spans="1:24">
      <c r="B9" s="13" t="s">
        <v>24</v>
      </c>
      <c r="C9" s="20">
        <v>753.4</v>
      </c>
    </row>
    <row r="10" spans="1:24">
      <c r="B10" s="13" t="s">
        <v>25</v>
      </c>
      <c r="C10" s="20">
        <v>345</v>
      </c>
      <c r="E10" s="13" t="s">
        <v>35</v>
      </c>
      <c r="F10" s="13">
        <f>C10*C11/C12</f>
        <v>19.992986859589546</v>
      </c>
      <c r="P10" s="13">
        <f>-1/P6</f>
        <v>-1.8214936247723135E-2</v>
      </c>
    </row>
    <row r="11" spans="1:24">
      <c r="B11" s="13" t="s">
        <v>27</v>
      </c>
      <c r="C11" s="20">
        <v>0.78500000000000003</v>
      </c>
      <c r="P11" s="13">
        <f>LN(P7)</f>
        <v>5.6767538022682817</v>
      </c>
    </row>
    <row r="12" spans="1:24">
      <c r="B12" s="13" t="s">
        <v>26</v>
      </c>
      <c r="C12" s="20">
        <v>13.545999999999999</v>
      </c>
    </row>
    <row r="14" spans="1:24">
      <c r="A14" s="16">
        <v>2</v>
      </c>
      <c r="B14" s="31" t="s">
        <v>28</v>
      </c>
      <c r="C14" s="32"/>
      <c r="D14" s="32"/>
      <c r="E14" s="32"/>
      <c r="F14" s="32"/>
      <c r="G14" s="32"/>
      <c r="O14" s="1" t="e">
        <f>M14/K14*100</f>
        <v>#DIV/0!</v>
      </c>
      <c r="P14" s="13">
        <f>МНК!$F$9</f>
        <v>0.71148639536962999</v>
      </c>
    </row>
    <row r="15" spans="1:24">
      <c r="O15" s="13">
        <f>МНК!$B$9</f>
        <v>5513.8685452474065</v>
      </c>
      <c r="Q15" s="13">
        <f>погрешности!D32/1000</f>
        <v>12.805048896794068</v>
      </c>
      <c r="R15" s="13">
        <f>погрешности!E32/1000</f>
        <v>8.4697842261240375</v>
      </c>
      <c r="S15" s="13">
        <f>погрешности!F32/1000</f>
        <v>7.2015881047227266</v>
      </c>
      <c r="T15" s="13">
        <f>погрешности!G32/1000</f>
        <v>6.1297106188074491</v>
      </c>
      <c r="U15" s="13">
        <f>погрешности!H32/1000</f>
        <v>5.0178476816709843</v>
      </c>
      <c r="V15" s="13">
        <f>погрешности!I32/1000</f>
        <v>4.2965283246089347</v>
      </c>
      <c r="W15" s="13">
        <f>погрешности!J32/1000</f>
        <v>5.3216431656037546</v>
      </c>
      <c r="X15" s="13">
        <f>погрешности!K32/1000</f>
        <v>4.4338694797524143</v>
      </c>
    </row>
    <row r="16" spans="1:24">
      <c r="B16" s="13" t="s">
        <v>31</v>
      </c>
      <c r="C16" s="13" t="e">
        <f>-1/C6</f>
        <v>#DIV/0!</v>
      </c>
      <c r="D16" s="13">
        <f t="shared" ref="D16:L16" si="2">-1/D6</f>
        <v>-3.340571237681644E-3</v>
      </c>
      <c r="E16" s="13">
        <f t="shared" si="2"/>
        <v>-3.298697014679202E-3</v>
      </c>
      <c r="F16" s="13">
        <f t="shared" si="2"/>
        <v>-3.2451728054518907E-3</v>
      </c>
      <c r="G16" s="13">
        <f t="shared" si="2"/>
        <v>-3.1933578157432542E-3</v>
      </c>
      <c r="H16" s="13">
        <f t="shared" si="2"/>
        <v>-3.1441597233139449E-3</v>
      </c>
      <c r="I16" s="13">
        <f t="shared" si="2"/>
        <v>-3.0954960532425324E-3</v>
      </c>
      <c r="J16" s="13">
        <f t="shared" si="2"/>
        <v>-3.0492453117853331E-3</v>
      </c>
      <c r="K16" s="13">
        <f t="shared" si="2"/>
        <v>-3.0179568432171424E-3</v>
      </c>
      <c r="L16" s="13">
        <f t="shared" si="2"/>
        <v>-2.9846291598268921E-3</v>
      </c>
      <c r="N16" s="13" t="s">
        <v>33</v>
      </c>
      <c r="O16" s="13">
        <f>-O15*8.31/1000</f>
        <v>-45.820247611005954</v>
      </c>
      <c r="P16" s="22">
        <f>$O$16*(100 +  $P$14)/100</f>
        <v>-46.146252439082936</v>
      </c>
      <c r="Q16" s="22">
        <f>($O$16*(100 +  $P$14)/100-Q15)</f>
        <v>-58.951301335877005</v>
      </c>
      <c r="R16" s="22">
        <f t="shared" ref="R16:X17" si="3">($O$16*(100 +  $P$14)/100-R15)</f>
        <v>-54.616036665206977</v>
      </c>
      <c r="S16" s="22">
        <f t="shared" si="3"/>
        <v>-53.34784054380566</v>
      </c>
      <c r="T16" s="22">
        <f t="shared" si="3"/>
        <v>-52.275963057890387</v>
      </c>
      <c r="U16" s="22">
        <f t="shared" si="3"/>
        <v>-51.164100120753922</v>
      </c>
      <c r="V16" s="22">
        <f t="shared" si="3"/>
        <v>-50.442780763691871</v>
      </c>
      <c r="W16" s="22">
        <f t="shared" si="3"/>
        <v>-51.467895604686689</v>
      </c>
      <c r="X16" s="22">
        <f t="shared" si="3"/>
        <v>-50.580121918835353</v>
      </c>
    </row>
    <row r="17" spans="2:25">
      <c r="B17" s="13" t="s">
        <v>29</v>
      </c>
      <c r="C17" s="13" t="e">
        <f>LN(C7)</f>
        <v>#NUM!</v>
      </c>
      <c r="D17" s="13">
        <f t="shared" ref="D17:L17" si="4">LN(D7)</f>
        <v>3.5565265116259983</v>
      </c>
      <c r="E17" s="13">
        <f t="shared" si="4"/>
        <v>3.7961616608723663</v>
      </c>
      <c r="F17" s="13">
        <f t="shared" si="4"/>
        <v>4.0572321031156831</v>
      </c>
      <c r="G17" s="13">
        <f t="shared" si="4"/>
        <v>4.3410926027832346</v>
      </c>
      <c r="H17" s="13">
        <f t="shared" si="4"/>
        <v>4.6196836047478529</v>
      </c>
      <c r="I17" s="13">
        <f t="shared" si="4"/>
        <v>4.8814802384776534</v>
      </c>
      <c r="J17" s="13">
        <f t="shared" si="4"/>
        <v>5.1566142699314934</v>
      </c>
      <c r="K17" s="13">
        <f t="shared" si="4"/>
        <v>5.3453569795661249</v>
      </c>
      <c r="L17" s="13">
        <f t="shared" si="4"/>
        <v>5.5117635127930518</v>
      </c>
      <c r="P17" s="22">
        <f>O16*(100 -  P14)/100</f>
        <v>-45.494242782928971</v>
      </c>
      <c r="Q17" s="22">
        <f>($O$16*(100 +  $P$14)/100+Q15)</f>
        <v>-33.341203542288866</v>
      </c>
      <c r="R17" s="22">
        <f t="shared" ref="R17:X17" si="5">($O$16*(100 +  $P$14)/100+R15)</f>
        <v>-37.676468212958895</v>
      </c>
      <c r="S17" s="22">
        <f t="shared" si="5"/>
        <v>-38.944664334360212</v>
      </c>
      <c r="T17" s="22">
        <f t="shared" si="5"/>
        <v>-40.016541820275485</v>
      </c>
      <c r="U17" s="22">
        <f t="shared" si="5"/>
        <v>-41.12840475741195</v>
      </c>
      <c r="V17" s="22">
        <f t="shared" si="5"/>
        <v>-41.849724114474</v>
      </c>
      <c r="W17" s="22">
        <f t="shared" si="5"/>
        <v>-40.824609273479183</v>
      </c>
      <c r="X17" s="22">
        <f t="shared" si="5"/>
        <v>-41.712382959330519</v>
      </c>
    </row>
    <row r="19" spans="2:25">
      <c r="B19" s="31" t="s">
        <v>30</v>
      </c>
      <c r="C19" s="32"/>
      <c r="D19" s="32"/>
      <c r="E19" s="32"/>
      <c r="F19" s="32"/>
      <c r="G19" s="32"/>
    </row>
    <row r="21" spans="2:25">
      <c r="B21" s="21" t="s">
        <v>32</v>
      </c>
      <c r="D21" s="13" t="e">
        <f>(D17-C17)*8.31/(D16-C16)</f>
        <v>#NUM!</v>
      </c>
      <c r="E21" s="13">
        <f>-(E17-D17)*8.31/(E16-D16)/1000</f>
        <v>-47.555941279703006</v>
      </c>
      <c r="F21" s="13">
        <f t="shared" ref="F21:L21" si="6">-(F17-E17)*8.31/(F16-E16)/1000</f>
        <v>-40.532973889036953</v>
      </c>
      <c r="G21" s="13">
        <f t="shared" si="6"/>
        <v>-45.52506457111533</v>
      </c>
      <c r="H21" s="13">
        <f t="shared" si="6"/>
        <v>-47.056524186429321</v>
      </c>
      <c r="I21" s="13">
        <f t="shared" si="6"/>
        <v>-44.705424459398969</v>
      </c>
      <c r="J21" s="13">
        <f t="shared" si="6"/>
        <v>-49.434100499712507</v>
      </c>
      <c r="K21" s="13">
        <f t="shared" si="6"/>
        <v>-50.128753142566602</v>
      </c>
      <c r="L21" s="13">
        <f t="shared" si="6"/>
        <v>-41.492181587403671</v>
      </c>
      <c r="M21" s="22">
        <f>-(F17-D17)*8.31/(F16-D16)/1000</f>
        <v>-43.615637783841606</v>
      </c>
      <c r="N21" s="22">
        <f t="shared" ref="N21:S21" si="7">-(G17-E17)*8.31/(G16-E16)/1000</f>
        <v>-42.988518737766569</v>
      </c>
      <c r="O21" s="22">
        <f t="shared" si="7"/>
        <v>-46.270956985358062</v>
      </c>
      <c r="P21" s="22">
        <f t="shared" si="7"/>
        <v>-45.887393991984382</v>
      </c>
      <c r="Q21" s="22">
        <f t="shared" si="7"/>
        <v>-47.009655918595932</v>
      </c>
      <c r="R21" s="22">
        <f t="shared" si="7"/>
        <v>-49.714405359339452</v>
      </c>
      <c r="S21" s="22">
        <f t="shared" si="7"/>
        <v>-45.6741870063343</v>
      </c>
      <c r="T21" s="23">
        <f>-(G17-D17)*8.31/(G16-D16)/1000</f>
        <v>-44.287702382498843</v>
      </c>
      <c r="U21" s="23">
        <f t="shared" ref="U21:Y21" si="8">-(H17-E17)*8.31/(H16-E16)/1000</f>
        <v>-44.283598432111717</v>
      </c>
      <c r="V21" s="23">
        <f t="shared" si="8"/>
        <v>-45.761963055407108</v>
      </c>
      <c r="W21" s="23">
        <f t="shared" si="8"/>
        <v>-47.025656121975523</v>
      </c>
      <c r="X21" s="23">
        <f t="shared" si="8"/>
        <v>-47.782948694311365</v>
      </c>
      <c r="Y21" s="23">
        <f t="shared" si="8"/>
        <v>-47.242723667966217</v>
      </c>
    </row>
    <row r="22" spans="2:25">
      <c r="B22" s="13" t="str">
        <f>B6</f>
        <v>Т , К</v>
      </c>
      <c r="D22" s="13">
        <f>D6</f>
        <v>299.34999999999997</v>
      </c>
      <c r="E22" s="13">
        <f>AVERAGE(E6,D6)</f>
        <v>301.25</v>
      </c>
      <c r="F22" s="13">
        <f>AVERAGE(F6,E6)</f>
        <v>305.64999999999998</v>
      </c>
      <c r="G22" s="13">
        <f t="shared" ref="G22:L22" si="9">AVERAGE(G6,F6)</f>
        <v>310.64999999999998</v>
      </c>
      <c r="H22" s="13">
        <f t="shared" si="9"/>
        <v>315.59999999999997</v>
      </c>
      <c r="I22" s="13">
        <f t="shared" si="9"/>
        <v>320.54999999999995</v>
      </c>
      <c r="J22" s="13">
        <f t="shared" si="9"/>
        <v>325.5</v>
      </c>
      <c r="K22" s="24">
        <f>AVERAGE(K6,J6)</f>
        <v>329.65</v>
      </c>
      <c r="L22" s="13">
        <f t="shared" si="9"/>
        <v>333.19999999999993</v>
      </c>
      <c r="M22" s="22">
        <f>AVERAGE(F6,D6)</f>
        <v>303.75</v>
      </c>
      <c r="N22" s="22">
        <f t="shared" ref="N22:S22" si="10">AVERAGE(G6,E6)</f>
        <v>308.14999999999998</v>
      </c>
      <c r="O22" s="22">
        <f t="shared" si="10"/>
        <v>313.09999999999997</v>
      </c>
      <c r="P22" s="22">
        <f t="shared" si="10"/>
        <v>318.09999999999997</v>
      </c>
      <c r="Q22" s="22">
        <f t="shared" si="10"/>
        <v>323</v>
      </c>
      <c r="R22" s="22">
        <f t="shared" si="10"/>
        <v>327.19999999999993</v>
      </c>
      <c r="S22" s="22">
        <f t="shared" si="10"/>
        <v>331.5</v>
      </c>
      <c r="T22" s="23">
        <f>AVERAGE(G6,D6)</f>
        <v>306.25</v>
      </c>
      <c r="U22" s="23">
        <f t="shared" ref="U22:X22" si="11">AVERAGE(H6,E6)</f>
        <v>310.59999999999997</v>
      </c>
      <c r="V22" s="23">
        <f t="shared" si="11"/>
        <v>315.59999999999997</v>
      </c>
      <c r="W22" s="23">
        <f t="shared" si="11"/>
        <v>320.54999999999995</v>
      </c>
      <c r="X22" s="23">
        <f t="shared" si="11"/>
        <v>324.69999999999993</v>
      </c>
      <c r="Y22" s="25">
        <f>AVERAGE(L6,I6)</f>
        <v>329.04999999999995</v>
      </c>
    </row>
    <row r="25" spans="2:25">
      <c r="C25" s="15"/>
    </row>
    <row r="26" spans="2:25">
      <c r="C26" s="15"/>
    </row>
  </sheetData>
  <mergeCells count="4">
    <mergeCell ref="B2:H2"/>
    <mergeCell ref="B4:G4"/>
    <mergeCell ref="B14:G14"/>
    <mergeCell ref="B19:G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"/>
  <sheetViews>
    <sheetView zoomScale="90" zoomScaleNormal="90" workbookViewId="0">
      <selection activeCell="F9" sqref="F9"/>
    </sheetView>
  </sheetViews>
  <sheetFormatPr defaultColWidth="9" defaultRowHeight="14.4"/>
  <cols>
    <col min="4" max="4" width="13.109375" bestFit="1" customWidth="1"/>
  </cols>
  <sheetData>
    <row r="1" spans="1:21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</row>
    <row r="2" spans="1:21">
      <c r="A2" s="1" t="s">
        <v>0</v>
      </c>
      <c r="B2" s="1">
        <f>Отчет!D16</f>
        <v>-3.340571237681644E-3</v>
      </c>
      <c r="C2" s="1">
        <f>Отчет!E16</f>
        <v>-3.298697014679202E-3</v>
      </c>
      <c r="D2" s="1">
        <f>Отчет!F16</f>
        <v>-3.2451728054518907E-3</v>
      </c>
      <c r="E2" s="1">
        <f>Отчет!G16</f>
        <v>-3.1933578157432542E-3</v>
      </c>
      <c r="F2" s="1">
        <f>Отчет!H16</f>
        <v>-3.1441597233139449E-3</v>
      </c>
      <c r="G2" s="1">
        <f>Отчет!I16</f>
        <v>-3.0954960532425324E-3</v>
      </c>
      <c r="H2" s="1">
        <f>Отчет!J16</f>
        <v>-3.0492453117853331E-3</v>
      </c>
      <c r="I2" s="1">
        <f>Отчет!K16</f>
        <v>-3.0179568432171424E-3</v>
      </c>
      <c r="J2" s="1">
        <f>Отчет!L16</f>
        <v>-2.9846291598268921E-3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 t="s">
        <v>1</v>
      </c>
      <c r="B3" s="1">
        <f>Отчет!D17</f>
        <v>3.5565265116259983</v>
      </c>
      <c r="C3" s="1">
        <f>Отчет!E17</f>
        <v>3.7961616608723663</v>
      </c>
      <c r="D3" s="1">
        <f>Отчет!F17</f>
        <v>4.0572321031156831</v>
      </c>
      <c r="E3" s="1">
        <f>Отчет!G17</f>
        <v>4.3410926027832346</v>
      </c>
      <c r="F3" s="1">
        <f>Отчет!H17</f>
        <v>4.6196836047478529</v>
      </c>
      <c r="G3" s="1">
        <f>Отчет!I17</f>
        <v>4.8814802384776534</v>
      </c>
      <c r="H3" s="1">
        <f>Отчет!J17</f>
        <v>5.1566142699314934</v>
      </c>
      <c r="I3" s="1">
        <f>Отчет!K17</f>
        <v>5.3453569795661249</v>
      </c>
      <c r="J3" s="1">
        <f>Отчет!L17</f>
        <v>5.5117635127930518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 t="s">
        <v>7</v>
      </c>
      <c r="B4" s="3">
        <f>B2*B2</f>
        <v>1.115941619402587E-5</v>
      </c>
      <c r="C4" s="3">
        <f t="shared" ref="C4:G5" si="0">C2*C2</f>
        <v>1.088140199465348E-5</v>
      </c>
      <c r="D4" s="3">
        <f t="shared" si="0"/>
        <v>1.0531146537244495E-5</v>
      </c>
      <c r="E4" s="3">
        <f t="shared" si="0"/>
        <v>1.0197534139368528E-5</v>
      </c>
      <c r="F4" s="3">
        <f t="shared" si="0"/>
        <v>9.8857403657096229E-6</v>
      </c>
      <c r="G4" s="3">
        <f t="shared" si="0"/>
        <v>9.5820958156400959E-6</v>
      </c>
      <c r="H4" s="3">
        <f t="shared" ref="H4:L4" si="1">H2*H2</f>
        <v>9.2978969714448334E-6</v>
      </c>
      <c r="I4" s="3">
        <f t="shared" si="1"/>
        <v>9.1080635075211802E-6</v>
      </c>
      <c r="J4" s="3">
        <f t="shared" si="1"/>
        <v>8.90801122168898E-6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1" t="s">
        <v>8</v>
      </c>
      <c r="B5" s="3">
        <f>B3*B3</f>
        <v>12.648880827898592</v>
      </c>
      <c r="C5" s="3">
        <f t="shared" si="0"/>
        <v>14.410843355477242</v>
      </c>
      <c r="D5" s="3">
        <f t="shared" si="0"/>
        <v>16.46113233855251</v>
      </c>
      <c r="E5" s="3">
        <f t="shared" si="0"/>
        <v>18.845084985939319</v>
      </c>
      <c r="F5" s="3">
        <f t="shared" si="0"/>
        <v>21.341476607976116</v>
      </c>
      <c r="G5" s="3">
        <f t="shared" si="0"/>
        <v>23.828849318647848</v>
      </c>
      <c r="H5" s="3">
        <f t="shared" ref="H5:L5" si="2">H3*H3</f>
        <v>26.590670728861109</v>
      </c>
      <c r="I5" s="3">
        <f t="shared" si="2"/>
        <v>28.572841238996286</v>
      </c>
      <c r="J5" s="3">
        <f t="shared" si="2"/>
        <v>30.379537020956803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1" t="s">
        <v>9</v>
      </c>
      <c r="B6" s="5">
        <f>B2*B3</f>
        <v>-1.188083017079004E-2</v>
      </c>
      <c r="C6" s="5">
        <f t="shared" ref="C6:G6" si="3">C2*C3</f>
        <v>-1.2522387137959315E-2</v>
      </c>
      <c r="D6" s="5">
        <f t="shared" si="3"/>
        <v>-1.3166419286437395E-2</v>
      </c>
      <c r="E6" s="5">
        <f t="shared" si="3"/>
        <v>-1.3862661991963067E-2</v>
      </c>
      <c r="F6" s="5">
        <f t="shared" si="3"/>
        <v>-1.4525023124501976E-2</v>
      </c>
      <c r="G6" s="5">
        <f t="shared" si="3"/>
        <v>-1.5110602812188992E-2</v>
      </c>
      <c r="H6" s="5">
        <f t="shared" ref="H6:L6" si="4">H2*H3</f>
        <v>-1.5723781887273955E-2</v>
      </c>
      <c r="I6" s="5">
        <f t="shared" si="4"/>
        <v>-1.61320566759201E-2</v>
      </c>
      <c r="J6" s="5">
        <f t="shared" si="4"/>
        <v>-1.6450570102352045E-2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" t="s">
        <v>2</v>
      </c>
      <c r="B7" s="6">
        <f>AVERAGE(B2:J2)</f>
        <v>-3.1521428849935365E-3</v>
      </c>
      <c r="C7" s="1" t="s">
        <v>4</v>
      </c>
      <c r="D7" s="4">
        <f>AVERAGE(B4:J4)</f>
        <v>9.9501451941441202E-6</v>
      </c>
      <c r="E7" s="1" t="s">
        <v>6</v>
      </c>
      <c r="F7" s="7">
        <f>AVERAGE(B6:J6)</f>
        <v>-1.4374925909931878E-2</v>
      </c>
    </row>
    <row r="8" spans="1:21">
      <c r="A8" s="1" t="s">
        <v>3</v>
      </c>
      <c r="B8" s="6">
        <f>AVERAGE(B3:J3)</f>
        <v>4.5851012759903851</v>
      </c>
      <c r="C8" s="1" t="s">
        <v>5</v>
      </c>
      <c r="D8" s="4">
        <f>AVERAGE(B5:J5)</f>
        <v>21.453257380367315</v>
      </c>
      <c r="E8" s="1" t="s">
        <v>11</v>
      </c>
      <c r="F8" s="8">
        <v>9</v>
      </c>
    </row>
    <row r="9" spans="1:21">
      <c r="A9" s="1" t="s">
        <v>19</v>
      </c>
      <c r="B9" s="9">
        <f>(F7-B7*B8)/(D7-B7*B7)</f>
        <v>5513.8685452474065</v>
      </c>
      <c r="C9" s="1" t="s">
        <v>13</v>
      </c>
      <c r="D9" s="9">
        <f>SQRT(((D8-B8*B8)/(D7-B7*B7)-B9*B9)/F8)</f>
        <v>39.230424558000628</v>
      </c>
      <c r="E9" s="12" t="s">
        <v>16</v>
      </c>
      <c r="F9" s="1">
        <f>D9/B9*100</f>
        <v>0.71148639536962999</v>
      </c>
    </row>
    <row r="10" spans="1:21">
      <c r="A10" s="1" t="s">
        <v>10</v>
      </c>
      <c r="B10" s="10">
        <f>B8-B9*B7</f>
        <v>21.96560277968166</v>
      </c>
      <c r="C10" s="1" t="s">
        <v>14</v>
      </c>
      <c r="D10" s="10">
        <f>(SQRT(D7-B7*B7))*D9</f>
        <v>4.6650281210595355E-3</v>
      </c>
      <c r="E10" s="12" t="s">
        <v>17</v>
      </c>
      <c r="F10" s="1">
        <f t="shared" ref="F10:F11" si="5">D10/B10*100</f>
        <v>2.1237878913911344E-2</v>
      </c>
    </row>
    <row r="11" spans="1:21">
      <c r="A11" s="1" t="s">
        <v>12</v>
      </c>
      <c r="B11" s="2">
        <f>F7/D7</f>
        <v>-1444.6950903180627</v>
      </c>
      <c r="C11" s="1" t="s">
        <v>15</v>
      </c>
      <c r="D11" s="2">
        <f>SQRT((D8/D7-B11*B11)/F8)</f>
        <v>87.515651387262636</v>
      </c>
      <c r="E11" s="12" t="s">
        <v>18</v>
      </c>
      <c r="F11" s="1">
        <f t="shared" si="5"/>
        <v>-6.0577247042485123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4"/>
  <sheetViews>
    <sheetView workbookViewId="0">
      <selection activeCell="C6" sqref="C6"/>
    </sheetView>
  </sheetViews>
  <sheetFormatPr defaultColWidth="11.5546875" defaultRowHeight="14.4"/>
  <cols>
    <col min="1" max="1" width="8.77734375" style="19" customWidth="1"/>
  </cols>
  <sheetData>
    <row r="2" spans="1:8" ht="24" customHeight="1">
      <c r="B2" s="34"/>
      <c r="C2" s="34"/>
      <c r="D2" s="34"/>
      <c r="E2" s="34"/>
      <c r="F2" s="34"/>
      <c r="G2" s="35"/>
      <c r="H2" s="18" t="s">
        <v>20</v>
      </c>
    </row>
    <row r="4" spans="1:8">
      <c r="A4" s="19">
        <v>1</v>
      </c>
      <c r="B4" s="33"/>
      <c r="C4" s="33"/>
      <c r="D4" s="33"/>
      <c r="E4" s="33"/>
    </row>
  </sheetData>
  <mergeCells count="2">
    <mergeCell ref="B4:E4"/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X32"/>
  <sheetViews>
    <sheetView topLeftCell="A8" zoomScale="90" zoomScaleNormal="90" workbookViewId="0">
      <selection activeCell="D32" sqref="D32:K32"/>
    </sheetView>
  </sheetViews>
  <sheetFormatPr defaultRowHeight="14.4"/>
  <sheetData>
    <row r="2" spans="1:24">
      <c r="A2" s="29" t="s">
        <v>22</v>
      </c>
      <c r="B2" s="30"/>
      <c r="C2" s="30"/>
      <c r="D2" s="30"/>
      <c r="E2" s="30"/>
      <c r="F2" s="30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>
      <c r="A3" s="13"/>
      <c r="B3" s="13"/>
      <c r="C3" s="13">
        <v>26.2</v>
      </c>
      <c r="D3" s="13">
        <v>30</v>
      </c>
      <c r="E3" s="13">
        <v>35</v>
      </c>
      <c r="F3" s="13">
        <v>40</v>
      </c>
      <c r="G3" s="13">
        <v>44.9</v>
      </c>
      <c r="H3" s="13">
        <v>49.9</v>
      </c>
      <c r="I3" s="13">
        <v>54.8</v>
      </c>
      <c r="J3" s="13">
        <v>58.2</v>
      </c>
      <c r="K3" s="13">
        <v>61.9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>
      <c r="A4" s="13" t="s">
        <v>34</v>
      </c>
      <c r="B4" s="13"/>
      <c r="C4" s="13">
        <f>C3+273.15</f>
        <v>299.34999999999997</v>
      </c>
      <c r="D4" s="13">
        <f t="shared" ref="D4:J4" si="0">D3+273.15</f>
        <v>303.14999999999998</v>
      </c>
      <c r="E4" s="13">
        <f t="shared" si="0"/>
        <v>308.14999999999998</v>
      </c>
      <c r="F4" s="13">
        <f t="shared" si="0"/>
        <v>313.14999999999998</v>
      </c>
      <c r="G4" s="13">
        <f t="shared" si="0"/>
        <v>318.04999999999995</v>
      </c>
      <c r="H4" s="13">
        <f t="shared" si="0"/>
        <v>323.04999999999995</v>
      </c>
      <c r="I4" s="13">
        <f t="shared" si="0"/>
        <v>327.95</v>
      </c>
      <c r="J4" s="13">
        <f t="shared" si="0"/>
        <v>331.34999999999997</v>
      </c>
      <c r="K4" s="13">
        <f>K3+273.15</f>
        <v>335.04999999999995</v>
      </c>
      <c r="L4" s="13"/>
      <c r="M4" s="13"/>
      <c r="N4" s="13"/>
      <c r="O4" s="13">
        <v>54.9</v>
      </c>
      <c r="P4" s="13"/>
      <c r="Q4" s="13"/>
      <c r="R4" s="13"/>
      <c r="S4" s="13"/>
      <c r="T4" s="13"/>
      <c r="U4" s="13"/>
      <c r="V4" s="13"/>
      <c r="W4" s="13"/>
      <c r="X4" s="13"/>
    </row>
    <row r="5" spans="1:24">
      <c r="A5" s="13" t="s">
        <v>23</v>
      </c>
      <c r="B5" s="13"/>
      <c r="C5" s="13">
        <f>753.4*(397-C6)/397-$F$10</f>
        <v>55.034256926952139</v>
      </c>
      <c r="D5" s="13">
        <f t="shared" ref="D5:K5" si="1">753.4*(397-D6)/397-$F$10</f>
        <v>64.522921914357681</v>
      </c>
      <c r="E5" s="13">
        <f t="shared" si="1"/>
        <v>77.807052896725438</v>
      </c>
      <c r="F5" s="13">
        <f t="shared" si="1"/>
        <v>96.784382871536522</v>
      </c>
      <c r="G5" s="13">
        <f t="shared" si="1"/>
        <v>121.45491183879093</v>
      </c>
      <c r="H5" s="13">
        <f t="shared" si="1"/>
        <v>151.81863979848868</v>
      </c>
      <c r="I5" s="13">
        <f t="shared" si="1"/>
        <v>193.56876574307304</v>
      </c>
      <c r="J5" s="13">
        <f t="shared" si="1"/>
        <v>229.6256926952141</v>
      </c>
      <c r="K5" s="13">
        <f t="shared" si="1"/>
        <v>267.58035264483624</v>
      </c>
      <c r="L5" s="13"/>
      <c r="M5" s="13"/>
      <c r="N5" s="13"/>
      <c r="O5" s="13">
        <v>292</v>
      </c>
      <c r="P5" s="13"/>
      <c r="Q5" s="13"/>
      <c r="R5" s="13"/>
      <c r="S5" s="13"/>
      <c r="T5" s="13"/>
      <c r="U5" s="13"/>
      <c r="V5" s="13"/>
      <c r="W5" s="13"/>
      <c r="X5" s="13"/>
    </row>
    <row r="6" spans="1:24">
      <c r="A6" s="13"/>
      <c r="B6" s="13"/>
      <c r="C6" s="13">
        <v>368</v>
      </c>
      <c r="D6" s="13">
        <v>363</v>
      </c>
      <c r="E6" s="13">
        <v>356</v>
      </c>
      <c r="F6" s="13">
        <v>346</v>
      </c>
      <c r="G6" s="13">
        <v>333</v>
      </c>
      <c r="H6" s="13">
        <v>317</v>
      </c>
      <c r="I6" s="13">
        <v>295</v>
      </c>
      <c r="J6" s="13">
        <v>276</v>
      </c>
      <c r="K6" s="13">
        <v>256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>
      <c r="A7" s="13" t="s">
        <v>24</v>
      </c>
      <c r="B7" s="20">
        <v>753.4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>
      <c r="A8" s="13" t="s">
        <v>25</v>
      </c>
      <c r="B8" s="20">
        <v>345</v>
      </c>
      <c r="C8" s="13"/>
      <c r="D8" s="13" t="s">
        <v>35</v>
      </c>
      <c r="E8" s="13">
        <f>B8*B9/B10</f>
        <v>19.992986859589546</v>
      </c>
      <c r="F8" s="13"/>
      <c r="G8" s="13"/>
      <c r="H8" s="13"/>
      <c r="I8" s="13"/>
      <c r="J8" s="13"/>
      <c r="K8" s="13"/>
      <c r="L8" s="13"/>
      <c r="M8" s="13"/>
      <c r="N8" s="13"/>
      <c r="O8" s="13">
        <f>-1/O4</f>
        <v>-1.8214936247723135E-2</v>
      </c>
      <c r="P8" s="13"/>
      <c r="Q8" s="13"/>
      <c r="R8" s="13"/>
      <c r="S8" s="13"/>
      <c r="T8" s="13"/>
      <c r="U8" s="13"/>
      <c r="V8" s="13"/>
      <c r="W8" s="13"/>
      <c r="X8" s="13"/>
    </row>
    <row r="9" spans="1:24">
      <c r="A9" s="13" t="s">
        <v>27</v>
      </c>
      <c r="B9" s="20">
        <v>0.78500000000000003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f>LN(O5)</f>
        <v>5.6767538022682817</v>
      </c>
      <c r="P9" s="13"/>
      <c r="Q9" s="13"/>
      <c r="R9" s="13"/>
      <c r="S9" s="13"/>
      <c r="T9" s="13"/>
      <c r="U9" s="13"/>
      <c r="V9" s="13"/>
      <c r="W9" s="13"/>
      <c r="X9" s="13"/>
    </row>
    <row r="10" spans="1:24">
      <c r="A10" s="13" t="s">
        <v>26</v>
      </c>
      <c r="B10" s="20">
        <v>13.545999999999999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>
      <c r="A12" s="31" t="s">
        <v>28</v>
      </c>
      <c r="B12" s="32"/>
      <c r="C12" s="32"/>
      <c r="D12" s="32"/>
      <c r="E12" s="32"/>
      <c r="F12" s="32"/>
      <c r="G12" s="13"/>
      <c r="H12" s="13"/>
      <c r="I12" s="13"/>
      <c r="J12" s="13"/>
      <c r="K12" s="13"/>
      <c r="L12" s="13"/>
      <c r="M12" s="13"/>
      <c r="N12" s="1" t="e">
        <f>L12/J12*100</f>
        <v>#DIV/0!</v>
      </c>
      <c r="O12" s="13">
        <f>МНК!$F$9</f>
        <v>0.71148639536962999</v>
      </c>
      <c r="P12" s="13"/>
      <c r="Q12" s="13"/>
      <c r="R12" s="13"/>
      <c r="S12" s="13"/>
      <c r="T12" s="13"/>
      <c r="U12" s="13"/>
      <c r="V12" s="13"/>
      <c r="W12" s="13"/>
      <c r="X12" s="13"/>
    </row>
    <row r="13" spans="1:2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>
        <f>МНК!$B$9</f>
        <v>5513.8685452474065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>
      <c r="A14" s="13" t="s">
        <v>31</v>
      </c>
      <c r="B14" s="13" t="e">
        <f>-1/B4</f>
        <v>#DIV/0!</v>
      </c>
      <c r="C14" s="13">
        <f t="shared" ref="C14:K14" si="2">-1/C4</f>
        <v>-3.340571237681644E-3</v>
      </c>
      <c r="D14" s="13">
        <f t="shared" si="2"/>
        <v>-3.298697014679202E-3</v>
      </c>
      <c r="E14" s="13">
        <f t="shared" si="2"/>
        <v>-3.2451728054518907E-3</v>
      </c>
      <c r="F14" s="13">
        <f t="shared" si="2"/>
        <v>-3.1933578157432542E-3</v>
      </c>
      <c r="G14" s="13">
        <f t="shared" si="2"/>
        <v>-3.1441597233139449E-3</v>
      </c>
      <c r="H14" s="13">
        <f t="shared" si="2"/>
        <v>-3.0954960532425324E-3</v>
      </c>
      <c r="I14" s="13">
        <f t="shared" si="2"/>
        <v>-3.0492453117853331E-3</v>
      </c>
      <c r="J14" s="13">
        <f t="shared" si="2"/>
        <v>-3.0179568432171424E-3</v>
      </c>
      <c r="K14" s="13">
        <f t="shared" si="2"/>
        <v>-2.9846291598268921E-3</v>
      </c>
      <c r="L14" s="13"/>
      <c r="M14" s="13" t="s">
        <v>33</v>
      </c>
      <c r="N14" s="13">
        <f>-N13*8.31</f>
        <v>-45820.247611005951</v>
      </c>
      <c r="O14" s="13">
        <f>N14*(100 +  O12)/100</f>
        <v>-46146.252439082935</v>
      </c>
      <c r="P14" s="13"/>
      <c r="Q14" s="13"/>
      <c r="R14" s="13"/>
      <c r="S14" s="13"/>
      <c r="T14" s="13"/>
      <c r="U14" s="13"/>
      <c r="V14" s="13"/>
      <c r="W14" s="13"/>
      <c r="X14" s="13"/>
    </row>
    <row r="15" spans="1:24">
      <c r="A15" s="13" t="s">
        <v>29</v>
      </c>
      <c r="B15" s="13" t="e">
        <f>LN(B5)</f>
        <v>#NUM!</v>
      </c>
      <c r="C15" s="13">
        <f t="shared" ref="C15:K15" si="3">LN(C5)</f>
        <v>4.0079558445572241</v>
      </c>
      <c r="D15" s="13">
        <f t="shared" si="3"/>
        <v>4.167020539186912</v>
      </c>
      <c r="E15" s="13">
        <f t="shared" si="3"/>
        <v>4.3542320812750583</v>
      </c>
      <c r="F15" s="13">
        <f t="shared" si="3"/>
        <v>4.5724856472950757</v>
      </c>
      <c r="G15" s="13">
        <f t="shared" si="3"/>
        <v>4.7995430979304219</v>
      </c>
      <c r="H15" s="13">
        <f t="shared" si="3"/>
        <v>5.0226866492446316</v>
      </c>
      <c r="I15" s="13">
        <f t="shared" si="3"/>
        <v>5.2656328278550211</v>
      </c>
      <c r="J15" s="13">
        <f t="shared" si="3"/>
        <v>5.4364505601674917</v>
      </c>
      <c r="K15" s="13">
        <f t="shared" si="3"/>
        <v>5.5894199049489188</v>
      </c>
      <c r="L15" s="13"/>
      <c r="M15" s="13"/>
      <c r="N15" s="13"/>
      <c r="O15" s="13">
        <f>N14*(100 -  O12)/100</f>
        <v>-45494.242782928959</v>
      </c>
      <c r="P15" s="13"/>
      <c r="Q15" s="13"/>
      <c r="R15" s="13"/>
      <c r="S15" s="13"/>
      <c r="T15" s="13"/>
      <c r="U15" s="13"/>
      <c r="V15" s="13"/>
      <c r="W15" s="13"/>
      <c r="X15" s="13"/>
    </row>
    <row r="16" spans="1:2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>
      <c r="A17" s="31" t="s">
        <v>30</v>
      </c>
      <c r="B17" s="32"/>
      <c r="C17" s="32"/>
      <c r="D17" s="32"/>
      <c r="E17" s="32"/>
      <c r="F17" s="32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>
      <c r="A19" s="21" t="s">
        <v>32</v>
      </c>
      <c r="B19" s="13"/>
      <c r="C19" s="13" t="e">
        <f>(C15-B15)*8.31/(C14-B14)</f>
        <v>#NUM!</v>
      </c>
      <c r="D19" s="13">
        <f>-(D15-C15)*8.31/(D14-C14)</f>
        <v>-31566.618258101709</v>
      </c>
      <c r="E19" s="13">
        <f t="shared" ref="E19:K19" si="4">-(E15-D15)*8.31/(E14-D14)</f>
        <v>-29065.873876725447</v>
      </c>
      <c r="F19" s="13">
        <f t="shared" si="4"/>
        <v>-35003.136038914221</v>
      </c>
      <c r="G19" s="13">
        <f t="shared" si="4"/>
        <v>-38352.044187299747</v>
      </c>
      <c r="H19" s="13">
        <f t="shared" si="4"/>
        <v>-38104.871841764536</v>
      </c>
      <c r="I19" s="13">
        <f t="shared" si="4"/>
        <v>-43650.819006234138</v>
      </c>
      <c r="J19" s="13">
        <f t="shared" si="4"/>
        <v>-45368.003628012462</v>
      </c>
      <c r="K19" s="13">
        <f t="shared" si="4"/>
        <v>-38141.722610864985</v>
      </c>
      <c r="L19" s="22">
        <f>-(E15-C15)*8.31/(E14-C14)</f>
        <v>-30163.551537147141</v>
      </c>
      <c r="M19" s="22">
        <f t="shared" ref="M19:R19" si="5">-(F15-D15)*8.31/(F14-D14)</f>
        <v>-31986.336353550905</v>
      </c>
      <c r="N19" s="22">
        <f t="shared" si="5"/>
        <v>-36634.210837686704</v>
      </c>
      <c r="O19" s="22">
        <f t="shared" si="5"/>
        <v>-38229.132917703369</v>
      </c>
      <c r="P19" s="22">
        <f t="shared" si="5"/>
        <v>-40807.350467593118</v>
      </c>
      <c r="Q19" s="22">
        <f t="shared" si="5"/>
        <v>-44343.733946258653</v>
      </c>
      <c r="R19" s="22">
        <f t="shared" si="5"/>
        <v>-41640.836371389632</v>
      </c>
      <c r="S19" s="23">
        <f>-(F15-C15)*8.31/(F14-C14)</f>
        <v>-31866.949351363324</v>
      </c>
      <c r="T19" s="23">
        <f t="shared" ref="T19:X19" si="6">-(G15-D15)*8.31/(G14-D14)</f>
        <v>-34012.906637111359</v>
      </c>
      <c r="U19" s="23">
        <f t="shared" si="6"/>
        <v>-37112.35965393862</v>
      </c>
      <c r="V19" s="23">
        <f t="shared" si="6"/>
        <v>-39969.141554399794</v>
      </c>
      <c r="W19" s="23">
        <f t="shared" si="6"/>
        <v>-41938.036652811294</v>
      </c>
      <c r="X19" s="23">
        <f t="shared" si="6"/>
        <v>-42479.348070541637</v>
      </c>
    </row>
    <row r="20" spans="1:24">
      <c r="A20" s="13" t="str">
        <f>A4</f>
        <v>Т , К</v>
      </c>
      <c r="B20" s="13"/>
      <c r="C20" s="13">
        <f>C4</f>
        <v>299.34999999999997</v>
      </c>
      <c r="D20" s="13">
        <f>AVERAGE(D4,C4)</f>
        <v>301.25</v>
      </c>
      <c r="E20" s="13">
        <f>AVERAGE(E4,D4)</f>
        <v>305.64999999999998</v>
      </c>
      <c r="F20" s="13">
        <f t="shared" ref="F20:K20" si="7">AVERAGE(F4,E4)</f>
        <v>310.64999999999998</v>
      </c>
      <c r="G20" s="13">
        <f t="shared" si="7"/>
        <v>315.59999999999997</v>
      </c>
      <c r="H20" s="13">
        <f t="shared" si="7"/>
        <v>320.54999999999995</v>
      </c>
      <c r="I20" s="13">
        <f t="shared" si="7"/>
        <v>325.5</v>
      </c>
      <c r="J20" s="24">
        <f>AVERAGE(J4,I4)</f>
        <v>329.65</v>
      </c>
      <c r="K20" s="13">
        <f t="shared" si="7"/>
        <v>333.19999999999993</v>
      </c>
      <c r="L20" s="22">
        <f>AVERAGE(E4,C4)</f>
        <v>303.75</v>
      </c>
      <c r="M20" s="22">
        <f t="shared" ref="M20:R20" si="8">AVERAGE(F4,D4)</f>
        <v>308.14999999999998</v>
      </c>
      <c r="N20" s="22">
        <f t="shared" si="8"/>
        <v>313.09999999999997</v>
      </c>
      <c r="O20" s="22">
        <f t="shared" si="8"/>
        <v>318.09999999999997</v>
      </c>
      <c r="P20" s="22">
        <f t="shared" si="8"/>
        <v>323</v>
      </c>
      <c r="Q20" s="22">
        <f t="shared" si="8"/>
        <v>327.19999999999993</v>
      </c>
      <c r="R20" s="22">
        <f t="shared" si="8"/>
        <v>331.5</v>
      </c>
      <c r="S20" s="23">
        <f>AVERAGE(F4,C4)</f>
        <v>306.25</v>
      </c>
      <c r="T20" s="23">
        <f t="shared" ref="T20:W20" si="9">AVERAGE(G4,D4)</f>
        <v>310.59999999999997</v>
      </c>
      <c r="U20" s="23">
        <f t="shared" si="9"/>
        <v>315.59999999999997</v>
      </c>
      <c r="V20" s="23">
        <f t="shared" si="9"/>
        <v>320.54999999999995</v>
      </c>
      <c r="W20" s="23">
        <f t="shared" si="9"/>
        <v>324.69999999999993</v>
      </c>
      <c r="X20" s="25">
        <f>AVERAGE(K4,H4)</f>
        <v>329.04999999999995</v>
      </c>
    </row>
    <row r="22" spans="1:24">
      <c r="B22" t="s">
        <v>38</v>
      </c>
      <c r="D22">
        <f>C4*D4/(D4-C4)*8.31</f>
        <v>198451.44349342046</v>
      </c>
      <c r="E22">
        <f t="shared" ref="E22:K22" si="10">D4*E4/(E4-D4)*8.31</f>
        <v>155256.84769499997</v>
      </c>
      <c r="F22">
        <f t="shared" si="10"/>
        <v>160378.30069499998</v>
      </c>
      <c r="G22">
        <f t="shared" si="10"/>
        <v>168908.98792347015</v>
      </c>
      <c r="H22">
        <f t="shared" si="10"/>
        <v>170763.93925499995</v>
      </c>
      <c r="I22">
        <f t="shared" si="10"/>
        <v>179672.79524999872</v>
      </c>
      <c r="J22">
        <f t="shared" si="10"/>
        <v>265593.05649264879</v>
      </c>
      <c r="K22">
        <f t="shared" si="10"/>
        <v>249342.26308783854</v>
      </c>
    </row>
    <row r="25" spans="1:24">
      <c r="B25" s="36">
        <v>1</v>
      </c>
      <c r="C25">
        <f>(1-C6/397)*0.5</f>
        <v>3.6523929471032723E-2</v>
      </c>
      <c r="D25">
        <f>(1-D6/397)*0.5</f>
        <v>4.2821158690176331E-2</v>
      </c>
      <c r="E25">
        <f>(1-E6/397)*0.5</f>
        <v>5.1637279596977337E-2</v>
      </c>
      <c r="F25">
        <f>(1-F6/397)*0.5</f>
        <v>6.4231738035264496E-2</v>
      </c>
      <c r="G25">
        <f>(1-G6/397)*0.5</f>
        <v>8.0604534005037809E-2</v>
      </c>
      <c r="H25">
        <f>(1-H6/397)*0.5</f>
        <v>0.10075566750629722</v>
      </c>
      <c r="I25">
        <f>(1-I6/397)*0.5</f>
        <v>0.12846347607052899</v>
      </c>
      <c r="J25">
        <f>(1-J6/397)*0.5</f>
        <v>0.15239294710327456</v>
      </c>
      <c r="K25">
        <f>(1-K6/397)*0.5</f>
        <v>0.17758186397984888</v>
      </c>
    </row>
    <row r="26" spans="1:24">
      <c r="B26" s="36">
        <v>2</v>
      </c>
      <c r="C26">
        <f>753.4/C6*1</f>
        <v>2.0472826086956522</v>
      </c>
      <c r="D26">
        <f>753.4/D6*1</f>
        <v>2.0754820936639118</v>
      </c>
      <c r="E26">
        <f>753.4/E6*1</f>
        <v>2.1162921348314607</v>
      </c>
      <c r="F26">
        <f>753.4/F6*1</f>
        <v>2.1774566473988437</v>
      </c>
      <c r="G26">
        <f>753.4/G6*1</f>
        <v>2.2624624624624623</v>
      </c>
      <c r="H26">
        <f>753.4/H6*1</f>
        <v>2.3766561514195583</v>
      </c>
      <c r="I26">
        <f>753.4/I6*1</f>
        <v>2.5538983050847457</v>
      </c>
      <c r="J26">
        <f>753.4/J6*1</f>
        <v>2.7297101449275361</v>
      </c>
      <c r="K26">
        <f>753.4/K6*1</f>
        <v>2.9429687499999999</v>
      </c>
    </row>
    <row r="27" spans="1:24">
      <c r="B27" s="36">
        <v>3</v>
      </c>
      <c r="C27">
        <f>753.4*C6/397/397</f>
        <v>1.759107665171405</v>
      </c>
      <c r="D27">
        <f>753.4*D6/397/397</f>
        <v>1.7352067458076632</v>
      </c>
      <c r="E27">
        <f>753.4*E6/397/397</f>
        <v>1.7017454586984244</v>
      </c>
      <c r="F27">
        <f>753.4*F6/397/397</f>
        <v>1.6539436199709407</v>
      </c>
      <c r="G27">
        <f>753.4*G6/397/397</f>
        <v>1.5918012296252115</v>
      </c>
      <c r="H27">
        <f>753.4*H6/397/397</f>
        <v>1.5153182876612374</v>
      </c>
      <c r="I27">
        <f>753.4*I6/397/397</f>
        <v>1.4101542424607731</v>
      </c>
      <c r="J27">
        <f>753.4*J6/397/397</f>
        <v>1.3193307488785539</v>
      </c>
      <c r="K27">
        <f>753.4*K6/397/397</f>
        <v>1.2237270714235862</v>
      </c>
    </row>
    <row r="28" spans="1:24">
      <c r="B28" s="36">
        <v>4</v>
      </c>
      <c r="C28">
        <f>B9/B10*0.5</f>
        <v>2.8975343274767463E-2</v>
      </c>
    </row>
    <row r="29" spans="1:24">
      <c r="B29" t="s">
        <v>36</v>
      </c>
      <c r="C29">
        <f>SQRT(C26*C26+C27*C27)</f>
        <v>2.6992268999720026</v>
      </c>
      <c r="D29">
        <f t="shared" ref="D29:K29" si="11">SQRT(D26*D26+D27*D27)</f>
        <v>2.7052852662549203</v>
      </c>
      <c r="E29">
        <f t="shared" si="11"/>
        <v>2.7156270005562644</v>
      </c>
      <c r="F29">
        <f t="shared" si="11"/>
        <v>2.734382370727253</v>
      </c>
      <c r="G29">
        <f t="shared" si="11"/>
        <v>2.7663274478427251</v>
      </c>
      <c r="H29">
        <f t="shared" si="11"/>
        <v>2.8186315784438749</v>
      </c>
      <c r="I29">
        <f t="shared" si="11"/>
        <v>2.91735008873547</v>
      </c>
      <c r="J29">
        <f t="shared" si="11"/>
        <v>3.0318230654602449</v>
      </c>
      <c r="K29">
        <f t="shared" si="11"/>
        <v>3.1872516387652086</v>
      </c>
    </row>
    <row r="30" spans="1:24">
      <c r="B30" t="s">
        <v>37</v>
      </c>
      <c r="C30">
        <f>C29/C5</f>
        <v>4.9046304078471166E-2</v>
      </c>
      <c r="D30">
        <f>D29/D5</f>
        <v>4.1927507093458806E-2</v>
      </c>
      <c r="E30">
        <f>E29/E5</f>
        <v>3.4902067350639283E-2</v>
      </c>
      <c r="F30">
        <f>F29/F5</f>
        <v>2.8252309821065275E-2</v>
      </c>
      <c r="G30">
        <f>G29/G5</f>
        <v>2.2776579439739056E-2</v>
      </c>
      <c r="H30">
        <f>H29/H5</f>
        <v>1.8565780738024593E-2</v>
      </c>
      <c r="I30">
        <f>I29/I5</f>
        <v>1.5071388596896444E-2</v>
      </c>
      <c r="J30">
        <f>J29/J5</f>
        <v>1.3203326813626352E-2</v>
      </c>
      <c r="K30">
        <f>K29/K5</f>
        <v>1.1911381412205924E-2</v>
      </c>
    </row>
    <row r="31" spans="1:24">
      <c r="D31">
        <f>SQRT(C30*C30+D30*D30)</f>
        <v>6.4524846337127351E-2</v>
      </c>
      <c r="E31">
        <f t="shared" ref="E31:K31" si="12">SQRT(D30*D30+E30*E30)</f>
        <v>5.455336979894642E-2</v>
      </c>
      <c r="F31">
        <f t="shared" si="12"/>
        <v>4.4903756141040384E-2</v>
      </c>
      <c r="G31">
        <f t="shared" si="12"/>
        <v>3.6290020407822934E-2</v>
      </c>
      <c r="H31">
        <f t="shared" si="12"/>
        <v>2.9384703255046645E-2</v>
      </c>
      <c r="I31">
        <f t="shared" si="12"/>
        <v>2.3913071083636772E-2</v>
      </c>
      <c r="J31">
        <f t="shared" si="12"/>
        <v>2.0036830916741417E-2</v>
      </c>
      <c r="K31">
        <f t="shared" si="12"/>
        <v>1.7782262119721139E-2</v>
      </c>
    </row>
    <row r="32" spans="1:24">
      <c r="D32" s="36">
        <f>D31*D22</f>
        <v>12805.048896794067</v>
      </c>
      <c r="E32" s="36">
        <f t="shared" ref="E32:K32" si="13">E31*E22</f>
        <v>8469.7842261240366</v>
      </c>
      <c r="F32" s="36">
        <f t="shared" si="13"/>
        <v>7201.5881047227267</v>
      </c>
      <c r="G32" s="36">
        <f t="shared" si="13"/>
        <v>6129.7106188074495</v>
      </c>
      <c r="H32" s="36">
        <f t="shared" si="13"/>
        <v>5017.8476816709845</v>
      </c>
      <c r="I32" s="36">
        <f t="shared" si="13"/>
        <v>4296.5283246089348</v>
      </c>
      <c r="J32" s="36">
        <f t="shared" si="13"/>
        <v>5321.6431656037548</v>
      </c>
      <c r="K32" s="36">
        <f t="shared" si="13"/>
        <v>4433.869479752414</v>
      </c>
      <c r="M32" s="36">
        <f>8.31*K4*C4/(K4-C4)*SQRT(C30*C30+K30*K30)</f>
        <v>1178.3438800553154</v>
      </c>
    </row>
  </sheetData>
  <mergeCells count="3">
    <mergeCell ref="A2:F2"/>
    <mergeCell ref="A12:F12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МНК</vt:lpstr>
      <vt:lpstr>Лаб.Журнал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2015-04-13T20:29:33Z</dcterms:modified>
</cp:coreProperties>
</file>