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Amgen - Innovation and COVID\Models\GitHub\"/>
    </mc:Choice>
  </mc:AlternateContent>
  <bookViews>
    <workbookView xWindow="0" yWindow="0" windowWidth="28800" windowHeight="12080"/>
  </bookViews>
  <sheets>
    <sheet name="Input" sheetId="1" r:id="rId1"/>
    <sheet name="CVD Output" sheetId="3" r:id="rId2"/>
  </sheets>
  <definedNames>
    <definedName name="_1990_Female_Prevalence_65_74">Input!$B$29</definedName>
    <definedName name="_1990_Female_Prevalence_75">Input!$B$30</definedName>
    <definedName name="_1990_Fraction_Female_CVD_65_74">Input!$B$6</definedName>
    <definedName name="_1990_Fraction_Female_CVD_75">Input!$B$7</definedName>
    <definedName name="_1990_Fraction_Male_CVD_65_74">Input!$B$4</definedName>
    <definedName name="_1990_Fraction_Male_CVD_75">Input!$B$5</definedName>
    <definedName name="_1990_Male_Prevalence_65_74">Input!$B$27</definedName>
    <definedName name="_1990_Male_Prevalence_75">Input!$B$28</definedName>
    <definedName name="_1990_Population_Female_CVD_65_74">Input!$C$6</definedName>
    <definedName name="_1990_Population_Female_CVD_75">Input!$C$7</definedName>
    <definedName name="_1990_Population_Male_CVD_65_74">Input!$C$4</definedName>
    <definedName name="_1990_Population_Male_CVD_75">Input!$C$5</definedName>
    <definedName name="_1990_Total_Female_Population_65_74">Input!$B$21</definedName>
    <definedName name="_1990_Total_Female_Population_75">Input!$B$22</definedName>
    <definedName name="_1990_Total_Male_Population_65_74">Input!$B$19</definedName>
    <definedName name="_1990_Total_Male_Population_75">Input!$B$20</definedName>
    <definedName name="_2017_Female_Prevalence_65_74">Input!$B$33</definedName>
    <definedName name="_2017_Female_Prevalence_75">Input!$B$34</definedName>
    <definedName name="_2017_Fraction_Female_CVD_65_74">Input!$B$12</definedName>
    <definedName name="_2017_Fraction_Female_CVD_75">Input!$B$13</definedName>
    <definedName name="_2017_Fraction_Male_CVD_65_74">Input!$B$10</definedName>
    <definedName name="_2017_Fraction_Male_CVD_75">Input!$B$11</definedName>
    <definedName name="_2017_Male_Prevalence_65_74">Input!$B$31</definedName>
    <definedName name="_2017_Male_Prevalence_75">Input!$B$32</definedName>
    <definedName name="_2017_Population_Female_CVD_65_74">Input!$C$12</definedName>
    <definedName name="_2017_Population_Female_CVD_75">Input!$C$13</definedName>
    <definedName name="_2017_Population_Male_CVD_65_74">Input!$C$10</definedName>
    <definedName name="_2017_Population_Male_CVD_75">Input!$C$11</definedName>
    <definedName name="_2017_Total_Female_Population_65_74">Input!$B$25</definedName>
    <definedName name="_2017_Total_Female_Population_75">Input!$B$26</definedName>
    <definedName name="_2017_Total_Male_Population_65_74">Input!$B$23</definedName>
    <definedName name="_2017_Total_Male_Population_75">Input!$B$24</definedName>
    <definedName name="Age_OR">Input!$B$38</definedName>
    <definedName name="Baseline_Mortality_Risk">Input!$B$37</definedName>
    <definedName name="CVD_OR">Input!$B$47</definedName>
    <definedName name="CVD_Prevalence_1997_65_74">Input!$B$48</definedName>
    <definedName name="CVD_Prevalence_1997_75">Input!$B$49</definedName>
    <definedName name="CVD_Prevalence_2016_65_74">Input!$B$50</definedName>
    <definedName name="CVD_Prevalence_2016_75">Input!$B$51</definedName>
    <definedName name="Female_65_74_Baseline_Mortality_Risk_no_Comorbidity">Input!$B$42</definedName>
    <definedName name="Female_75_Baseline_Mortality_Risk_no_Comorbidity">Input!$B$43</definedName>
    <definedName name="Hospitalization_Rate">Input!$B$44</definedName>
    <definedName name="Male_65_74_Baseline_Mortality_Risk_no_Comorbidity">Input!$B$40</definedName>
    <definedName name="Male_75_Baseline_Mortality_Risk_no_Comorbidity">Input!$B$41</definedName>
    <definedName name="Male_OR">Input!$B$39</definedName>
    <definedName name="Population_1990">Input!$B$17</definedName>
    <definedName name="Population_2017">Input!$B$18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M19" i="3" l="1"/>
  <c r="M18" i="3"/>
  <c r="M14" i="3"/>
  <c r="M13" i="3"/>
  <c r="N20" i="3" l="1"/>
  <c r="N15" i="3"/>
  <c r="U19" i="3" l="1"/>
  <c r="T19" i="3"/>
  <c r="T18" i="3"/>
  <c r="T14" i="3"/>
  <c r="T13" i="3"/>
  <c r="S19" i="3"/>
  <c r="S18" i="3"/>
  <c r="U18" i="3" s="1"/>
  <c r="S14" i="3"/>
  <c r="U14" i="3" s="1"/>
  <c r="S13" i="3"/>
  <c r="U13" i="3" s="1"/>
  <c r="H19" i="3"/>
  <c r="H18" i="3"/>
  <c r="H14" i="3"/>
  <c r="H13" i="3"/>
  <c r="H15" i="3" l="1"/>
  <c r="H20" i="3"/>
  <c r="C7" i="1"/>
  <c r="G14" i="3" s="1"/>
  <c r="C6" i="1"/>
  <c r="G13" i="3" s="1"/>
  <c r="C5" i="1"/>
  <c r="G19" i="3" s="1"/>
  <c r="C4" i="1"/>
  <c r="G18" i="3" s="1"/>
  <c r="B23" i="1" l="1"/>
  <c r="B26" i="1"/>
  <c r="B25" i="1"/>
  <c r="B24" i="1"/>
  <c r="B13" i="1"/>
  <c r="B12" i="1"/>
  <c r="B22" i="1"/>
  <c r="B21" i="1"/>
  <c r="B20" i="1"/>
  <c r="B19" i="1"/>
  <c r="D19" i="3" l="1"/>
  <c r="D18" i="3"/>
  <c r="D14" i="3"/>
  <c r="D13" i="3"/>
  <c r="B18" i="3"/>
  <c r="C13" i="1"/>
  <c r="C12" i="1"/>
  <c r="B11" i="1"/>
  <c r="N19" i="3" s="1"/>
  <c r="B10" i="1"/>
  <c r="N18" i="3" s="1"/>
  <c r="G23" i="3" l="1"/>
  <c r="N13" i="3"/>
  <c r="C11" i="1"/>
  <c r="B13" i="3"/>
  <c r="B19" i="3"/>
  <c r="N14" i="3"/>
  <c r="B14" i="3"/>
  <c r="C10" i="1"/>
  <c r="N23" i="3" l="1"/>
  <c r="H23" i="3"/>
  <c r="M23" i="3" l="1"/>
  <c r="B43" i="1" l="1"/>
  <c r="C14" i="3" s="1"/>
  <c r="E14" i="3" s="1"/>
  <c r="B42" i="1"/>
  <c r="C13" i="3" s="1"/>
  <c r="E13" i="3" s="1"/>
  <c r="B41" i="1"/>
  <c r="C19" i="3" s="1"/>
  <c r="E19" i="3" s="1"/>
  <c r="B40" i="1"/>
  <c r="C18" i="3" s="1"/>
  <c r="E18" i="3" s="1"/>
  <c r="I18" i="3" l="1"/>
  <c r="O18" i="3"/>
  <c r="O13" i="3"/>
  <c r="I13" i="3"/>
  <c r="I19" i="3"/>
  <c r="O19" i="3"/>
  <c r="I14" i="3"/>
  <c r="O14" i="3"/>
  <c r="K14" i="3" l="1"/>
  <c r="V14" i="3" s="1"/>
  <c r="J14" i="3"/>
  <c r="K19" i="3"/>
  <c r="V19" i="3" s="1"/>
  <c r="J19" i="3"/>
  <c r="K18" i="3"/>
  <c r="V18" i="3" s="1"/>
  <c r="J18" i="3"/>
  <c r="K13" i="3"/>
  <c r="V13" i="3" s="1"/>
  <c r="J13" i="3"/>
  <c r="Q19" i="3"/>
  <c r="P19" i="3"/>
  <c r="I23" i="3"/>
  <c r="J23" i="3" s="1"/>
  <c r="I15" i="3"/>
  <c r="Q14" i="3"/>
  <c r="P14" i="3"/>
  <c r="O20" i="3"/>
  <c r="Q18" i="3"/>
  <c r="P18" i="3"/>
  <c r="P13" i="3"/>
  <c r="O23" i="3"/>
  <c r="P23" i="3" s="1"/>
  <c r="Q13" i="3"/>
  <c r="O15" i="3"/>
  <c r="I20" i="3"/>
  <c r="W18" i="3" l="1"/>
  <c r="W19" i="3"/>
  <c r="W13" i="3"/>
  <c r="W14" i="3"/>
  <c r="K20" i="3"/>
  <c r="J20" i="3"/>
  <c r="K15" i="3"/>
  <c r="J15" i="3"/>
  <c r="K23" i="3"/>
  <c r="P15" i="3"/>
  <c r="Q15" i="3"/>
  <c r="Q23" i="3"/>
  <c r="P20" i="3"/>
  <c r="Q20" i="3"/>
</calcChain>
</file>

<file path=xl/sharedStrings.xml><?xml version="1.0" encoding="utf-8"?>
<sst xmlns="http://schemas.openxmlformats.org/spreadsheetml/2006/main" count="109" uniqueCount="82">
  <si>
    <t>Fraction of Cardiovascular Population</t>
  </si>
  <si>
    <t>Number of People with Cardiovascular Disease</t>
  </si>
  <si>
    <t>United States</t>
  </si>
  <si>
    <t>1990 65+ Population</t>
  </si>
  <si>
    <t>2017 65+ Population</t>
  </si>
  <si>
    <t>Baseline Mortality Risk</t>
  </si>
  <si>
    <t>Odds Ratio for Mortality: Age</t>
  </si>
  <si>
    <t>Odds Ratio for Mortality: Male</t>
  </si>
  <si>
    <t>1990 Male 65-74 Prevalence</t>
  </si>
  <si>
    <t>1990 Male 75+ Prevalence</t>
  </si>
  <si>
    <t>2017 Male 65-74 Prevalence</t>
  </si>
  <si>
    <t>2017 Male 75+ Prevalence</t>
  </si>
  <si>
    <t>Male 65-74 Baseline Mortality Risk no Comorbidity</t>
  </si>
  <si>
    <t>Male 75+ Baseline Mortality Risk no Comorbidity</t>
  </si>
  <si>
    <t xml:space="preserve">Female 65-74 Baseline Mortality Risk no Comorbidity </t>
  </si>
  <si>
    <t xml:space="preserve">Female 75+ Baseline Mortality Risk no Comorbidity </t>
  </si>
  <si>
    <t>COVID-19 Hospitalization Rate</t>
  </si>
  <si>
    <t>Cardiovascular Disease Constants</t>
  </si>
  <si>
    <t>Odds Ratio for Mortality: CVD (Coronary heart disease or congestive heart failure)</t>
  </si>
  <si>
    <t xml:space="preserve">1997 CVD (heart disease or stroke) 65-74 Prevalence </t>
  </si>
  <si>
    <t>1997 CVD (heart disease or stroke) 75+ Prevalence</t>
  </si>
  <si>
    <t>2016 CVD (heart disease or stroke) 65-74 Prevalence</t>
  </si>
  <si>
    <t>2016 CVD (heart disease or stroke) 75+ Prevalence</t>
  </si>
  <si>
    <t>Cardiovascular Disease</t>
  </si>
  <si>
    <t>FEMALES</t>
  </si>
  <si>
    <t xml:space="preserve">      65-74</t>
  </si>
  <si>
    <t xml:space="preserve">      75+</t>
  </si>
  <si>
    <t>Subgroup Total</t>
  </si>
  <si>
    <t>MALES</t>
  </si>
  <si>
    <t>TOTALS</t>
  </si>
  <si>
    <t>1990</t>
  </si>
  <si>
    <t>2017</t>
  </si>
  <si>
    <t>Country:</t>
  </si>
  <si>
    <t>USA</t>
  </si>
  <si>
    <t>Target Cohort:</t>
  </si>
  <si>
    <t>Age 65+</t>
  </si>
  <si>
    <t>Comorbidity</t>
  </si>
  <si>
    <t>Baseline</t>
  </si>
  <si>
    <t>Adjusted OR</t>
  </si>
  <si>
    <t>Adjusted</t>
  </si>
  <si>
    <t>Number</t>
  </si>
  <si>
    <t>Number with</t>
  </si>
  <si>
    <t>Expected Number</t>
  </si>
  <si>
    <t>Population</t>
  </si>
  <si>
    <t>Prevalence</t>
  </si>
  <si>
    <t>Mortality Risk</t>
  </si>
  <si>
    <t>for Mortality</t>
  </si>
  <si>
    <t>Hospitalized</t>
  </si>
  <si>
    <t>of Deaths</t>
  </si>
  <si>
    <t>Death Rate</t>
  </si>
  <si>
    <t>(Baseline Risk*
Adjusted OR)</t>
  </si>
  <si>
    <t>(# Hospitalized*adj. mortality risk)</t>
  </si>
  <si>
    <t>Male 65-74</t>
  </si>
  <si>
    <t>Female 65-74</t>
  </si>
  <si>
    <t>Female 75+</t>
  </si>
  <si>
    <t>Male 75+</t>
  </si>
  <si>
    <t>(Expected # Deaths/ Total Population)</t>
  </si>
  <si>
    <t xml:space="preserve">1990 65-74 Male Population </t>
  </si>
  <si>
    <t xml:space="preserve">1990 75+ Male Population </t>
  </si>
  <si>
    <t xml:space="preserve">1990 65-74 Female Population </t>
  </si>
  <si>
    <t xml:space="preserve">1990 75+ Female Population </t>
  </si>
  <si>
    <t xml:space="preserve">2017 65-74 Male Population </t>
  </si>
  <si>
    <t xml:space="preserve">2017 75+ Male Population </t>
  </si>
  <si>
    <t xml:space="preserve">2017 65-74 Female Population </t>
  </si>
  <si>
    <t xml:space="preserve">2017 75+ Female Population </t>
  </si>
  <si>
    <t>1990 Female 65-74 Prevalence</t>
  </si>
  <si>
    <t>1990 Female 75+ Prevalence</t>
  </si>
  <si>
    <t>2017 Female 65-74 Prevalence</t>
  </si>
  <si>
    <t>2017 Female 75+ Prevalence</t>
  </si>
  <si>
    <t>Female</t>
  </si>
  <si>
    <t>Male</t>
  </si>
  <si>
    <t>CARDIOVASCULAR DISEASE</t>
  </si>
  <si>
    <t>(Expected # Deaths/  CVD Population)</t>
  </si>
  <si>
    <t>Population Constants</t>
  </si>
  <si>
    <t>Baseline Risks</t>
  </si>
  <si>
    <t>2017 population with 1990 cardiovascular disease prevalence</t>
  </si>
  <si>
    <t>2017 population with 2017 cardiovascular disease prevalence</t>
  </si>
  <si>
    <t>1990 fraction with diabetes</t>
  </si>
  <si>
    <t>2017 fraction with diabetes</t>
  </si>
  <si>
    <t>Ratio: 2017 to 1990 fractions</t>
  </si>
  <si>
    <t>Death rate 1990 x ratio of 2017 to 1990 death rates</t>
  </si>
  <si>
    <t>Ratio of 1990 death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</si>
</sst>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43" fontId="0" fillId="0" borderId="0" xfId="1" applyFont="1"/>
    <xf numFmtId="164" fontId="0" fillId="0" borderId="0" xfId="1" applyNumberFormat="1" applyFont="1" applyBorder="1"/>
    <xf numFmtId="0" fontId="0" fillId="0" borderId="0" xfId="0" applyFont="1" applyFill="1" applyBorder="1"/>
    <xf numFmtId="2" fontId="0" fillId="0" borderId="0" xfId="0" applyNumberFormat="1"/>
    <xf numFmtId="0" fontId="2" fillId="0" borderId="0" xfId="0" applyFont="1" applyAlignment="1"/>
    <xf numFmtId="10" fontId="0" fillId="0" borderId="0" xfId="0" applyNumberFormat="1"/>
    <xf numFmtId="0" fontId="2" fillId="0" borderId="0" xfId="0" applyFont="1"/>
    <xf numFmtId="43" fontId="0" fillId="0" borderId="0" xfId="0" applyNumberFormat="1"/>
    <xf numFmtId="165" fontId="0" fillId="0" borderId="0" xfId="0" applyNumberFormat="1"/>
    <xf numFmtId="164" fontId="0" fillId="0" borderId="0" xfId="0" applyNumberFormat="1"/>
    <xf numFmtId="10" fontId="0" fillId="0" borderId="0" xfId="2" applyNumberFormat="1" applyFont="1"/>
    <xf numFmtId="0" fontId="3" fillId="3" borderId="0" xfId="0" applyFon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4" fontId="0" fillId="3" borderId="0" xfId="1" applyNumberFormat="1" applyFont="1" applyFill="1"/>
    <xf numFmtId="10" fontId="0" fillId="3" borderId="0" xfId="2" applyNumberFormat="1" applyFont="1" applyFill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165" fontId="0" fillId="0" borderId="0" xfId="0" applyNumberFormat="1" applyFill="1"/>
    <xf numFmtId="2" fontId="0" fillId="0" borderId="0" xfId="0" applyNumberFormat="1" applyFill="1"/>
    <xf numFmtId="2" fontId="2" fillId="2" borderId="0" xfId="0" quotePrefix="1" applyNumberFormat="1" applyFont="1" applyFill="1"/>
    <xf numFmtId="164" fontId="4" fillId="2" borderId="0" xfId="1" applyNumberFormat="1" applyFont="1" applyFill="1"/>
    <xf numFmtId="166" fontId="4" fillId="2" borderId="0" xfId="2" applyNumberFormat="1" applyFont="1" applyFill="1"/>
    <xf numFmtId="0" fontId="2" fillId="2" borderId="0" xfId="0" quotePrefix="1" applyFont="1" applyFill="1"/>
    <xf numFmtId="164" fontId="4" fillId="2" borderId="0" xfId="0" applyNumberFormat="1" applyFont="1" applyFill="1"/>
    <xf numFmtId="10" fontId="5" fillId="0" borderId="0" xfId="2" applyNumberFormat="1" applyFont="1"/>
    <xf numFmtId="4" fontId="0" fillId="0" borderId="0" xfId="0" applyNumberFormat="1"/>
    <xf numFmtId="0" fontId="0" fillId="0" borderId="0" xfId="0" quotePrefix="1"/>
    <xf numFmtId="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1" applyNumberFormat="1" applyFont="1" applyFill="1"/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0" fillId="5" borderId="0" xfId="0" applyFill="1" applyAlignment="1">
      <alignment wrapText="1"/>
    </xf>
    <xf numFmtId="0" fontId="0" fillId="5" borderId="0" xfId="0" applyFill="1"/>
    <xf numFmtId="0" fontId="2" fillId="6" borderId="1" xfId="0" applyFont="1" applyFill="1" applyBorder="1"/>
    <xf numFmtId="164" fontId="0" fillId="6" borderId="0" xfId="1" applyNumberFormat="1" applyFont="1" applyFill="1" applyBorder="1"/>
    <xf numFmtId="0" fontId="0" fillId="6" borderId="0" xfId="0" applyFont="1" applyFill="1" applyBorder="1"/>
    <xf numFmtId="43" fontId="0" fillId="6" borderId="0" xfId="1" applyNumberFormat="1" applyFont="1" applyFill="1" applyBorder="1" applyAlignment="1"/>
    <xf numFmtId="0" fontId="0" fillId="6" borderId="0" xfId="0" applyFill="1"/>
    <xf numFmtId="0" fontId="0" fillId="6" borderId="0" xfId="0" applyFill="1" applyAlignment="1">
      <alignment wrapText="1"/>
    </xf>
    <xf numFmtId="2" fontId="0" fillId="6" borderId="0" xfId="0" applyNumberFormat="1" applyFill="1"/>
    <xf numFmtId="166" fontId="0" fillId="0" borderId="0" xfId="2" applyNumberFormat="1" applyFont="1"/>
    <xf numFmtId="10" fontId="0" fillId="0" borderId="0" xfId="2" applyNumberFormat="1" applyFont="1" applyFill="1"/>
    <xf numFmtId="165" fontId="0" fillId="0" borderId="0" xfId="0" applyNumberFormat="1" applyFill="1" applyAlignment="1">
      <alignment wrapText="1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0</xdr:row>
      <xdr:rowOff>95250</xdr:rowOff>
    </xdr:from>
    <xdr:to>
      <xdr:col>2</xdr:col>
      <xdr:colOff>173982</xdr:colOff>
      <xdr:row>0</xdr:row>
      <xdr:rowOff>1323975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95250"/>
          <a:ext cx="2345682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0</xdr:row>
      <xdr:rowOff>105832</xdr:rowOff>
    </xdr:from>
    <xdr:to>
      <xdr:col>9</xdr:col>
      <xdr:colOff>948682</xdr:colOff>
      <xdr:row>0</xdr:row>
      <xdr:rowOff>1334557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7000" y="105832"/>
          <a:ext cx="2345682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B4" sqref="B4"/>
    </sheetView>
  </sheetViews>
  <sheetFormatPr defaultRowHeight="14.5" x14ac:dyDescent="0.35"/>
  <cols>
    <col min="1" max="1" width="27.1796875" customWidth="1"/>
    <col min="2" max="2" width="17.81640625" customWidth="1"/>
    <col min="3" max="3" width="16.54296875" customWidth="1"/>
    <col min="4" max="4" width="9" bestFit="1" customWidth="1"/>
    <col min="5" max="5" width="8.7265625" bestFit="1" customWidth="1"/>
  </cols>
  <sheetData>
    <row r="1" spans="1:3" ht="107.25" customHeight="1" x14ac:dyDescent="0.35">
      <c r="A1" s="59"/>
      <c r="B1" s="59"/>
      <c r="C1" s="59"/>
    </row>
    <row r="2" spans="1:3" ht="58" x14ac:dyDescent="0.35">
      <c r="B2" s="1" t="s">
        <v>0</v>
      </c>
      <c r="C2" s="1" t="s">
        <v>1</v>
      </c>
    </row>
    <row r="3" spans="1:3" x14ac:dyDescent="0.35">
      <c r="A3" s="2">
        <v>1990</v>
      </c>
      <c r="B3" s="1"/>
    </row>
    <row r="4" spans="1:3" x14ac:dyDescent="0.35">
      <c r="A4" s="43" t="s">
        <v>52</v>
      </c>
      <c r="B4" s="58">
        <f>CVD_Prevalence_1997_65_74*_2017_Male_Prevalence_65_74</f>
        <v>7.0292157659488014E-2</v>
      </c>
      <c r="C4" s="44">
        <f>_1990_Fraction_Male_CVD_65_74*Population_2017</f>
        <v>3459780</v>
      </c>
    </row>
    <row r="5" spans="1:3" x14ac:dyDescent="0.35">
      <c r="A5" s="43" t="s">
        <v>55</v>
      </c>
      <c r="B5" s="58">
        <f>CVD_Prevalence_1997_75*_2017_Male_Prevalence_75</f>
        <v>5.8365379926858994E-2</v>
      </c>
      <c r="C5" s="44">
        <f>_1990_Fraction_Male_CVD_75*Population_2017</f>
        <v>2872743.9999999995</v>
      </c>
    </row>
    <row r="6" spans="1:3" x14ac:dyDescent="0.35">
      <c r="A6" s="43" t="s">
        <v>53</v>
      </c>
      <c r="B6" s="58">
        <f>CVD_Prevalence_1997_65_74*_2017_Female_Prevalence_65_74</f>
        <v>8.0041852905323035E-2</v>
      </c>
      <c r="C6" s="44">
        <f>_1990_Fraction_Female_CVD_65_74*Population_2017</f>
        <v>3939660</v>
      </c>
    </row>
    <row r="7" spans="1:3" x14ac:dyDescent="0.35">
      <c r="A7" s="43" t="s">
        <v>54</v>
      </c>
      <c r="B7" s="58">
        <f>CVD_Prevalence_1997_75*_2017_Female_Prevalence_75</f>
        <v>8.5140349451442499E-2</v>
      </c>
      <c r="C7" s="44">
        <f>_1990_Fraction_Female_CVD_75*Population_2017</f>
        <v>4190608</v>
      </c>
    </row>
    <row r="8" spans="1:3" x14ac:dyDescent="0.35">
      <c r="B8" s="12"/>
      <c r="C8" s="3"/>
    </row>
    <row r="9" spans="1:3" x14ac:dyDescent="0.35">
      <c r="A9" s="2">
        <v>2017</v>
      </c>
      <c r="B9" s="12"/>
      <c r="C9" s="3"/>
    </row>
    <row r="10" spans="1:3" x14ac:dyDescent="0.35">
      <c r="A10" s="43" t="s">
        <v>52</v>
      </c>
      <c r="B10" s="58">
        <f>CVD_Prevalence_2016_65_74*_2017_Male_Prevalence_65_74</f>
        <v>4.8768590004063389E-2</v>
      </c>
      <c r="C10" s="44">
        <f>_2017_Fraction_Male_CVD_65_74*Population_2017</f>
        <v>2400390</v>
      </c>
    </row>
    <row r="11" spans="1:3" x14ac:dyDescent="0.35">
      <c r="A11" s="43" t="s">
        <v>55</v>
      </c>
      <c r="B11" s="58">
        <f>CVD_Prevalence_2016_75*_2017_Male_Prevalence_75</f>
        <v>4.2756034132466474E-2</v>
      </c>
      <c r="C11" s="44">
        <f>_2017_Fraction_Male_CVD_75*Population_2017</f>
        <v>2104452</v>
      </c>
    </row>
    <row r="12" spans="1:3" x14ac:dyDescent="0.35">
      <c r="A12" s="43" t="s">
        <v>53</v>
      </c>
      <c r="B12" s="58">
        <f>CVD_Prevalence_2016_65_74*_2017_Female_Prevalence_65_74</f>
        <v>5.5532913449817145E-2</v>
      </c>
      <c r="C12" s="44">
        <f>_2017_Fraction_Female_CVD_65_74*Population_2017</f>
        <v>2733330</v>
      </c>
    </row>
    <row r="13" spans="1:3" x14ac:dyDescent="0.35">
      <c r="A13" s="43" t="s">
        <v>54</v>
      </c>
      <c r="B13" s="58">
        <f>CVD_Prevalence_2016_75*_2017_Female_Prevalence_75</f>
        <v>6.2370255993498575E-2</v>
      </c>
      <c r="C13" s="44">
        <f>_2017_Fraction_Female_CVD_75*Population_2017</f>
        <v>3069864</v>
      </c>
    </row>
    <row r="16" spans="1:3" x14ac:dyDescent="0.35">
      <c r="A16" s="49" t="s">
        <v>73</v>
      </c>
      <c r="B16" s="49" t="s">
        <v>2</v>
      </c>
    </row>
    <row r="17" spans="1:3" x14ac:dyDescent="0.35">
      <c r="A17" s="51" t="s">
        <v>3</v>
      </c>
      <c r="B17" s="50">
        <v>31241831</v>
      </c>
      <c r="C17" s="4"/>
    </row>
    <row r="18" spans="1:3" x14ac:dyDescent="0.35">
      <c r="A18" s="51" t="s">
        <v>4</v>
      </c>
      <c r="B18" s="50">
        <v>49220000</v>
      </c>
    </row>
    <row r="19" spans="1:3" x14ac:dyDescent="0.35">
      <c r="A19" s="51" t="s">
        <v>57</v>
      </c>
      <c r="B19" s="50">
        <f>_1990_Male_Prevalence_65_74*Population_1990</f>
        <v>7942000</v>
      </c>
      <c r="C19" s="3"/>
    </row>
    <row r="20" spans="1:3" x14ac:dyDescent="0.35">
      <c r="A20" s="51" t="s">
        <v>58</v>
      </c>
      <c r="B20" s="50">
        <f>_1990_Male_Prevalence_75*Population_1990</f>
        <v>4619000</v>
      </c>
      <c r="C20" s="3"/>
    </row>
    <row r="21" spans="1:3" x14ac:dyDescent="0.35">
      <c r="A21" s="51" t="s">
        <v>59</v>
      </c>
      <c r="B21" s="50">
        <f>B29*Population_1990</f>
        <v>10165000</v>
      </c>
      <c r="C21" s="3"/>
    </row>
    <row r="22" spans="1:3" x14ac:dyDescent="0.35">
      <c r="A22" s="51" t="s">
        <v>60</v>
      </c>
      <c r="B22" s="50">
        <f>B30*Population_1990</f>
        <v>8511000</v>
      </c>
      <c r="C22" s="3"/>
    </row>
    <row r="23" spans="1:3" x14ac:dyDescent="0.35">
      <c r="A23" s="51" t="s">
        <v>61</v>
      </c>
      <c r="B23" s="50">
        <f>_2017_Male_Prevalence_65_74*Population_2017</f>
        <v>13410000</v>
      </c>
      <c r="C23" s="3"/>
    </row>
    <row r="24" spans="1:3" x14ac:dyDescent="0.35">
      <c r="A24" s="51" t="s">
        <v>62</v>
      </c>
      <c r="B24" s="50">
        <f>_2017_Male_Prevalence_75*Population_2017</f>
        <v>8350999.9999999991</v>
      </c>
      <c r="C24" s="3"/>
    </row>
    <row r="25" spans="1:3" x14ac:dyDescent="0.35">
      <c r="A25" s="51" t="s">
        <v>63</v>
      </c>
      <c r="B25" s="50">
        <f>_2017_Female_Prevalence_65_74*Population_2017</f>
        <v>15270000</v>
      </c>
      <c r="C25" s="3"/>
    </row>
    <row r="26" spans="1:3" x14ac:dyDescent="0.35">
      <c r="A26" s="51" t="s">
        <v>64</v>
      </c>
      <c r="B26" s="50">
        <f>_2017_Female_Prevalence_75*Population_2017</f>
        <v>12182000</v>
      </c>
      <c r="C26" s="3"/>
    </row>
    <row r="27" spans="1:3" x14ac:dyDescent="0.35">
      <c r="A27" s="53" t="s">
        <v>8</v>
      </c>
      <c r="B27" s="55">
        <v>0.25421045264600528</v>
      </c>
    </row>
    <row r="28" spans="1:3" x14ac:dyDescent="0.35">
      <c r="A28" s="53" t="s">
        <v>9</v>
      </c>
      <c r="B28" s="55">
        <v>0.14784664829663793</v>
      </c>
    </row>
    <row r="29" spans="1:3" x14ac:dyDescent="0.35">
      <c r="A29" s="53" t="s">
        <v>65</v>
      </c>
      <c r="B29" s="55">
        <v>0.3253650530277819</v>
      </c>
    </row>
    <row r="30" spans="1:3" x14ac:dyDescent="0.35">
      <c r="A30" s="53" t="s">
        <v>66</v>
      </c>
      <c r="B30" s="55">
        <v>0.27242321360742267</v>
      </c>
    </row>
    <row r="31" spans="1:3" x14ac:dyDescent="0.35">
      <c r="A31" s="53" t="s">
        <v>10</v>
      </c>
      <c r="B31" s="55">
        <v>0.27245022348638764</v>
      </c>
    </row>
    <row r="32" spans="1:3" x14ac:dyDescent="0.35">
      <c r="A32" s="53" t="s">
        <v>11</v>
      </c>
      <c r="B32" s="55">
        <v>0.1696668021129622</v>
      </c>
    </row>
    <row r="33" spans="1:4" x14ac:dyDescent="0.35">
      <c r="A33" s="53" t="s">
        <v>67</v>
      </c>
      <c r="B33" s="55">
        <v>0.31023973994311255</v>
      </c>
    </row>
    <row r="34" spans="1:4" x14ac:dyDescent="0.35">
      <c r="A34" s="53" t="s">
        <v>68</v>
      </c>
      <c r="B34" s="55">
        <v>0.24750101584721657</v>
      </c>
    </row>
    <row r="35" spans="1:4" x14ac:dyDescent="0.35">
      <c r="A35" s="6"/>
      <c r="B35" s="5"/>
      <c r="C35" s="3"/>
      <c r="D35" s="11"/>
    </row>
    <row r="36" spans="1:4" x14ac:dyDescent="0.35">
      <c r="A36" s="49" t="s">
        <v>74</v>
      </c>
      <c r="B36" s="50"/>
      <c r="C36" s="3"/>
      <c r="D36" s="11"/>
    </row>
    <row r="37" spans="1:4" x14ac:dyDescent="0.35">
      <c r="A37" s="51" t="s">
        <v>5</v>
      </c>
      <c r="B37" s="52">
        <v>0.08</v>
      </c>
      <c r="D37" s="11"/>
    </row>
    <row r="38" spans="1:4" x14ac:dyDescent="0.35">
      <c r="A38" s="53" t="s">
        <v>6</v>
      </c>
      <c r="B38" s="53">
        <v>1.8</v>
      </c>
      <c r="D38" s="11"/>
    </row>
    <row r="39" spans="1:4" x14ac:dyDescent="0.35">
      <c r="A39" s="53" t="s">
        <v>7</v>
      </c>
      <c r="B39" s="53">
        <v>1.72</v>
      </c>
      <c r="D39" s="11"/>
    </row>
    <row r="40" spans="1:4" ht="29" x14ac:dyDescent="0.35">
      <c r="A40" s="54" t="s">
        <v>12</v>
      </c>
      <c r="B40" s="55">
        <f>Baseline_Mortality_Risk*Male_OR</f>
        <v>0.1376</v>
      </c>
      <c r="D40" s="11"/>
    </row>
    <row r="41" spans="1:4" ht="29" x14ac:dyDescent="0.35">
      <c r="A41" s="54" t="s">
        <v>13</v>
      </c>
      <c r="B41" s="55">
        <f>Baseline_Mortality_Risk*Age_OR*Male_OR</f>
        <v>0.24768000000000004</v>
      </c>
      <c r="D41" s="11"/>
    </row>
    <row r="42" spans="1:4" ht="29" x14ac:dyDescent="0.35">
      <c r="A42" s="54" t="s">
        <v>14</v>
      </c>
      <c r="B42" s="53">
        <f>Baseline_Mortality_Risk</f>
        <v>0.08</v>
      </c>
      <c r="D42" s="11"/>
    </row>
    <row r="43" spans="1:4" ht="29" x14ac:dyDescent="0.35">
      <c r="A43" s="54" t="s">
        <v>15</v>
      </c>
      <c r="B43" s="55">
        <f>Baseline_Mortality_Risk*Age_OR</f>
        <v>0.14400000000000002</v>
      </c>
    </row>
    <row r="44" spans="1:4" x14ac:dyDescent="0.35">
      <c r="A44" s="54" t="s">
        <v>16</v>
      </c>
      <c r="B44" s="53">
        <v>1.4E-2</v>
      </c>
    </row>
    <row r="46" spans="1:4" ht="29" x14ac:dyDescent="0.35">
      <c r="A46" s="45" t="s">
        <v>17</v>
      </c>
      <c r="B46" s="46"/>
    </row>
    <row r="47" spans="1:4" ht="43.5" x14ac:dyDescent="0.35">
      <c r="A47" s="47" t="s">
        <v>18</v>
      </c>
      <c r="B47" s="48">
        <v>2.12</v>
      </c>
    </row>
    <row r="48" spans="1:4" ht="29" x14ac:dyDescent="0.35">
      <c r="A48" s="47" t="s">
        <v>19</v>
      </c>
      <c r="B48" s="48">
        <v>0.25800000000000001</v>
      </c>
    </row>
    <row r="49" spans="1:4" ht="29" x14ac:dyDescent="0.35">
      <c r="A49" s="47" t="s">
        <v>20</v>
      </c>
      <c r="B49" s="48">
        <v>0.34399999999999997</v>
      </c>
    </row>
    <row r="50" spans="1:4" ht="29" x14ac:dyDescent="0.35">
      <c r="A50" s="47" t="s">
        <v>21</v>
      </c>
      <c r="B50" s="48">
        <v>0.17899999999999999</v>
      </c>
    </row>
    <row r="51" spans="1:4" ht="29" x14ac:dyDescent="0.35">
      <c r="A51" s="47" t="s">
        <v>22</v>
      </c>
      <c r="B51" s="48">
        <v>0.252</v>
      </c>
      <c r="D51" s="11"/>
    </row>
    <row r="52" spans="1:4" x14ac:dyDescent="0.35">
      <c r="D52" s="11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24"/>
  <sheetViews>
    <sheetView zoomScale="90" zoomScaleNormal="90" workbookViewId="0">
      <pane xSplit="1" ySplit="7" topLeftCell="E8" activePane="bottomRight" state="frozen"/>
      <selection pane="topRight" activeCell="B1" sqref="B1"/>
      <selection pane="bottomLeft" activeCell="A7" sqref="A7"/>
      <selection pane="bottomRight" activeCell="M19" sqref="M19"/>
    </sheetView>
  </sheetViews>
  <sheetFormatPr defaultRowHeight="14.5" x14ac:dyDescent="0.35"/>
  <cols>
    <col min="1" max="1" width="27.81640625" bestFit="1" customWidth="1"/>
    <col min="2" max="2" width="12" bestFit="1" customWidth="1"/>
    <col min="3" max="3" width="13.453125" bestFit="1" customWidth="1"/>
    <col min="4" max="4" width="12.26953125" bestFit="1" customWidth="1"/>
    <col min="5" max="5" width="17.26953125" customWidth="1"/>
    <col min="7" max="7" width="12" bestFit="1" customWidth="1"/>
    <col min="8" max="8" width="12.7265625" bestFit="1" customWidth="1"/>
    <col min="9" max="10" width="20.1796875" customWidth="1"/>
    <col min="11" max="11" width="17.54296875" customWidth="1"/>
    <col min="13" max="13" width="12" bestFit="1" customWidth="1"/>
    <col min="14" max="14" width="12.7265625" bestFit="1" customWidth="1"/>
    <col min="15" max="15" width="18.453125" customWidth="1"/>
    <col min="16" max="16" width="20.54296875" customWidth="1"/>
    <col min="17" max="17" width="14.54296875" customWidth="1"/>
    <col min="19" max="19" width="15.7265625" customWidth="1"/>
    <col min="20" max="20" width="15" customWidth="1"/>
    <col min="21" max="21" width="14.7265625" customWidth="1"/>
    <col min="22" max="22" width="19.26953125" customWidth="1"/>
    <col min="23" max="23" width="16" customWidth="1"/>
  </cols>
  <sheetData>
    <row r="1" spans="1:23" ht="110.25" customHeight="1" x14ac:dyDescent="0.3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23" x14ac:dyDescent="0.35">
      <c r="A2" s="10" t="s">
        <v>32</v>
      </c>
      <c r="B2" t="s">
        <v>33</v>
      </c>
      <c r="C2" s="33"/>
      <c r="D2" s="7"/>
    </row>
    <row r="3" spans="1:23" x14ac:dyDescent="0.35">
      <c r="A3" s="10" t="s">
        <v>34</v>
      </c>
      <c r="B3" t="s">
        <v>35</v>
      </c>
      <c r="C3" s="33"/>
      <c r="D3" s="7"/>
    </row>
    <row r="4" spans="1:23" x14ac:dyDescent="0.35">
      <c r="A4" s="10"/>
      <c r="C4" s="33"/>
      <c r="D4" s="7"/>
      <c r="G4" s="34"/>
      <c r="H4" s="34"/>
      <c r="M4" s="34"/>
      <c r="N4" s="34"/>
    </row>
    <row r="5" spans="1:23" x14ac:dyDescent="0.35">
      <c r="A5" s="23"/>
      <c r="B5" s="2" t="s">
        <v>36</v>
      </c>
      <c r="C5" s="35" t="s">
        <v>37</v>
      </c>
      <c r="D5" s="36" t="s">
        <v>38</v>
      </c>
      <c r="E5" s="2" t="s">
        <v>39</v>
      </c>
      <c r="F5" s="2"/>
      <c r="G5" s="2" t="s">
        <v>40</v>
      </c>
      <c r="H5" s="2" t="s">
        <v>41</v>
      </c>
      <c r="I5" s="2" t="s">
        <v>42</v>
      </c>
      <c r="J5" s="2" t="s">
        <v>23</v>
      </c>
      <c r="K5" s="2" t="s">
        <v>43</v>
      </c>
      <c r="M5" s="2" t="s">
        <v>40</v>
      </c>
      <c r="N5" s="2" t="s">
        <v>41</v>
      </c>
      <c r="O5" s="2" t="s">
        <v>42</v>
      </c>
      <c r="P5" s="2" t="s">
        <v>23</v>
      </c>
      <c r="Q5" s="2" t="s">
        <v>43</v>
      </c>
    </row>
    <row r="6" spans="1:23" x14ac:dyDescent="0.35">
      <c r="A6" s="37" t="s">
        <v>43</v>
      </c>
      <c r="B6" s="37" t="s">
        <v>44</v>
      </c>
      <c r="C6" s="38" t="s">
        <v>45</v>
      </c>
      <c r="D6" s="39" t="s">
        <v>46</v>
      </c>
      <c r="E6" s="37" t="s">
        <v>45</v>
      </c>
      <c r="F6" s="37"/>
      <c r="G6" s="37" t="s">
        <v>47</v>
      </c>
      <c r="H6" s="37" t="s">
        <v>36</v>
      </c>
      <c r="I6" s="37" t="s">
        <v>48</v>
      </c>
      <c r="J6" s="37" t="s">
        <v>49</v>
      </c>
      <c r="K6" s="37" t="s">
        <v>49</v>
      </c>
      <c r="M6" s="37" t="s">
        <v>47</v>
      </c>
      <c r="N6" s="37" t="s">
        <v>36</v>
      </c>
      <c r="O6" s="37" t="s">
        <v>48</v>
      </c>
      <c r="P6" s="37" t="s">
        <v>49</v>
      </c>
      <c r="Q6" s="37" t="s">
        <v>49</v>
      </c>
    </row>
    <row r="7" spans="1:23" ht="43.5" x14ac:dyDescent="0.35">
      <c r="A7" s="37"/>
      <c r="B7" s="37"/>
      <c r="C7" s="38"/>
      <c r="D7" s="40"/>
      <c r="E7" s="41" t="s">
        <v>50</v>
      </c>
      <c r="F7" s="41"/>
      <c r="G7" s="41"/>
      <c r="H7" s="41"/>
      <c r="I7" s="41" t="s">
        <v>51</v>
      </c>
      <c r="J7" s="41" t="s">
        <v>72</v>
      </c>
      <c r="K7" s="41" t="s">
        <v>56</v>
      </c>
      <c r="M7" s="41"/>
      <c r="N7" s="41"/>
      <c r="O7" s="41" t="s">
        <v>51</v>
      </c>
      <c r="P7" s="41" t="s">
        <v>72</v>
      </c>
      <c r="Q7" s="41" t="s">
        <v>56</v>
      </c>
      <c r="S7" s="41" t="s">
        <v>77</v>
      </c>
      <c r="T7" s="41" t="s">
        <v>78</v>
      </c>
      <c r="U7" s="41" t="s">
        <v>79</v>
      </c>
      <c r="V7" s="41" t="s">
        <v>80</v>
      </c>
      <c r="W7" s="41" t="s">
        <v>81</v>
      </c>
    </row>
    <row r="8" spans="1:23" x14ac:dyDescent="0.3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3" x14ac:dyDescent="0.35">
      <c r="A9" s="42"/>
      <c r="G9" s="60" t="s">
        <v>75</v>
      </c>
      <c r="H9" s="61"/>
      <c r="I9" s="61"/>
      <c r="J9" s="61"/>
      <c r="K9" s="61"/>
      <c r="M9" s="60" t="s">
        <v>76</v>
      </c>
      <c r="N9" s="61"/>
      <c r="O9" s="61"/>
      <c r="P9" s="61"/>
      <c r="Q9" s="61"/>
    </row>
    <row r="10" spans="1:23" x14ac:dyDescent="0.35">
      <c r="A10" s="8" t="s">
        <v>23</v>
      </c>
      <c r="K10" s="9"/>
    </row>
    <row r="11" spans="1:23" x14ac:dyDescent="0.35">
      <c r="A11" s="10"/>
      <c r="E11" s="11"/>
      <c r="F11" s="11"/>
      <c r="G11" s="62" t="s">
        <v>71</v>
      </c>
      <c r="H11" s="62"/>
      <c r="I11" s="62"/>
      <c r="J11" s="62"/>
      <c r="K11" s="62"/>
      <c r="L11" s="62"/>
      <c r="M11" s="62"/>
      <c r="N11" s="62"/>
      <c r="O11" s="62"/>
      <c r="P11" s="62"/>
      <c r="Q11" s="62"/>
    </row>
    <row r="12" spans="1:23" x14ac:dyDescent="0.35">
      <c r="A12" t="s">
        <v>69</v>
      </c>
      <c r="G12" t="s">
        <v>24</v>
      </c>
      <c r="M12" t="s">
        <v>24</v>
      </c>
    </row>
    <row r="13" spans="1:23" x14ac:dyDescent="0.35">
      <c r="A13" t="s">
        <v>25</v>
      </c>
      <c r="B13" s="12">
        <f>_1990_Fraction_Female_CVD_65_74</f>
        <v>8.0041852905323035E-2</v>
      </c>
      <c r="C13" s="7">
        <f>Female_65_74_Baseline_Mortality_Risk_no_Comorbidity</f>
        <v>0.08</v>
      </c>
      <c r="D13">
        <f>CVD_OR</f>
        <v>2.12</v>
      </c>
      <c r="E13" s="7">
        <f>+D13*C13</f>
        <v>0.1696</v>
      </c>
      <c r="G13" s="3">
        <f>Hospitalization_Rate*_1990_Population_Female_CVD_65_74</f>
        <v>55155.24</v>
      </c>
      <c r="H13" s="3">
        <f>Population_2017*_1990_Fraction_Female_CVD_65_74</f>
        <v>3939660</v>
      </c>
      <c r="I13" s="13">
        <f>E13*G13</f>
        <v>9354.3287039999996</v>
      </c>
      <c r="J13" s="14">
        <f>I13/H13</f>
        <v>2.3744E-3</v>
      </c>
      <c r="K13" s="14">
        <f>I13/_2017_Total_Female_Population_65_74</f>
        <v>6.1259519999999992E-4</v>
      </c>
      <c r="M13" s="3">
        <f>Hospitalization_Rate*_2017_Population_Female_CVD_65_74</f>
        <v>38266.620000000003</v>
      </c>
      <c r="N13" s="3">
        <f>Population_2017*_2017_Fraction_Female_CVD_65_74</f>
        <v>2733330</v>
      </c>
      <c r="O13" s="13">
        <f>M13*E13</f>
        <v>6490.0187520000009</v>
      </c>
      <c r="P13" s="14">
        <f>O13/_2017_Population_Female_CVD_65_74</f>
        <v>2.3744000000000005E-3</v>
      </c>
      <c r="Q13" s="14">
        <f>O13/_2017_Total_Female_Population_65_74</f>
        <v>4.2501760000000007E-4</v>
      </c>
      <c r="S13" s="12">
        <f>_1990_Fraction_Female_CVD_65_74</f>
        <v>8.0041852905323035E-2</v>
      </c>
      <c r="T13" s="12">
        <f>_2017_Fraction_Female_CVD_65_74</f>
        <v>5.5532913449817145E-2</v>
      </c>
      <c r="U13" s="7">
        <f>T13/S13</f>
        <v>0.69379844961240311</v>
      </c>
      <c r="V13" s="56">
        <f>K13*U13</f>
        <v>4.2501759999999996E-4</v>
      </c>
      <c r="W13" s="4">
        <f>V13/Q13</f>
        <v>0.99999999999999978</v>
      </c>
    </row>
    <row r="14" spans="1:23" x14ac:dyDescent="0.35">
      <c r="A14" t="s">
        <v>26</v>
      </c>
      <c r="B14" s="12">
        <f>_1990_Fraction_Female_CVD_75</f>
        <v>8.5140349451442499E-2</v>
      </c>
      <c r="C14" s="7">
        <f>Female_75_Baseline_Mortality_Risk_no_Comorbidity</f>
        <v>0.14400000000000002</v>
      </c>
      <c r="D14">
        <f>CVD_OR</f>
        <v>2.12</v>
      </c>
      <c r="E14" s="7">
        <f t="shared" ref="E14:E19" si="0">+D14*C14</f>
        <v>0.30528000000000005</v>
      </c>
      <c r="G14" s="3">
        <f>Hospitalization_Rate*_1990_Population_Female_CVD_75</f>
        <v>58668.512000000002</v>
      </c>
      <c r="H14" s="3">
        <f>Population_2017*_1990_Fraction_Female_CVD_75</f>
        <v>4190608</v>
      </c>
      <c r="I14" s="13">
        <f>E14*G14</f>
        <v>17910.323343360003</v>
      </c>
      <c r="J14" s="14">
        <f t="shared" ref="J14:J20" si="1">I14/H14</f>
        <v>4.2739200000000005E-3</v>
      </c>
      <c r="K14" s="14">
        <f>I14/_2017_Total_Female_Population_75</f>
        <v>1.4702284800000003E-3</v>
      </c>
      <c r="M14" s="3">
        <f>Hospitalization_Rate*_2017_Population_Female_CVD_75</f>
        <v>42978.095999999998</v>
      </c>
      <c r="N14" s="3">
        <f>Population_2017*_2017_Fraction_Female_CVD_75</f>
        <v>3069864</v>
      </c>
      <c r="O14" s="13">
        <f>M14*E14</f>
        <v>13120.353146880001</v>
      </c>
      <c r="P14" s="14">
        <f>O14/_2017_Population_Female_CVD_75</f>
        <v>4.2739200000000005E-3</v>
      </c>
      <c r="Q14" s="14">
        <f>O14/_2017_Total_Female_Population_75</f>
        <v>1.07702784E-3</v>
      </c>
      <c r="S14" s="12">
        <f>_1990_Fraction_Female_CVD_75</f>
        <v>8.5140349451442499E-2</v>
      </c>
      <c r="T14" s="12">
        <f>_2017_Fraction_Female_CVD_75</f>
        <v>6.2370255993498575E-2</v>
      </c>
      <c r="U14" s="7">
        <f t="shared" ref="U14:U19" si="2">T14/S14</f>
        <v>0.73255813953488369</v>
      </c>
      <c r="V14" s="56">
        <f t="shared" ref="V14:V19" si="3">K14*U14</f>
        <v>1.0770278400000003E-3</v>
      </c>
      <c r="W14" s="4">
        <f t="shared" ref="W14:W19" si="4">V14/Q14</f>
        <v>1.0000000000000002</v>
      </c>
    </row>
    <row r="15" spans="1:23" x14ac:dyDescent="0.35">
      <c r="A15" s="15" t="s">
        <v>27</v>
      </c>
      <c r="B15" s="16"/>
      <c r="C15" s="17"/>
      <c r="D15" s="17"/>
      <c r="E15" s="18"/>
      <c r="F15" s="19"/>
      <c r="G15" s="19"/>
      <c r="H15" s="20">
        <f>SUM(H13:H14)</f>
        <v>8130268</v>
      </c>
      <c r="I15" s="17">
        <f>SUM(I13:I14)</f>
        <v>27264.652047360003</v>
      </c>
      <c r="J15" s="21">
        <f t="shared" si="1"/>
        <v>3.3534751926209572E-3</v>
      </c>
      <c r="K15" s="21">
        <f>I15/(_2017_Total_Female_Population_65_74+_2017_Total_Female_Population_75)</f>
        <v>9.9317543520909229E-4</v>
      </c>
      <c r="L15" s="22"/>
      <c r="M15" s="19"/>
      <c r="N15" s="20">
        <f>SUM(N13:N14)</f>
        <v>5803194</v>
      </c>
      <c r="O15" s="17">
        <f>SUM(O13:O14)</f>
        <v>19610.371898880003</v>
      </c>
      <c r="P15" s="21">
        <f>O15/(_2017_Population_Female_CVD_65_74+_2017_Population_Female_CVD_75)</f>
        <v>3.3792376920158112E-3</v>
      </c>
      <c r="Q15" s="21">
        <f>O15/(_2017_Total_Female_Population_65_74+_2017_Total_Female_Population_75)</f>
        <v>7.1435130041089918E-4</v>
      </c>
      <c r="S15" s="12"/>
      <c r="T15" s="12"/>
      <c r="U15" s="7"/>
      <c r="V15" s="56"/>
      <c r="W15" s="4"/>
    </row>
    <row r="16" spans="1:23" x14ac:dyDescent="0.35">
      <c r="A16" s="23"/>
      <c r="B16" s="12"/>
      <c r="C16" s="13"/>
      <c r="D16" s="13"/>
      <c r="E16" s="7"/>
      <c r="H16" s="3"/>
      <c r="J16" s="14"/>
      <c r="L16" s="22"/>
      <c r="N16" s="3"/>
      <c r="S16" s="12"/>
      <c r="T16" s="12"/>
      <c r="U16" s="7"/>
      <c r="V16" s="56"/>
      <c r="W16" s="4"/>
    </row>
    <row r="17" spans="1:23" x14ac:dyDescent="0.35">
      <c r="A17" t="s">
        <v>70</v>
      </c>
      <c r="B17" s="12"/>
      <c r="C17" s="7"/>
      <c r="E17" s="7"/>
      <c r="G17" t="s">
        <v>28</v>
      </c>
      <c r="H17" s="3"/>
      <c r="J17" s="14"/>
      <c r="L17" s="22"/>
      <c r="M17" t="s">
        <v>28</v>
      </c>
      <c r="N17" s="3"/>
      <c r="S17" s="12"/>
      <c r="T17" s="12"/>
      <c r="U17" s="7"/>
      <c r="V17" s="56"/>
      <c r="W17" s="4"/>
    </row>
    <row r="18" spans="1:23" x14ac:dyDescent="0.35">
      <c r="A18" t="s">
        <v>25</v>
      </c>
      <c r="B18" s="12">
        <f>_1990_Fraction_Male_CVD_65_74</f>
        <v>7.0292157659488014E-2</v>
      </c>
      <c r="C18" s="7">
        <f>Male_65_74_Baseline_Mortality_Risk_no_Comorbidity</f>
        <v>0.1376</v>
      </c>
      <c r="D18">
        <f>CVD_OR</f>
        <v>2.12</v>
      </c>
      <c r="E18" s="7">
        <f t="shared" si="0"/>
        <v>0.29171200000000003</v>
      </c>
      <c r="G18" s="3">
        <f>Hospitalization_Rate*_1990_Population_Male_CVD_65_74</f>
        <v>48436.92</v>
      </c>
      <c r="H18" s="3">
        <f>Population_2017*_1990_Fraction_Male_CVD_65_74</f>
        <v>3459780</v>
      </c>
      <c r="I18" s="13">
        <f>E18*G18</f>
        <v>14129.630807040001</v>
      </c>
      <c r="J18" s="14">
        <f t="shared" si="1"/>
        <v>4.0839680000000003E-3</v>
      </c>
      <c r="K18" s="14">
        <f>I18/_2017_Total_Male_Population_65_74</f>
        <v>1.0536637440000001E-3</v>
      </c>
      <c r="L18" s="22"/>
      <c r="M18" s="3">
        <f>Hospitalization_Rate*_2017_Population_Male_CVD_65_74</f>
        <v>33605.46</v>
      </c>
      <c r="N18" s="3">
        <f>Population_2017*_2017_Fraction_Male_CVD_65_74</f>
        <v>2400390</v>
      </c>
      <c r="O18" s="13">
        <f>M18*E18</f>
        <v>9803.1159475200002</v>
      </c>
      <c r="P18" s="14">
        <f>O18/_2017_Population_Male_CVD_65_74</f>
        <v>4.0839680000000003E-3</v>
      </c>
      <c r="Q18" s="14">
        <f>O18/_2017_Total_Male_Population_65_74</f>
        <v>7.3103027200000002E-4</v>
      </c>
      <c r="S18" s="12">
        <f>_1990_Fraction_Male_CVD_65_74</f>
        <v>7.0292157659488014E-2</v>
      </c>
      <c r="T18" s="12">
        <f>_2017_Fraction_Male_CVD_65_74</f>
        <v>4.8768590004063389E-2</v>
      </c>
      <c r="U18" s="7">
        <f t="shared" si="2"/>
        <v>0.69379844961240311</v>
      </c>
      <c r="V18" s="56">
        <f t="shared" si="3"/>
        <v>7.3103027200000013E-4</v>
      </c>
      <c r="W18" s="4">
        <f t="shared" si="4"/>
        <v>1.0000000000000002</v>
      </c>
    </row>
    <row r="19" spans="1:23" x14ac:dyDescent="0.35">
      <c r="A19" t="s">
        <v>26</v>
      </c>
      <c r="B19" s="12">
        <f>_1990_Fraction_Male_CVD_75</f>
        <v>5.8365379926858994E-2</v>
      </c>
      <c r="C19" s="7">
        <f>Male_75_Baseline_Mortality_Risk_no_Comorbidity</f>
        <v>0.24768000000000004</v>
      </c>
      <c r="D19">
        <f>CVD_OR</f>
        <v>2.12</v>
      </c>
      <c r="E19" s="7">
        <f t="shared" si="0"/>
        <v>0.52508160000000015</v>
      </c>
      <c r="G19" s="3">
        <f>Hospitalization_Rate*_1990_Population_Male_CVD_75</f>
        <v>40218.415999999997</v>
      </c>
      <c r="H19" s="3">
        <f>Population_2017*_1990_Fraction_Male_CVD_75</f>
        <v>2872743.9999999995</v>
      </c>
      <c r="I19" s="13">
        <f>E19*G19</f>
        <v>21117.950222745603</v>
      </c>
      <c r="J19" s="57">
        <f t="shared" si="1"/>
        <v>7.3511424000000025E-3</v>
      </c>
      <c r="K19" s="14">
        <f>I19/_2017_Total_Male_Population_75</f>
        <v>2.5287929856000007E-3</v>
      </c>
      <c r="L19" s="22"/>
      <c r="M19" s="3">
        <f>Hospitalization_Rate*_2017_Population_Male_CVD_75</f>
        <v>29462.328000000001</v>
      </c>
      <c r="N19" s="3">
        <f>Population_2017*_2017_Fraction_Male_CVD_75</f>
        <v>2104452</v>
      </c>
      <c r="O19" s="13">
        <f>M19*E19</f>
        <v>15470.126325964806</v>
      </c>
      <c r="P19" s="14">
        <f>O19/_2017_Population_Male_CVD_75</f>
        <v>7.3511424000000025E-3</v>
      </c>
      <c r="Q19" s="14">
        <f>O19/_2017_Total_Male_Population_75</f>
        <v>1.8524878848000009E-3</v>
      </c>
      <c r="S19" s="12">
        <f>_1990_Fraction_Male_CVD_75</f>
        <v>5.8365379926858994E-2</v>
      </c>
      <c r="T19" s="12">
        <f>_2017_Fraction_Male_CVD_75</f>
        <v>4.2756034132466474E-2</v>
      </c>
      <c r="U19" s="7">
        <f t="shared" si="2"/>
        <v>0.73255813953488369</v>
      </c>
      <c r="V19" s="56">
        <f t="shared" si="3"/>
        <v>1.8524878848000005E-3</v>
      </c>
      <c r="W19" s="4">
        <f t="shared" si="4"/>
        <v>0.99999999999999978</v>
      </c>
    </row>
    <row r="20" spans="1:23" x14ac:dyDescent="0.35">
      <c r="A20" s="15" t="s">
        <v>27</v>
      </c>
      <c r="B20" s="16"/>
      <c r="C20" s="18"/>
      <c r="D20" s="19"/>
      <c r="E20" s="18"/>
      <c r="F20" s="19"/>
      <c r="G20" s="19"/>
      <c r="H20" s="20">
        <f>SUM(H18:H19)</f>
        <v>6332524</v>
      </c>
      <c r="I20" s="17">
        <f>SUM(I18:I19)</f>
        <v>35247.581029785608</v>
      </c>
      <c r="J20" s="21">
        <f t="shared" si="1"/>
        <v>5.5661188224135601E-3</v>
      </c>
      <c r="K20" s="21">
        <f>I20/(_2017_Total_Male_Population_65_74+_2017_Total_Male_Population_75)</f>
        <v>1.6197592495650755E-3</v>
      </c>
      <c r="L20" s="22"/>
      <c r="M20" s="19"/>
      <c r="N20" s="20">
        <f>SUM(N18:N19)</f>
        <v>4504842</v>
      </c>
      <c r="O20" s="17">
        <f>SUM(O18:O19)</f>
        <v>25273.242273484808</v>
      </c>
      <c r="P20" s="21">
        <f>O20/(_2017_Population_Male_CVD_65_74+_2017_Population_Male_CVD_75)</f>
        <v>5.6102394431335901E-3</v>
      </c>
      <c r="Q20" s="21">
        <f>O20/(_2017_Total_Male_Population_65_74+_2017_Total_Male_Population_75)</f>
        <v>1.1614007754002485E-3</v>
      </c>
    </row>
    <row r="22" spans="1:23" x14ac:dyDescent="0.35">
      <c r="A22" s="24"/>
      <c r="B22" s="25"/>
      <c r="C22" s="26"/>
      <c r="D22" s="22"/>
      <c r="E22" s="26"/>
      <c r="F22" s="63" t="s">
        <v>29</v>
      </c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1:23" x14ac:dyDescent="0.35">
      <c r="A23" s="24"/>
      <c r="B23" s="25"/>
      <c r="C23" s="26"/>
      <c r="D23" s="22"/>
      <c r="E23" s="26"/>
      <c r="F23" s="27" t="s">
        <v>30</v>
      </c>
      <c r="G23" s="28">
        <f>SUM(G13:G14,G18:G19)</f>
        <v>202479.08800000002</v>
      </c>
      <c r="H23" s="28">
        <f>SUM(H13:H14,H18:H19)</f>
        <v>14462792</v>
      </c>
      <c r="I23" s="28">
        <f>SUM(I13:I14,I18:I19)</f>
        <v>62512.233077145611</v>
      </c>
      <c r="J23" s="29">
        <f>I23/(H23)</f>
        <v>4.322279756021217E-3</v>
      </c>
      <c r="K23" s="29">
        <f>I23/Population_2017</f>
        <v>1.2700575594706545E-3</v>
      </c>
      <c r="L23" s="30" t="s">
        <v>31</v>
      </c>
      <c r="M23" s="31">
        <f>SUM(M13:M14,M18:M19)</f>
        <v>144312.50400000002</v>
      </c>
      <c r="N23" s="31">
        <f>SUM(N13:N14,N18:N19)</f>
        <v>10308036</v>
      </c>
      <c r="O23" s="31">
        <f>SUM(O13:O14,O18:O19)</f>
        <v>44883.614172364811</v>
      </c>
      <c r="P23" s="29">
        <f>O23/N23</f>
        <v>4.3542352949063048E-3</v>
      </c>
      <c r="Q23" s="29">
        <f>O23/Population_2017</f>
        <v>9.1189789053971581E-4</v>
      </c>
    </row>
    <row r="24" spans="1:23" x14ac:dyDescent="0.35">
      <c r="E24" s="7"/>
      <c r="F24" s="7"/>
      <c r="H24" s="9"/>
      <c r="I24" s="32"/>
      <c r="J24" s="32"/>
      <c r="K24" s="32"/>
      <c r="P24" s="32"/>
    </row>
  </sheetData>
  <mergeCells count="5">
    <mergeCell ref="G9:K9"/>
    <mergeCell ref="M9:Q9"/>
    <mergeCell ref="G11:Q11"/>
    <mergeCell ref="F22:Q22"/>
    <mergeCell ref="A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47</vt:i4>
      </vt:variant>
    </vt:vector>
  </HeadingPairs>
  <TitlesOfParts>
    <vt:vector size="49" baseType="lpstr">
      <vt:lpstr>Input</vt:lpstr>
      <vt:lpstr>CVD Output</vt:lpstr>
      <vt:lpstr>_1990_Female_Prevalence_65_74</vt:lpstr>
      <vt:lpstr>_1990_Female_Prevalence_75</vt:lpstr>
      <vt:lpstr>_1990_Fraction_Female_CVD_65_74</vt:lpstr>
      <vt:lpstr>_1990_Fraction_Female_CVD_75</vt:lpstr>
      <vt:lpstr>_1990_Fraction_Male_CVD_65_74</vt:lpstr>
      <vt:lpstr>_1990_Fraction_Male_CVD_75</vt:lpstr>
      <vt:lpstr>_1990_Male_Prevalence_65_74</vt:lpstr>
      <vt:lpstr>_1990_Male_Prevalence_75</vt:lpstr>
      <vt:lpstr>_1990_Population_Female_CVD_65_74</vt:lpstr>
      <vt:lpstr>_1990_Population_Female_CVD_75</vt:lpstr>
      <vt:lpstr>_1990_Population_Male_CVD_65_74</vt:lpstr>
      <vt:lpstr>_1990_Population_Male_CVD_75</vt:lpstr>
      <vt:lpstr>_1990_Total_Female_Population_65_74</vt:lpstr>
      <vt:lpstr>_1990_Total_Female_Population_75</vt:lpstr>
      <vt:lpstr>_1990_Total_Male_Population_65_74</vt:lpstr>
      <vt:lpstr>_1990_Total_Male_Population_75</vt:lpstr>
      <vt:lpstr>_2017_Female_Prevalence_65_74</vt:lpstr>
      <vt:lpstr>_2017_Female_Prevalence_75</vt:lpstr>
      <vt:lpstr>_2017_Fraction_Female_CVD_65_74</vt:lpstr>
      <vt:lpstr>_2017_Fraction_Female_CVD_75</vt:lpstr>
      <vt:lpstr>_2017_Fraction_Male_CVD_65_74</vt:lpstr>
      <vt:lpstr>_2017_Fraction_Male_CVD_75</vt:lpstr>
      <vt:lpstr>_2017_Male_Prevalence_65_74</vt:lpstr>
      <vt:lpstr>_2017_Male_Prevalence_75</vt:lpstr>
      <vt:lpstr>_2017_Population_Female_CVD_65_74</vt:lpstr>
      <vt:lpstr>_2017_Population_Female_CVD_75</vt:lpstr>
      <vt:lpstr>_2017_Population_Male_CVD_65_74</vt:lpstr>
      <vt:lpstr>_2017_Population_Male_CVD_75</vt:lpstr>
      <vt:lpstr>_2017_Total_Female_Population_65_74</vt:lpstr>
      <vt:lpstr>_2017_Total_Female_Population_75</vt:lpstr>
      <vt:lpstr>_2017_Total_Male_Population_65_74</vt:lpstr>
      <vt:lpstr>_2017_Total_Male_Population_75</vt:lpstr>
      <vt:lpstr>Age_OR</vt:lpstr>
      <vt:lpstr>Baseline_Mortality_Risk</vt:lpstr>
      <vt:lpstr>CVD_OR</vt:lpstr>
      <vt:lpstr>CVD_Prevalence_1997_65_74</vt:lpstr>
      <vt:lpstr>CVD_Prevalence_1997_75</vt:lpstr>
      <vt:lpstr>CVD_Prevalence_2016_65_74</vt:lpstr>
      <vt:lpstr>CVD_Prevalence_2016_75</vt:lpstr>
      <vt:lpstr>Female_65_74_Baseline_Mortality_Risk_no_Comorbidity</vt:lpstr>
      <vt:lpstr>Female_75_Baseline_Mortality_Risk_no_Comorbidity</vt:lpstr>
      <vt:lpstr>Hospitalization_Rate</vt:lpstr>
      <vt:lpstr>Male_65_74_Baseline_Mortality_Risk_no_Comorbidity</vt:lpstr>
      <vt:lpstr>Male_75_Baseline_Mortality_Risk_no_Comorbidity</vt:lpstr>
      <vt:lpstr>Male_OR</vt:lpstr>
      <vt:lpstr>Population_1990</vt:lpstr>
      <vt:lpstr>Population_2017</vt:lpstr>
    </vt:vector>
  </TitlesOfParts>
  <Company>Tufts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Voehler, Dominic</dc:creator>
  <cp:lastModifiedBy>Voehler, Dominic</cp:lastModifiedBy>
  <dcterms:created xsi:type="dcterms:W3CDTF">2021-04-07T20:14:00Z</dcterms:created>
  <dcterms:modified xsi:type="dcterms:W3CDTF">2021-12-10T19:49:52Z</dcterms:modified>
</cp:coreProperties>
</file>