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Amgen - Innovation and COVID\Models\Reanalysis\"/>
    </mc:Choice>
  </mc:AlternateContent>
  <bookViews>
    <workbookView xWindow="0" yWindow="0" windowWidth="21600" windowHeight="8115"/>
  </bookViews>
  <sheets>
    <sheet name="Input" sheetId="1" r:id="rId1"/>
    <sheet name="Hypertension Output" sheetId="3" r:id="rId2"/>
  </sheets>
  <definedNames>
    <definedName name="_1990_Female_Prevalence_65_74">Input!$B$35</definedName>
    <definedName name="_1990_Female_Prevalence_75">Input!$B$36</definedName>
    <definedName name="_1990_Fraction_Female_Hypertension_PC_65_74">Input!$B$8</definedName>
    <definedName name="_1990_Fraction_Female_Hypertension_PC_75">Input!$B$10</definedName>
    <definedName name="_1990_Fraction_Female_Hypertension_WC_65_74">Input!$B$9</definedName>
    <definedName name="_1990_Fraction_Female_Hypertension_WC_75">Input!$B$11</definedName>
    <definedName name="_1990_Fraction_Female_LDL_PC_65_74">Input!$D$8</definedName>
    <definedName name="_1990_Fraction_Female_LDL_PC_75">Input!$D$10</definedName>
    <definedName name="_1990_Fraction_Female_LDL_WC_65_74">Input!$D$9</definedName>
    <definedName name="_1990_Fraction_Female_LDL_WC_75">Input!$D$11</definedName>
    <definedName name="_1990_Fraction_Female_PC_Diabetes_65_74">Input!#REF!</definedName>
    <definedName name="_1990_Fraction_Female_PC_Diabetes_75">Input!#REF!</definedName>
    <definedName name="_1990_Fraction_Female_WC_Diabetes_65_74">Input!#REF!</definedName>
    <definedName name="_1990_Fraction_Female_WC_Diabetes_75">Input!#REF!</definedName>
    <definedName name="_1990_Fraction_Male_Hypertension_PC_65_74">Input!$B$4</definedName>
    <definedName name="_1990_Fraction_Male_Hypertension_PC_75">Input!$B$6</definedName>
    <definedName name="_1990_Fraction_Male_Hypertension_WC_65_74">Input!$B$5</definedName>
    <definedName name="_1990_Fraction_Male_Hypertension_WC_75">Input!$B$7</definedName>
    <definedName name="_1990_Fraction_Male_LDL_PC_65_74">Input!$D$4</definedName>
    <definedName name="_1990_Fraction_Male_LDL_PC_75">Input!$D$6</definedName>
    <definedName name="_1990_Fraction_Male_LDL_WC_65_74">Input!$D$5</definedName>
    <definedName name="_1990_Fraction_Male_LDL_WC_75">Input!$D$7</definedName>
    <definedName name="_1990_Fraction_Male_PC_Diabetes_65_74">Input!#REF!</definedName>
    <definedName name="_1990_Fraction_Male_PC_Diabetes_75">Input!#REF!</definedName>
    <definedName name="_1990_Fraction_Male_WC_Diabetes_65_74">Input!#REF!</definedName>
    <definedName name="_1990_Fraction_Male_WC_Diabetes_75">Input!#REF!</definedName>
    <definedName name="_1990_Male_Prevalence_65_74">Input!$B$33</definedName>
    <definedName name="_1990_Male_Prevalence_75">Input!$B$34</definedName>
    <definedName name="_1990_Population_Female_PC_Diabetes_65_74">Input!#REF!</definedName>
    <definedName name="_1990_Population_Female_PC_Diabetes_75">Input!#REF!</definedName>
    <definedName name="_1990_Population_Female_PC_Hypertension_65_74">Input!$C$8</definedName>
    <definedName name="_1990_Population_Female_PC_Hypertension_75">Input!$C$10</definedName>
    <definedName name="_1990_Population_Female_PC_LDL_65_74">Input!$E$8</definedName>
    <definedName name="_1990_Population_Female_PC_LDL_75">Input!$E$10</definedName>
    <definedName name="_1990_Population_Female_WC_Diabetes_65_74">Input!#REF!</definedName>
    <definedName name="_1990_Population_Female_WC_Diabetes_75">Input!#REF!</definedName>
    <definedName name="_1990_Population_Female_WC_Hypertension_65_74">Input!$C$9</definedName>
    <definedName name="_1990_Population_Female_WC_Hypertension_75">Input!$C$11</definedName>
    <definedName name="_1990_Population_Female_WC_LDL_65_74">Input!$E$9</definedName>
    <definedName name="_1990_Population_Female_WC_LDL_75">Input!$E$11</definedName>
    <definedName name="_1990_Population_Male_PC_Diabetes_65_74">Input!#REF!</definedName>
    <definedName name="_1990_Population_Male_PC_Diabetes_75">Input!#REF!</definedName>
    <definedName name="_1990_Population_Male_PC_Hypertension_65_74">Input!$C$4</definedName>
    <definedName name="_1990_Population_Male_PC_Hypertension_75">Input!$C$6</definedName>
    <definedName name="_1990_Population_Male_PC_LDL_65_74">Input!$E$4</definedName>
    <definedName name="_1990_Population_Male_PC_LDL_75">Input!$E$6</definedName>
    <definedName name="_1990_Population_Male_WC_Diabetes_65_74">Input!#REF!</definedName>
    <definedName name="_1990_Population_Male_WC_Diabetes_75">Input!#REF!</definedName>
    <definedName name="_1990_Population_Male_WC_Hypertension_65_74">Input!$C$5</definedName>
    <definedName name="_1990_Population_Male_WC_Hypertension_75">Input!$C$7</definedName>
    <definedName name="_1990_Population_Male_WC_LDL_65_74">Input!$E$5</definedName>
    <definedName name="_1990_Population_Male_WC_LDL_75">Input!$E$7</definedName>
    <definedName name="_1990_Total_Female_Population_65_74">Input!$B$27</definedName>
    <definedName name="_1990_Total_Female_Population_75">Input!$B$28</definedName>
    <definedName name="_1990_Total_Male_Population_65_74">Input!$B$25</definedName>
    <definedName name="_1990_Total_Male_Population_75">Input!$B$26</definedName>
    <definedName name="_2017_Female_Prevalence_65_74">Input!$B$39</definedName>
    <definedName name="_2017_Female_Prevalence_75">Input!$B$40</definedName>
    <definedName name="_2017_Fraction_Female_Hypertension_PC_65_74">Input!$B$17</definedName>
    <definedName name="_2017_Fraction_Female_Hypertension_PC_75">Input!$B$19</definedName>
    <definedName name="_2017_Fraction_Female_Hypertension_WC_65_74">Input!$B$18</definedName>
    <definedName name="_2017_Fraction_Female_Hypertension_WC_75">Input!$B$20</definedName>
    <definedName name="_2017_Fraction_Female_LDL_PC_65_74">Input!$D$17</definedName>
    <definedName name="_2017_Fraction_Female_LDL_PC_75">Input!$D$19</definedName>
    <definedName name="_2017_Fraction_Female_LDL_WC_65_74">Input!$D$18</definedName>
    <definedName name="_2017_Fraction_Female_LDL_WC_75">Input!$D$20</definedName>
    <definedName name="_2017_Fraction_Female_PC_Diabetes_65_74">Input!#REF!</definedName>
    <definedName name="_2017_Fraction_Female_PC_Diabetes_75">Input!#REF!</definedName>
    <definedName name="_2017_Fraction_Female_WC_Diabetes_65_74">Input!#REF!</definedName>
    <definedName name="_2017_Fraction_Female_WC_Diabetes_75">Input!#REF!</definedName>
    <definedName name="_2017_Fraction_Male_Hypertension_PC_65_74">Input!$B$13</definedName>
    <definedName name="_2017_Fraction_Male_Hypertension_PC_75">Input!$B$15</definedName>
    <definedName name="_2017_Fraction_Male_Hypertension_WC_65_74">Input!$B$14</definedName>
    <definedName name="_2017_Fraction_Male_Hypertension_WC_75">Input!$B$16</definedName>
    <definedName name="_2017_Fraction_Male_LDL_PC_65_74">Input!$D$13</definedName>
    <definedName name="_2017_Fraction_Male_LDL_PC_75">Input!$D$15</definedName>
    <definedName name="_2017_Fraction_Male_LDL_WC_65_74">Input!$D$14</definedName>
    <definedName name="_2017_Fraction_Male_LDL_WC_75">Input!$D$16</definedName>
    <definedName name="_2017_Fraction_Male_PC_Diabetes_65_74">Input!#REF!</definedName>
    <definedName name="_2017_Fraction_Male_PC_Diabetes_75">Input!#REF!</definedName>
    <definedName name="_2017_Fraction_Male_WC_Diabetes_65_74">Input!#REF!</definedName>
    <definedName name="_2017_Fraction_Male_WC_Diabetes_75">Input!#REF!</definedName>
    <definedName name="_2017_Male_Prevalence_65_74">Input!$B$37</definedName>
    <definedName name="_2017_Male_Prevalence_75">Input!$B$38</definedName>
    <definedName name="_2017_Population_Female_PC_Diabetes_65_74">Input!#REF!</definedName>
    <definedName name="_2017_Population_Female_PC_Diabetes_75">Input!#REF!</definedName>
    <definedName name="_2017_Population_Female_PC_Hypertension_65_74">Input!$C$17</definedName>
    <definedName name="_2017_Population_Female_PC_Hypertension_75">Input!$C$19</definedName>
    <definedName name="_2017_Population_Female_PC_LDL_65_74">Input!$E$17</definedName>
    <definedName name="_2017_Population_Female_PC_LDL_75">Input!$E$19</definedName>
    <definedName name="_2017_Population_Female_WC_Diabetes_65_74">Input!#REF!</definedName>
    <definedName name="_2017_Population_Female_WC_Diabetes_75">Input!#REF!</definedName>
    <definedName name="_2017_Population_Female_WC_Hypertension_65_74">Input!$C$18</definedName>
    <definedName name="_2017_Population_Female_WC_Hypertension_75">Input!$C$20</definedName>
    <definedName name="_2017_Population_Female_WC_LDL_65_74">Input!$E$18</definedName>
    <definedName name="_2017_Population_Female_WC_LDL_75">Input!$E$20</definedName>
    <definedName name="_2017_Population_Male_PC_Diabetes_65_74">Input!#REF!</definedName>
    <definedName name="_2017_Population_Male_PC_Diabetes_75">Input!#REF!</definedName>
    <definedName name="_2017_Population_Male_PC_Hypertension_65_74">Input!$C$13</definedName>
    <definedName name="_2017_Population_Male_PC_Hypertension_75">Input!$C$15</definedName>
    <definedName name="_2017_Population_Male_PC_LDL_65_74">Input!$E$13</definedName>
    <definedName name="_2017_Population_Male_PC_LDL_75">Input!$E$15</definedName>
    <definedName name="_2017_Population_Male_WC_Diabetes_65_74">Input!#REF!</definedName>
    <definedName name="_2017_Population_Male_WC_Diabetes_75">Input!#REF!</definedName>
    <definedName name="_2017_Population_Male_WC_Hypertension_65_74">Input!$C$14</definedName>
    <definedName name="_2017_Population_Male_WC_Hypertension_75">Input!$C$16</definedName>
    <definedName name="_2017_Population_Male_WC_LDL_65_74">Input!$E$14</definedName>
    <definedName name="_2017_Population_Male_WC_LDL_75">Input!$E$16</definedName>
    <definedName name="_2017_Total_Female_Population_65_74">Input!$B$31</definedName>
    <definedName name="_2017_Total_Female_Population_75">Input!$B$32</definedName>
    <definedName name="_2017_Total_Male_Population_65_74">Input!$B$29</definedName>
    <definedName name="_2017_Total_Male_Population_75">Input!$B$30</definedName>
    <definedName name="Age_OR">Input!$B$44</definedName>
    <definedName name="Baseline_Mortality_Risk">Input!$B$43</definedName>
    <definedName name="Comorbidity_Control_Adjuster_PC">Input!$B$51</definedName>
    <definedName name="Comorbidity_Control_Adjuster_WC">Input!$B$50</definedName>
    <definedName name="Controlled_Diabetes_Prevalence_1988">Input!#REF!</definedName>
    <definedName name="Controlled_Diabetes_Prevalence_2010">Input!#REF!</definedName>
    <definedName name="Controlled_Hypertension_Prevalence_1999">Input!$B$59</definedName>
    <definedName name="Controlled_Hypertension_Prevalence_2016">Input!$B$60</definedName>
    <definedName name="Controlled_LDL_Prevalence_1999">Input!#REF!</definedName>
    <definedName name="Controlled_LDL_Prevalence_2010">Input!#REF!</definedName>
    <definedName name="Diabetes_OR">Input!#REF!</definedName>
    <definedName name="Diabetes_Prevalence_1990_65_74">Input!#REF!</definedName>
    <definedName name="Diabetes_Prevalence_1990_75">Input!#REF!</definedName>
    <definedName name="Diabetes_Prevalence_2017_65_74">Input!#REF!</definedName>
    <definedName name="Diabetes_Prevalence_2017_75">Input!#REF!</definedName>
    <definedName name="Dyslipidemia_OR">Input!#REF!</definedName>
    <definedName name="Female_65_74_Baseline_Mortality_Risk_no_Comorbidity">Input!$B$48</definedName>
    <definedName name="Female_75_Baseline_Mortality_Risk_no_Comorbidity">Input!$B$49</definedName>
    <definedName name="Hospitalization_Rate">Input!$B$52</definedName>
    <definedName name="Hypertension_OR">Input!$B$56</definedName>
    <definedName name="Hypertension_Reduction_2018">Input!$B$58</definedName>
    <definedName name="LDL_Prevalence_1990">Input!#REF!</definedName>
    <definedName name="LDL_Prevalence_2017">Input!#REF!</definedName>
    <definedName name="Male_65_74_Baseline_Mortality_Risk_no_Comorbidity">Input!$B$46</definedName>
    <definedName name="Male_75_Baseline_Mortality_Risk_no_Comorbidity">Input!$B$47</definedName>
    <definedName name="Male_OR">Input!$B$45</definedName>
    <definedName name="Population_1990">Input!$B$23</definedName>
    <definedName name="Population_2017">Input!$B$24</definedName>
    <definedName name="US_Hypertension_Prevalence_2018">Input!$B$57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13" i="1" l="1"/>
  <c r="B5" i="1" l="1"/>
  <c r="B11" i="1" l="1"/>
  <c r="B10" i="1"/>
  <c r="B9" i="1"/>
  <c r="B8" i="1"/>
  <c r="B7" i="1"/>
  <c r="B6" i="1"/>
  <c r="H26" i="3" l="1"/>
  <c r="H14" i="3"/>
  <c r="H25" i="3"/>
  <c r="H13" i="3"/>
  <c r="H31" i="3"/>
  <c r="H19" i="3"/>
  <c r="H30" i="3"/>
  <c r="H32" i="3" l="1"/>
  <c r="H18" i="3"/>
  <c r="H20" i="3" s="1"/>
  <c r="H15" i="3"/>
  <c r="C4" i="1"/>
  <c r="G18" i="3" s="1"/>
  <c r="C9" i="1"/>
  <c r="G25" i="3" s="1"/>
  <c r="C10" i="1"/>
  <c r="G14" i="3" s="1"/>
  <c r="S14" i="3"/>
  <c r="S18" i="3"/>
  <c r="S25" i="3"/>
  <c r="S31" i="3"/>
  <c r="C5" i="1"/>
  <c r="G30" i="3" s="1"/>
  <c r="C6" i="1"/>
  <c r="G19" i="3" s="1"/>
  <c r="C11" i="1"/>
  <c r="G26" i="3" s="1"/>
  <c r="H27" i="3"/>
  <c r="C7" i="1"/>
  <c r="G31" i="3" s="1"/>
  <c r="S26" i="3"/>
  <c r="S19" i="3"/>
  <c r="C8" i="1"/>
  <c r="G13" i="3" s="1"/>
  <c r="S13" i="3"/>
  <c r="S30" i="3"/>
  <c r="H33" i="3" l="1"/>
  <c r="H21" i="3"/>
  <c r="D31" i="3"/>
  <c r="D30" i="3"/>
  <c r="D26" i="3"/>
  <c r="D25" i="3"/>
  <c r="D19" i="3"/>
  <c r="D18" i="3"/>
  <c r="D14" i="3"/>
  <c r="D13" i="3"/>
  <c r="B13" i="3"/>
  <c r="B20" i="1"/>
  <c r="T26" i="3" s="1"/>
  <c r="U26" i="3" s="1"/>
  <c r="B19" i="1"/>
  <c r="B18" i="1"/>
  <c r="B17" i="1"/>
  <c r="T13" i="3" s="1"/>
  <c r="U13" i="3" s="1"/>
  <c r="B16" i="1"/>
  <c r="B15" i="1"/>
  <c r="T19" i="3" s="1"/>
  <c r="U19" i="3" s="1"/>
  <c r="B14" i="1"/>
  <c r="B14" i="3"/>
  <c r="C18" i="1" l="1"/>
  <c r="M25" i="3" s="1"/>
  <c r="T25" i="3"/>
  <c r="U25" i="3" s="1"/>
  <c r="N18" i="3"/>
  <c r="T18" i="3"/>
  <c r="U18" i="3" s="1"/>
  <c r="C19" i="1"/>
  <c r="M14" i="3" s="1"/>
  <c r="T14" i="3"/>
  <c r="U14" i="3" s="1"/>
  <c r="C14" i="1"/>
  <c r="M30" i="3" s="1"/>
  <c r="T30" i="3"/>
  <c r="U30" i="3" s="1"/>
  <c r="C16" i="1"/>
  <c r="M31" i="3" s="1"/>
  <c r="T31" i="3"/>
  <c r="U31" i="3" s="1"/>
  <c r="N14" i="3"/>
  <c r="N31" i="3"/>
  <c r="B19" i="3"/>
  <c r="B25" i="3"/>
  <c r="B31" i="3"/>
  <c r="N30" i="3"/>
  <c r="N25" i="3"/>
  <c r="B26" i="3"/>
  <c r="N26" i="3"/>
  <c r="N13" i="3"/>
  <c r="B30" i="3"/>
  <c r="B18" i="3"/>
  <c r="N19" i="3"/>
  <c r="C13" i="1"/>
  <c r="M18" i="3" s="1"/>
  <c r="C17" i="1"/>
  <c r="M13" i="3" s="1"/>
  <c r="C15" i="1"/>
  <c r="M19" i="3" s="1"/>
  <c r="C20" i="1"/>
  <c r="M26" i="3" s="1"/>
  <c r="B32" i="1"/>
  <c r="B49" i="1"/>
  <c r="B48" i="1"/>
  <c r="B47" i="1"/>
  <c r="B46" i="1"/>
  <c r="B31" i="1"/>
  <c r="B30" i="1"/>
  <c r="B29" i="1"/>
  <c r="B28" i="1"/>
  <c r="B27" i="1"/>
  <c r="B26" i="1"/>
  <c r="B25" i="1"/>
  <c r="N32" i="3" l="1"/>
  <c r="N20" i="3"/>
  <c r="N36" i="3"/>
  <c r="N27" i="3"/>
  <c r="C18" i="3"/>
  <c r="E18" i="3" s="1"/>
  <c r="C30" i="3"/>
  <c r="E30" i="3" s="1"/>
  <c r="O30" i="3" s="1"/>
  <c r="N15" i="3"/>
  <c r="C19" i="3"/>
  <c r="E19" i="3" s="1"/>
  <c r="I19" i="3" s="1"/>
  <c r="C31" i="3"/>
  <c r="E31" i="3" s="1"/>
  <c r="I31" i="3" s="1"/>
  <c r="H36" i="3"/>
  <c r="C13" i="3"/>
  <c r="E13" i="3" s="1"/>
  <c r="C25" i="3"/>
  <c r="E25" i="3" s="1"/>
  <c r="I25" i="3" s="1"/>
  <c r="C26" i="3"/>
  <c r="E26" i="3" s="1"/>
  <c r="I26" i="3" s="1"/>
  <c r="C14" i="3"/>
  <c r="E14" i="3" s="1"/>
  <c r="I14" i="3" s="1"/>
  <c r="N33" i="3" l="1"/>
  <c r="O31" i="3"/>
  <c r="P31" i="3" s="1"/>
  <c r="J31" i="3"/>
  <c r="K31" i="3"/>
  <c r="V31" i="3" s="1"/>
  <c r="J26" i="3"/>
  <c r="K26" i="3"/>
  <c r="V26" i="3" s="1"/>
  <c r="J25" i="3"/>
  <c r="K25" i="3"/>
  <c r="V25" i="3" s="1"/>
  <c r="J19" i="3"/>
  <c r="K19" i="3"/>
  <c r="V19" i="3" s="1"/>
  <c r="J14" i="3"/>
  <c r="K14" i="3"/>
  <c r="V14" i="3" s="1"/>
  <c r="I27" i="3"/>
  <c r="O14" i="3"/>
  <c r="Q14" i="3" s="1"/>
  <c r="O25" i="3"/>
  <c r="P25" i="3" s="1"/>
  <c r="G36" i="3"/>
  <c r="O13" i="3"/>
  <c r="P13" i="3" s="1"/>
  <c r="P30" i="3"/>
  <c r="Q30" i="3"/>
  <c r="O19" i="3"/>
  <c r="P19" i="3" s="1"/>
  <c r="O18" i="3"/>
  <c r="I13" i="3"/>
  <c r="I18" i="3"/>
  <c r="M36" i="3"/>
  <c r="N21" i="3"/>
  <c r="I30" i="3"/>
  <c r="O26" i="3"/>
  <c r="O32" i="3" l="1"/>
  <c r="Q32" i="3" s="1"/>
  <c r="Q31" i="3"/>
  <c r="W31" i="3" s="1"/>
  <c r="Q25" i="3"/>
  <c r="W25" i="3" s="1"/>
  <c r="O20" i="3"/>
  <c r="Q20" i="3" s="1"/>
  <c r="P14" i="3"/>
  <c r="W14" i="3"/>
  <c r="J30" i="3"/>
  <c r="K30" i="3"/>
  <c r="V30" i="3" s="1"/>
  <c r="W30" i="3" s="1"/>
  <c r="J27" i="3"/>
  <c r="K27" i="3"/>
  <c r="J18" i="3"/>
  <c r="K18" i="3"/>
  <c r="V18" i="3" s="1"/>
  <c r="J13" i="3"/>
  <c r="K13" i="3"/>
  <c r="V13" i="3" s="1"/>
  <c r="Q13" i="3"/>
  <c r="O15" i="3"/>
  <c r="Q19" i="3"/>
  <c r="W19" i="3" s="1"/>
  <c r="Q18" i="3"/>
  <c r="P18" i="3"/>
  <c r="Q26" i="3"/>
  <c r="W26" i="3" s="1"/>
  <c r="O27" i="3"/>
  <c r="P26" i="3"/>
  <c r="I32" i="3"/>
  <c r="O36" i="3"/>
  <c r="I20" i="3"/>
  <c r="I15" i="3"/>
  <c r="I36" i="3"/>
  <c r="K36" i="3" s="1"/>
  <c r="P32" i="3" l="1"/>
  <c r="O21" i="3"/>
  <c r="Q21" i="3" s="1"/>
  <c r="P20" i="3"/>
  <c r="W18" i="3"/>
  <c r="W13" i="3"/>
  <c r="J32" i="3"/>
  <c r="K32" i="3"/>
  <c r="J20" i="3"/>
  <c r="K20" i="3"/>
  <c r="J15" i="3"/>
  <c r="K15" i="3"/>
  <c r="Q15" i="3"/>
  <c r="P15" i="3"/>
  <c r="I33" i="3"/>
  <c r="I21" i="3"/>
  <c r="P36" i="3"/>
  <c r="Q36" i="3"/>
  <c r="Q27" i="3"/>
  <c r="P27" i="3"/>
  <c r="J36" i="3"/>
  <c r="O33" i="3"/>
  <c r="Q33" i="3" s="1"/>
  <c r="P21" i="3" l="1"/>
  <c r="J33" i="3"/>
  <c r="K33" i="3"/>
  <c r="J21" i="3"/>
  <c r="K21" i="3"/>
  <c r="P33" i="3"/>
</calcChain>
</file>

<file path=xl/sharedStrings.xml><?xml version="1.0" encoding="utf-8"?>
<sst xmlns="http://schemas.openxmlformats.org/spreadsheetml/2006/main" count="140" uniqueCount="96">
  <si>
    <t>Male Poorly Controlled 65-74</t>
  </si>
  <si>
    <t>Male Well Controlled 65-74</t>
  </si>
  <si>
    <t>Male Poorly Controlled 75+</t>
  </si>
  <si>
    <t>Male Well Controlled 75+</t>
  </si>
  <si>
    <t>Female Poorly Controlled 65-74</t>
  </si>
  <si>
    <t>Female Well Controlled 65-74</t>
  </si>
  <si>
    <t>Female Poorly Controlled 75+</t>
  </si>
  <si>
    <t>Female Well Controlled 75+</t>
  </si>
  <si>
    <t>United States</t>
  </si>
  <si>
    <t>1990 65+ Population</t>
  </si>
  <si>
    <t>2017 65+ Population</t>
  </si>
  <si>
    <t xml:space="preserve">1990 65-74 Male Population </t>
  </si>
  <si>
    <t xml:space="preserve">1990 75+ Male Population </t>
  </si>
  <si>
    <t xml:space="preserve">1990 65-74 Female Population </t>
  </si>
  <si>
    <t xml:space="preserve">1990 75+ Female Population </t>
  </si>
  <si>
    <t xml:space="preserve">2017 65-74 Male Population </t>
  </si>
  <si>
    <t xml:space="preserve">2017 75+ Male Population </t>
  </si>
  <si>
    <t xml:space="preserve">2017 65-74 Female Population </t>
  </si>
  <si>
    <t xml:space="preserve">2017 75+ Female Population </t>
  </si>
  <si>
    <t>Baseline Mortality Risk</t>
  </si>
  <si>
    <t>Odds Ratio for Mortality: Age</t>
  </si>
  <si>
    <t>Odds Ratio for Mortality: Male</t>
  </si>
  <si>
    <t>1990 Male 65-74 Prevalence</t>
  </si>
  <si>
    <t>1990 Male 75+ Prevalence</t>
  </si>
  <si>
    <t>1990 Female 65-74 Prevalence</t>
  </si>
  <si>
    <t>1990 Female 75+ Prevalence</t>
  </si>
  <si>
    <t>2017 Male 65-74 Prevalence</t>
  </si>
  <si>
    <t>2017 Male 75+ Prevalence</t>
  </si>
  <si>
    <t>2017 Female 65-74 Prevalence</t>
  </si>
  <si>
    <t>2017 Female 75+ Prevalence</t>
  </si>
  <si>
    <t>Comorbidity Control Adjuster PC</t>
  </si>
  <si>
    <t>COVID-19 Hospitalization Rate</t>
  </si>
  <si>
    <t>Population Constants</t>
  </si>
  <si>
    <t>Fraction of Hypertensive Population</t>
  </si>
  <si>
    <t>Number of People with Hypertension</t>
  </si>
  <si>
    <t>Odds Ratio for Mortality: Arterial Hypertension</t>
  </si>
  <si>
    <t>1999-2000 age-adjusted prevalence of controlled hypertension</t>
  </si>
  <si>
    <t>2015-2016 age-adjusted prevalence of controlled hypertension</t>
  </si>
  <si>
    <t>Hypertension Constants</t>
  </si>
  <si>
    <t>Country:</t>
  </si>
  <si>
    <t>USA</t>
  </si>
  <si>
    <t>Target Cohort:</t>
  </si>
  <si>
    <t>Age 65+</t>
  </si>
  <si>
    <t>Comorbidity</t>
  </si>
  <si>
    <t>Baseline</t>
  </si>
  <si>
    <t>Adjusted OR</t>
  </si>
  <si>
    <t>Adjusted</t>
  </si>
  <si>
    <t>Number</t>
  </si>
  <si>
    <t>Number with</t>
  </si>
  <si>
    <t>Expected Number</t>
  </si>
  <si>
    <t>Population</t>
  </si>
  <si>
    <t>Prevalence</t>
  </si>
  <si>
    <t>Mortality Risk</t>
  </si>
  <si>
    <t>for Mortality</t>
  </si>
  <si>
    <t>Hospitalized</t>
  </si>
  <si>
    <t>of Deaths</t>
  </si>
  <si>
    <t>Death Rate</t>
  </si>
  <si>
    <t>(Baseline Risk*
Adjusted OR)</t>
  </si>
  <si>
    <t>(# Hospitalized*adj. mortality risk)</t>
  </si>
  <si>
    <t xml:space="preserve">  Poorly Controlled</t>
  </si>
  <si>
    <t>POORLY CONTROLLED</t>
  </si>
  <si>
    <t xml:space="preserve">    Female</t>
  </si>
  <si>
    <t>FEMALES</t>
  </si>
  <si>
    <t xml:space="preserve">      65-74</t>
  </si>
  <si>
    <t xml:space="preserve">      75+</t>
  </si>
  <si>
    <t>Subgroup Total</t>
  </si>
  <si>
    <t xml:space="preserve">  Male</t>
  </si>
  <si>
    <t>MALES</t>
  </si>
  <si>
    <t>Total PC</t>
  </si>
  <si>
    <t>TOTAL PC</t>
  </si>
  <si>
    <t xml:space="preserve">  Well Controlled</t>
  </si>
  <si>
    <t>WELL CONTROLLED</t>
  </si>
  <si>
    <t>Total WC</t>
  </si>
  <si>
    <t>TOTAL WC</t>
  </si>
  <si>
    <t>TOTALS</t>
  </si>
  <si>
    <t>1990</t>
  </si>
  <si>
    <t>2017</t>
  </si>
  <si>
    <t>(Expected # Deaths/ Total Population)</t>
  </si>
  <si>
    <t>Hypertension</t>
  </si>
  <si>
    <t>Male 65-74 Baseline Mortality Risk no Comorbidity</t>
  </si>
  <si>
    <t>Male 75+ Baseline Mortality Risk no Comorbidity</t>
  </si>
  <si>
    <t xml:space="preserve">Female 65-74 Baseline Mortality Risk no Comorbidity </t>
  </si>
  <si>
    <t xml:space="preserve">Female 75+ Baseline Mortality Risk no Comorbidity </t>
  </si>
  <si>
    <t>Baseline Risks</t>
  </si>
  <si>
    <t>Hypertension Population</t>
  </si>
  <si>
    <t>(Expected # Deaths/  Hypertension Population)</t>
  </si>
  <si>
    <t>Ratio: 2017 to 1990 fractions</t>
  </si>
  <si>
    <t>Death rate 1990 x ratio of 2017 to 1990 death rates</t>
  </si>
  <si>
    <t>Ratio of 1990 death rates</t>
  </si>
  <si>
    <t>2017 population with 1990 hypertension fraction poorly-controlled</t>
  </si>
  <si>
    <t>2017 population with 2017 hypertension fraction poorly-controlled</t>
  </si>
  <si>
    <t>1990 fraction with hypertension</t>
  </si>
  <si>
    <t>2017 fraction with hypertension</t>
  </si>
  <si>
    <t>Comorbidity Risk Reduction WC</t>
  </si>
  <si>
    <t>Absolute reduction in hypertension prevalence in Sweden (13.2% reduction from 1990 to 2015)</t>
  </si>
  <si>
    <t>2017-2018 age-adjusted prevalence of hypertension in U.S. 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</si>
</sst>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00%"/>
    <numFmt numFmtId="167" formatCode="0.0000"/>
    <numFmt numFmtId="168" formatCode="0.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0" fontId="0" fillId="0" borderId="0" xfId="0" applyFont="1" applyBorder="1"/>
    <xf numFmtId="165" fontId="0" fillId="0" borderId="0" xfId="1" applyNumberFormat="1" applyFont="1" applyBorder="1"/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2" fillId="2" borderId="1" xfId="0" applyFont="1" applyFill="1" applyBorder="1" applyAlignment="1">
      <alignment wrapText="1"/>
    </xf>
    <xf numFmtId="0" fontId="0" fillId="2" borderId="0" xfId="0" applyFill="1" applyBorder="1"/>
    <xf numFmtId="0" fontId="0" fillId="2" borderId="0" xfId="0" applyFill="1" applyAlignment="1">
      <alignment wrapText="1"/>
    </xf>
    <xf numFmtId="0" fontId="0" fillId="2" borderId="0" xfId="0" applyFill="1"/>
    <xf numFmtId="165" fontId="0" fillId="3" borderId="0" xfId="1" applyNumberFormat="1" applyFont="1" applyFill="1"/>
    <xf numFmtId="0" fontId="0" fillId="3" borderId="0" xfId="0" applyFill="1"/>
    <xf numFmtId="0" fontId="2" fillId="0" borderId="0" xfId="0" applyFont="1"/>
    <xf numFmtId="4" fontId="0" fillId="0" borderId="0" xfId="0" applyNumberFormat="1"/>
    <xf numFmtId="0" fontId="0" fillId="0" borderId="0" xfId="0" quotePrefix="1"/>
    <xf numFmtId="0" fontId="3" fillId="0" borderId="0" xfId="0" applyFont="1"/>
    <xf numFmtId="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/>
    <xf numFmtId="166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0" fontId="3" fillId="3" borderId="0" xfId="0" applyFont="1" applyFill="1"/>
    <xf numFmtId="167" fontId="0" fillId="3" borderId="0" xfId="0" applyNumberFormat="1" applyFill="1"/>
    <xf numFmtId="165" fontId="0" fillId="3" borderId="0" xfId="0" applyNumberFormat="1" applyFill="1"/>
    <xf numFmtId="10" fontId="0" fillId="3" borderId="0" xfId="2" applyNumberFormat="1" applyFont="1" applyFill="1"/>
    <xf numFmtId="165" fontId="0" fillId="0" borderId="0" xfId="0" applyNumberFormat="1"/>
    <xf numFmtId="2" fontId="0" fillId="3" borderId="0" xfId="0" applyNumberFormat="1" applyFill="1"/>
    <xf numFmtId="166" fontId="2" fillId="3" borderId="0" xfId="2" applyNumberFormat="1" applyFont="1" applyFill="1"/>
    <xf numFmtId="0" fontId="3" fillId="0" borderId="0" xfId="0" applyFont="1" applyFill="1"/>
    <xf numFmtId="167" fontId="0" fillId="0" borderId="0" xfId="0" applyNumberFormat="1" applyFill="1"/>
    <xf numFmtId="2" fontId="2" fillId="4" borderId="0" xfId="0" quotePrefix="1" applyNumberFormat="1" applyFont="1" applyFill="1"/>
    <xf numFmtId="165" fontId="5" fillId="4" borderId="0" xfId="1" applyNumberFormat="1" applyFont="1" applyFill="1"/>
    <xf numFmtId="166" fontId="5" fillId="4" borderId="0" xfId="2" applyNumberFormat="1" applyFont="1" applyFill="1"/>
    <xf numFmtId="0" fontId="2" fillId="4" borderId="0" xfId="0" quotePrefix="1" applyFont="1" applyFill="1"/>
    <xf numFmtId="165" fontId="5" fillId="4" borderId="0" xfId="0" applyNumberFormat="1" applyFont="1" applyFill="1"/>
    <xf numFmtId="10" fontId="0" fillId="0" borderId="0" xfId="0" applyNumberFormat="1"/>
    <xf numFmtId="43" fontId="0" fillId="0" borderId="0" xfId="0" applyNumberFormat="1"/>
    <xf numFmtId="0" fontId="2" fillId="3" borderId="1" xfId="0" applyFont="1" applyFill="1" applyBorder="1"/>
    <xf numFmtId="0" fontId="0" fillId="3" borderId="0" xfId="0" applyFont="1" applyFill="1" applyBorder="1"/>
    <xf numFmtId="165" fontId="0" fillId="3" borderId="0" xfId="1" applyNumberFormat="1" applyFont="1" applyFill="1" applyBorder="1"/>
    <xf numFmtId="43" fontId="0" fillId="3" borderId="0" xfId="1" applyNumberFormat="1" applyFont="1" applyFill="1" applyBorder="1" applyAlignment="1">
      <alignment horizontal="right"/>
    </xf>
    <xf numFmtId="0" fontId="0" fillId="3" borderId="0" xfId="0" applyFill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3" fontId="0" fillId="2" borderId="0" xfId="1" applyFont="1" applyFill="1" applyAlignment="1">
      <alignment horizontal="right"/>
    </xf>
    <xf numFmtId="165" fontId="0" fillId="2" borderId="0" xfId="1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165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43" fontId="0" fillId="0" borderId="0" xfId="1" applyFont="1"/>
    <xf numFmtId="168" fontId="2" fillId="3" borderId="0" xfId="2" applyNumberFormat="1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43" fontId="0" fillId="0" borderId="0" xfId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 wrapText="1"/>
    </xf>
    <xf numFmtId="16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 vertical="center"/>
    </xf>
    <xf numFmtId="2" fontId="2" fillId="4" borderId="0" xfId="0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43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1355725</xdr:colOff>
      <xdr:row>0</xdr:row>
      <xdr:rowOff>50800</xdr:rowOff>
    </xdr:from>
    <xdr:to>
      <xdr:col>2</xdr:col>
      <xdr:colOff>66032</xdr:colOff>
      <xdr:row>0</xdr:row>
      <xdr:rowOff>1279525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725" y="50800"/>
          <a:ext cx="2539357" cy="1228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232834</xdr:colOff>
      <xdr:row>0</xdr:row>
      <xdr:rowOff>63498</xdr:rowOff>
    </xdr:from>
    <xdr:to>
      <xdr:col>9</xdr:col>
      <xdr:colOff>1070391</xdr:colOff>
      <xdr:row>0</xdr:row>
      <xdr:rowOff>1035048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3667" y="63498"/>
          <a:ext cx="2075807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G61"/>
  <sheetViews>
    <sheetView tabSelected="1" workbookViewId="0">
      <selection activeCell="A8" sqref="A8"/>
    </sheetView>
  </sheetViews>
  <sheetFormatPr defaultRowHeight="15" x14ac:dyDescent="0.25"/>
  <cols>
    <col min="1" max="1" width="38.28515625" customWidth="1"/>
    <col min="2" max="2" width="16.5703125" customWidth="1"/>
    <col min="3" max="3" width="21.85546875" customWidth="1"/>
    <col min="4" max="4" width="16.28515625" customWidth="1"/>
    <col min="5" max="5" width="20.85546875" customWidth="1"/>
    <col min="6" max="6" width="16" customWidth="1"/>
    <col min="7" max="7" width="20.5703125" customWidth="1"/>
  </cols>
  <sheetData>
    <row r="1" spans="1:7" ht="104.25" customHeight="1" x14ac:dyDescent="0.25">
      <c r="A1" s="69"/>
      <c r="B1" s="69"/>
      <c r="C1" s="69"/>
      <c r="D1" s="63"/>
      <c r="E1" s="63"/>
      <c r="F1" s="63"/>
      <c r="G1" s="63"/>
    </row>
    <row r="2" spans="1:7" ht="45" x14ac:dyDescent="0.25">
      <c r="B2" s="53" t="s">
        <v>33</v>
      </c>
      <c r="C2" s="53" t="s">
        <v>34</v>
      </c>
      <c r="D2" s="64"/>
      <c r="E2" s="64"/>
    </row>
    <row r="3" spans="1:7" x14ac:dyDescent="0.25">
      <c r="A3" s="2">
        <v>1990</v>
      </c>
      <c r="B3" s="54"/>
      <c r="C3" s="55"/>
      <c r="D3" s="64"/>
      <c r="E3" s="64"/>
    </row>
    <row r="4" spans="1:7" x14ac:dyDescent="0.25">
      <c r="A4" t="s">
        <v>0</v>
      </c>
      <c r="B4" s="56">
        <f>US_Hypertension_Prevalence_2018*(1-Controlled_Hypertension_Prevalence_1999)*_2017_Male_Prevalence_65_74</f>
        <v>8.4605602600568972E-2</v>
      </c>
      <c r="C4" s="57">
        <f>_1990_Fraction_Male_Hypertension_PC_65_74*Population_2017</f>
        <v>4164287.7600000049</v>
      </c>
      <c r="D4" s="65"/>
      <c r="E4" s="66"/>
    </row>
    <row r="5" spans="1:7" x14ac:dyDescent="0.25">
      <c r="A5" t="s">
        <v>1</v>
      </c>
      <c r="B5" s="58">
        <f>US_Hypertension_Prevalence_2018*Controlled_Hypertension_Prevalence_1999*_2017_Male_Prevalence_65_74</f>
        <v>3.9086798862251165E-2</v>
      </c>
      <c r="C5" s="57">
        <f>_1990_Fraction_Male_Hypertension_WC_65_74*Population_2017</f>
        <v>1923852.2400000023</v>
      </c>
      <c r="D5" s="67"/>
      <c r="E5" s="66"/>
    </row>
    <row r="6" spans="1:7" x14ac:dyDescent="0.25">
      <c r="A6" t="s">
        <v>2</v>
      </c>
      <c r="B6" s="58">
        <f>US_Hypertension_Prevalence_2018*(1-Controlled_Hypertension_Prevalence_1999)*_2017_Male_Prevalence_75</f>
        <v>5.2687650060950768E-2</v>
      </c>
      <c r="C6" s="57">
        <f>_1990_Fraction_Male_Hypertension_PC_75*Population_2017</f>
        <v>2593286.1359999967</v>
      </c>
      <c r="D6" s="67"/>
      <c r="E6" s="66"/>
    </row>
    <row r="7" spans="1:7" x14ac:dyDescent="0.25">
      <c r="A7" t="s">
        <v>3</v>
      </c>
      <c r="B7" s="58">
        <f>US_Hypertension_Prevalence_2018*Controlled_Hypertension_Prevalence_1999*_2017_Male_Prevalence_75</f>
        <v>2.4341078098333982E-2</v>
      </c>
      <c r="C7" s="57">
        <f>_1990_Fraction_Male_Hypertension_WC_75*Population_2017</f>
        <v>1198067.8639999987</v>
      </c>
      <c r="D7" s="67"/>
      <c r="E7" s="66"/>
    </row>
    <row r="8" spans="1:7" x14ac:dyDescent="0.25">
      <c r="A8" t="s">
        <v>4</v>
      </c>
      <c r="B8" s="58">
        <f>US_Hypertension_Prevalence_2018*(1-Controlled_Hypertension_Prevalence_1999)*_2017_Female_Prevalence_65_74</f>
        <v>9.6340607882974535E-2</v>
      </c>
      <c r="C8" s="57">
        <f>_1990_Fraction_Female_Hypertension_PC_65_74*Population_2017</f>
        <v>4741884.7200000063</v>
      </c>
      <c r="D8" s="67"/>
      <c r="E8" s="66"/>
    </row>
    <row r="9" spans="1:7" x14ac:dyDescent="0.25">
      <c r="A9" t="s">
        <v>5</v>
      </c>
      <c r="B9" s="58">
        <f>US_Hypertension_Prevalence_2018*(Controlled_Hypertension_Prevalence_1999)*_2017_Female_Prevalence_65_74</f>
        <v>4.4508234051198768E-2</v>
      </c>
      <c r="C9" s="57">
        <f>_1990_Fraction_Female_Hypertension_WC_65_74*Population_2017</f>
        <v>2190695.2800000035</v>
      </c>
      <c r="D9" s="67"/>
      <c r="E9" s="66"/>
    </row>
    <row r="10" spans="1:7" x14ac:dyDescent="0.25">
      <c r="A10" t="s">
        <v>6</v>
      </c>
      <c r="B10" s="58">
        <f>US_Hypertension_Prevalence_2018*(1-Controlled_Hypertension_Prevalence_1999)*_2017_Female_Prevalence_75</f>
        <v>7.6857975457131369E-2</v>
      </c>
      <c r="C10" s="57">
        <f>_1990_Fraction_Female_Hypertension_PC_75*Population_2017</f>
        <v>3782949.5520000062</v>
      </c>
      <c r="D10" s="67"/>
      <c r="E10" s="66"/>
    </row>
    <row r="11" spans="1:7" x14ac:dyDescent="0.25">
      <c r="A11" t="s">
        <v>7</v>
      </c>
      <c r="B11" s="58">
        <f>US_Hypertension_Prevalence_2018*Controlled_Hypertension_Prevalence_1999*_2017_Female_Prevalence_75</f>
        <v>3.5507485737505146E-2</v>
      </c>
      <c r="C11" s="57">
        <f>_1990_Fraction_Female_Hypertension_WC_75*Population_2017</f>
        <v>1747678.4480000034</v>
      </c>
      <c r="D11" s="67"/>
      <c r="E11" s="66"/>
    </row>
    <row r="12" spans="1:7" x14ac:dyDescent="0.25">
      <c r="A12" s="2">
        <v>2017</v>
      </c>
      <c r="B12" s="60"/>
      <c r="C12" s="59"/>
      <c r="D12" s="68"/>
      <c r="E12" s="66"/>
    </row>
    <row r="13" spans="1:7" x14ac:dyDescent="0.25">
      <c r="A13" t="s">
        <v>0</v>
      </c>
      <c r="B13" s="58">
        <f>Hypertension_Reduction_2018*(1-Controlled_Hypertension_Prevalence_2016)*_2017_Male_Prevalence_65_74</f>
        <v>4.5268149532710342E-2</v>
      </c>
      <c r="C13" s="57">
        <f>_2017_Fraction_Male_Hypertension_PC_65_74*Population_2017</f>
        <v>2228098.3200000031</v>
      </c>
      <c r="D13" s="67"/>
      <c r="E13" s="66"/>
    </row>
    <row r="14" spans="1:7" x14ac:dyDescent="0.25">
      <c r="A14" t="s">
        <v>1</v>
      </c>
      <c r="B14" s="58">
        <f>Hypertension_Reduction_2018*Controlled_Hypertension_Prevalence_2016*_2017_Male_Prevalence_65_74</f>
        <v>4.2460822429906592E-2</v>
      </c>
      <c r="C14" s="57">
        <f>_2017_Fraction_Male_Hypertension_WC_65_74*Population_2017</f>
        <v>2089921.6800000025</v>
      </c>
      <c r="D14" s="67"/>
      <c r="E14" s="66"/>
    </row>
    <row r="15" spans="1:7" x14ac:dyDescent="0.25">
      <c r="A15" t="s">
        <v>2</v>
      </c>
      <c r="B15" s="58">
        <f>Hypertension_Reduction_2018*(1-Controlled_Hypertension_Prevalence_2016)*_2017_Male_Prevalence_75</f>
        <v>2.8190478504672867E-2</v>
      </c>
      <c r="C15" s="57">
        <f>_2017_Fraction_Male_Hypertension_PC_75*Population_2017</f>
        <v>1387535.3519999986</v>
      </c>
      <c r="D15" s="67"/>
      <c r="E15" s="66"/>
    </row>
    <row r="16" spans="1:7" x14ac:dyDescent="0.25">
      <c r="A16" t="s">
        <v>3</v>
      </c>
      <c r="B16" s="58">
        <f>Hypertension_Reduction_2018*Controlled_Hypertension_Prevalence_2016*_2017_Male_Prevalence_75</f>
        <v>2.6442231775700899E-2</v>
      </c>
      <c r="C16" s="57">
        <f>_2017_Fraction_Male_Hypertension_WC_75*Population_2017</f>
        <v>1301486.6479999982</v>
      </c>
      <c r="D16" s="67"/>
      <c r="E16" s="66"/>
    </row>
    <row r="17" spans="1:5" x14ac:dyDescent="0.25">
      <c r="A17" t="s">
        <v>4</v>
      </c>
      <c r="B17" s="58">
        <f>Hypertension_Reduction_2018*(1-Controlled_Hypertension_Prevalence_2016)*_2017_Female_Prevalence_65_74</f>
        <v>5.1546953271028116E-2</v>
      </c>
      <c r="C17" s="57">
        <f>_2017_Fraction_Female_Hypertension_PC_65_74*Population_2017</f>
        <v>2537141.0400000038</v>
      </c>
      <c r="D17" s="67"/>
      <c r="E17" s="66"/>
    </row>
    <row r="18" spans="1:5" x14ac:dyDescent="0.25">
      <c r="A18" t="s">
        <v>5</v>
      </c>
      <c r="B18" s="58">
        <f>Hypertension_Reduction_2018*Controlled_Hypertension_Prevalence_2016*_2017_Female_Prevalence_65_74</f>
        <v>4.8350242990654269E-2</v>
      </c>
      <c r="C18" s="57">
        <f>_2017_Fraction_Female_Hypertension_WC_65_74*Population_2017</f>
        <v>2379798.9600000032</v>
      </c>
      <c r="D18" s="67"/>
      <c r="E18" s="66"/>
    </row>
    <row r="19" spans="1:5" x14ac:dyDescent="0.25">
      <c r="A19" t="s">
        <v>6</v>
      </c>
      <c r="B19" s="58">
        <f>Hypertension_Reduction_2018*(1-Controlled_Hypertension_Prevalence_2016)*_2017_Female_Prevalence_75</f>
        <v>4.1122788785046806E-2</v>
      </c>
      <c r="C19" s="57">
        <f>_2017_Fraction_Female_Hypertension_PC_75*Population_2017</f>
        <v>2024063.6640000038</v>
      </c>
      <c r="D19" s="67"/>
      <c r="E19" s="66"/>
    </row>
    <row r="20" spans="1:5" x14ac:dyDescent="0.25">
      <c r="A20" t="s">
        <v>7</v>
      </c>
      <c r="B20" s="58">
        <f>Hypertension_Reduction_2018*Controlled_Hypertension_Prevalence_2016*_2017_Female_Prevalence_75</f>
        <v>3.8572538317757074E-2</v>
      </c>
      <c r="C20" s="57">
        <f>_2017_Fraction_Female_Hypertension_WC_75*Population_2017</f>
        <v>1898540.3360000032</v>
      </c>
      <c r="D20" s="67"/>
      <c r="E20" s="66"/>
    </row>
    <row r="21" spans="1:5" x14ac:dyDescent="0.25">
      <c r="B21" s="3"/>
    </row>
    <row r="22" spans="1:5" x14ac:dyDescent="0.25">
      <c r="A22" s="48" t="s">
        <v>32</v>
      </c>
      <c r="B22" s="48" t="s">
        <v>8</v>
      </c>
    </row>
    <row r="23" spans="1:5" x14ac:dyDescent="0.25">
      <c r="A23" s="49" t="s">
        <v>9</v>
      </c>
      <c r="B23" s="50">
        <v>31241831</v>
      </c>
    </row>
    <row r="24" spans="1:5" x14ac:dyDescent="0.25">
      <c r="A24" s="49" t="s">
        <v>10</v>
      </c>
      <c r="B24" s="50">
        <v>49220000</v>
      </c>
    </row>
    <row r="25" spans="1:5" x14ac:dyDescent="0.25">
      <c r="A25" s="49" t="s">
        <v>11</v>
      </c>
      <c r="B25" s="50">
        <f>Population_1990*_1990_Male_Prevalence_65_74</f>
        <v>7941999.9999999907</v>
      </c>
    </row>
    <row r="26" spans="1:5" x14ac:dyDescent="0.25">
      <c r="A26" s="49" t="s">
        <v>12</v>
      </c>
      <c r="B26" s="50">
        <f>Population_1990*_1990_Male_Prevalence_75</f>
        <v>4619000.0000000019</v>
      </c>
    </row>
    <row r="27" spans="1:5" x14ac:dyDescent="0.25">
      <c r="A27" s="49" t="s">
        <v>13</v>
      </c>
      <c r="B27" s="50">
        <f>Population_1990*_1990_Female_Prevalence_65_74</f>
        <v>10165000.000000004</v>
      </c>
    </row>
    <row r="28" spans="1:5" x14ac:dyDescent="0.25">
      <c r="A28" s="49" t="s">
        <v>14</v>
      </c>
      <c r="B28" s="50">
        <f>Population_1990*_1990_Female_Prevalence_75</f>
        <v>8511000.0000000093</v>
      </c>
    </row>
    <row r="29" spans="1:5" x14ac:dyDescent="0.25">
      <c r="A29" s="49" t="s">
        <v>15</v>
      </c>
      <c r="B29" s="50">
        <f>Population_2017*_2017_Male_Prevalence_65_74</f>
        <v>13410000.000000017</v>
      </c>
    </row>
    <row r="30" spans="1:5" x14ac:dyDescent="0.25">
      <c r="A30" s="49" t="s">
        <v>16</v>
      </c>
      <c r="B30" s="50">
        <f>Population_2017*_2017_Male_Prevalence_75</f>
        <v>8350999.9999999898</v>
      </c>
    </row>
    <row r="31" spans="1:5" x14ac:dyDescent="0.25">
      <c r="A31" s="49" t="s">
        <v>17</v>
      </c>
      <c r="B31" s="50">
        <f>Population_2017*_2017_Female_Prevalence_65_74</f>
        <v>15270000.00000002</v>
      </c>
    </row>
    <row r="32" spans="1:5" x14ac:dyDescent="0.25">
      <c r="A32" s="49" t="s">
        <v>18</v>
      </c>
      <c r="B32" s="50">
        <f>Population_2017*_2017_Female_Prevalence_75</f>
        <v>12182000.00000002</v>
      </c>
    </row>
    <row r="33" spans="1:2" x14ac:dyDescent="0.25">
      <c r="A33" s="15" t="s">
        <v>22</v>
      </c>
      <c r="B33" s="37">
        <v>0.254210452646005</v>
      </c>
    </row>
    <row r="34" spans="1:2" x14ac:dyDescent="0.25">
      <c r="A34" s="15" t="s">
        <v>23</v>
      </c>
      <c r="B34" s="37">
        <v>0.14784664829663799</v>
      </c>
    </row>
    <row r="35" spans="1:2" x14ac:dyDescent="0.25">
      <c r="A35" s="15" t="s">
        <v>24</v>
      </c>
      <c r="B35" s="37">
        <v>0.32536505302778201</v>
      </c>
    </row>
    <row r="36" spans="1:2" x14ac:dyDescent="0.25">
      <c r="A36" s="15" t="s">
        <v>25</v>
      </c>
      <c r="B36" s="37">
        <v>0.272423213607423</v>
      </c>
    </row>
    <row r="37" spans="1:2" x14ac:dyDescent="0.25">
      <c r="A37" s="15" t="s">
        <v>26</v>
      </c>
      <c r="B37" s="37">
        <v>0.27245022348638798</v>
      </c>
    </row>
    <row r="38" spans="1:2" x14ac:dyDescent="0.25">
      <c r="A38" s="15" t="s">
        <v>27</v>
      </c>
      <c r="B38" s="37">
        <v>0.16966680211296201</v>
      </c>
    </row>
    <row r="39" spans="1:2" x14ac:dyDescent="0.25">
      <c r="A39" s="15" t="s">
        <v>28</v>
      </c>
      <c r="B39" s="37">
        <v>0.31023973994311299</v>
      </c>
    </row>
    <row r="40" spans="1:2" x14ac:dyDescent="0.25">
      <c r="A40" s="15" t="s">
        <v>29</v>
      </c>
      <c r="B40" s="37">
        <v>0.24750101584721701</v>
      </c>
    </row>
    <row r="41" spans="1:2" x14ac:dyDescent="0.25">
      <c r="A41" s="5"/>
      <c r="B41" s="6"/>
    </row>
    <row r="42" spans="1:2" x14ac:dyDescent="0.25">
      <c r="A42" s="48" t="s">
        <v>83</v>
      </c>
      <c r="B42" s="50"/>
    </row>
    <row r="43" spans="1:2" x14ac:dyDescent="0.25">
      <c r="A43" s="49" t="s">
        <v>19</v>
      </c>
      <c r="B43" s="51">
        <v>0.08</v>
      </c>
    </row>
    <row r="44" spans="1:2" x14ac:dyDescent="0.25">
      <c r="A44" s="15" t="s">
        <v>20</v>
      </c>
      <c r="B44" s="15">
        <v>1.8</v>
      </c>
    </row>
    <row r="45" spans="1:2" x14ac:dyDescent="0.25">
      <c r="A45" s="15" t="s">
        <v>21</v>
      </c>
      <c r="B45" s="15">
        <v>1.72</v>
      </c>
    </row>
    <row r="46" spans="1:2" ht="30" x14ac:dyDescent="0.25">
      <c r="A46" s="52" t="s">
        <v>79</v>
      </c>
      <c r="B46" s="37">
        <f>Baseline_Mortality_Risk*Male_OR</f>
        <v>0.1376</v>
      </c>
    </row>
    <row r="47" spans="1:2" ht="30" x14ac:dyDescent="0.25">
      <c r="A47" s="52" t="s">
        <v>80</v>
      </c>
      <c r="B47" s="37">
        <f>Baseline_Mortality_Risk*Age_OR*Male_OR</f>
        <v>0.24768000000000004</v>
      </c>
    </row>
    <row r="48" spans="1:2" ht="30" x14ac:dyDescent="0.25">
      <c r="A48" s="52" t="s">
        <v>81</v>
      </c>
      <c r="B48" s="15">
        <f>Baseline_Mortality_Risk</f>
        <v>0.08</v>
      </c>
    </row>
    <row r="49" spans="1:2" ht="30" x14ac:dyDescent="0.25">
      <c r="A49" s="52" t="s">
        <v>82</v>
      </c>
      <c r="B49" s="37">
        <f>Baseline_Mortality_Risk*Age_OR</f>
        <v>0.14400000000000002</v>
      </c>
    </row>
    <row r="50" spans="1:2" x14ac:dyDescent="0.25">
      <c r="A50" s="52" t="s">
        <v>93</v>
      </c>
      <c r="B50" s="15">
        <v>0.55000000000000004</v>
      </c>
    </row>
    <row r="51" spans="1:2" x14ac:dyDescent="0.25">
      <c r="A51" s="52" t="s">
        <v>30</v>
      </c>
      <c r="B51" s="15">
        <v>1</v>
      </c>
    </row>
    <row r="52" spans="1:2" x14ac:dyDescent="0.25">
      <c r="A52" s="52" t="s">
        <v>31</v>
      </c>
      <c r="B52" s="15">
        <v>1.4E-2</v>
      </c>
    </row>
    <row r="53" spans="1:2" x14ac:dyDescent="0.25">
      <c r="A53" s="1"/>
    </row>
    <row r="55" spans="1:2" x14ac:dyDescent="0.25">
      <c r="A55" s="10" t="s">
        <v>38</v>
      </c>
      <c r="B55" s="11"/>
    </row>
    <row r="56" spans="1:2" ht="30" x14ac:dyDescent="0.25">
      <c r="A56" s="12" t="s">
        <v>35</v>
      </c>
      <c r="B56" s="13">
        <v>2.02</v>
      </c>
    </row>
    <row r="57" spans="1:2" ht="30" x14ac:dyDescent="0.25">
      <c r="A57" s="12" t="s">
        <v>95</v>
      </c>
      <c r="B57" s="13">
        <v>0.45400000000000001</v>
      </c>
    </row>
    <row r="58" spans="1:2" ht="45" x14ac:dyDescent="0.25">
      <c r="A58" s="12" t="s">
        <v>94</v>
      </c>
      <c r="B58" s="13">
        <v>0.32200000000000001</v>
      </c>
    </row>
    <row r="59" spans="1:2" ht="30" x14ac:dyDescent="0.25">
      <c r="A59" s="12" t="s">
        <v>36</v>
      </c>
      <c r="B59" s="13">
        <v>0.316</v>
      </c>
    </row>
    <row r="60" spans="1:2" ht="30" x14ac:dyDescent="0.25">
      <c r="A60" s="12" t="s">
        <v>37</v>
      </c>
      <c r="B60" s="13">
        <v>0.48399999999999999</v>
      </c>
    </row>
    <row r="61" spans="1:2" x14ac:dyDescent="0.25">
      <c r="A61" s="1"/>
    </row>
  </sheetData>
  <mergeCells count="1">
    <mergeCell ref="A1:C1"/>
  </mergeCells>
  <dataValidations count="1">
    <dataValidation type="list" allowBlank="1" showInputMessage="1" showErrorMessage="1" sqref="B50">
      <formula1>"0.2, 0.4, 0.55, 0.6, 0.67, 0.8"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W36"/>
  <sheetViews>
    <sheetView zoomScale="80" zoomScaleNormal="80" workbookViewId="0">
      <pane xSplit="1" ySplit="7" topLeftCell="E8" activePane="bottomRight" state="frozen"/>
      <selection pane="topRight" activeCell="B1" sqref="B1"/>
      <selection pane="bottomLeft" activeCell="A7" sqref="A7"/>
      <selection pane="bottomRight" activeCell="Q34" sqref="Q34"/>
    </sheetView>
  </sheetViews>
  <sheetFormatPr defaultRowHeight="15" x14ac:dyDescent="0.25"/>
  <cols>
    <col min="1" max="1" width="17.7109375" bestFit="1" customWidth="1"/>
    <col min="2" max="2" width="23.140625" customWidth="1"/>
    <col min="3" max="3" width="14.7109375" customWidth="1"/>
    <col min="4" max="4" width="16.85546875" customWidth="1"/>
    <col min="5" max="5" width="18.85546875" customWidth="1"/>
    <col min="7" max="7" width="12" bestFit="1" customWidth="1"/>
    <col min="8" max="8" width="12.7109375" bestFit="1" customWidth="1"/>
    <col min="9" max="9" width="18.5703125" customWidth="1"/>
    <col min="10" max="10" width="22.5703125" bestFit="1" customWidth="1"/>
    <col min="11" max="11" width="18.7109375" customWidth="1"/>
    <col min="13" max="13" width="12" bestFit="1" customWidth="1"/>
    <col min="14" max="14" width="12.7109375" bestFit="1" customWidth="1"/>
    <col min="15" max="15" width="21" customWidth="1"/>
    <col min="16" max="16" width="22.5703125" bestFit="1" customWidth="1"/>
    <col min="17" max="17" width="16.85546875" customWidth="1"/>
    <col min="19" max="19" width="15.42578125" customWidth="1"/>
    <col min="20" max="20" width="14.140625" customWidth="1"/>
    <col min="21" max="21" width="11.85546875" customWidth="1"/>
    <col min="22" max="22" width="16.140625" customWidth="1"/>
    <col min="23" max="23" width="11.42578125" customWidth="1"/>
  </cols>
  <sheetData>
    <row r="1" spans="1:23" ht="85.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23" x14ac:dyDescent="0.25">
      <c r="A2" s="16" t="s">
        <v>39</v>
      </c>
      <c r="B2" t="s">
        <v>40</v>
      </c>
      <c r="C2" s="17"/>
      <c r="D2" s="9"/>
    </row>
    <row r="3" spans="1:23" x14ac:dyDescent="0.25">
      <c r="A3" s="16" t="s">
        <v>41</v>
      </c>
      <c r="B3" t="s">
        <v>42</v>
      </c>
      <c r="C3" s="17"/>
      <c r="D3" s="9"/>
    </row>
    <row r="4" spans="1:23" x14ac:dyDescent="0.25">
      <c r="A4" s="16"/>
      <c r="C4" s="17"/>
      <c r="D4" s="9"/>
      <c r="G4" s="18"/>
      <c r="H4" s="18"/>
      <c r="M4" s="18"/>
      <c r="N4" s="18"/>
    </row>
    <row r="5" spans="1:23" x14ac:dyDescent="0.25">
      <c r="A5" s="19"/>
      <c r="B5" s="2" t="s">
        <v>43</v>
      </c>
      <c r="C5" s="20" t="s">
        <v>44</v>
      </c>
      <c r="D5" s="21" t="s">
        <v>45</v>
      </c>
      <c r="E5" s="2" t="s">
        <v>46</v>
      </c>
      <c r="F5" s="2"/>
      <c r="G5" s="2" t="s">
        <v>47</v>
      </c>
      <c r="H5" s="2" t="s">
        <v>48</v>
      </c>
      <c r="I5" s="2" t="s">
        <v>49</v>
      </c>
      <c r="J5" s="2" t="s">
        <v>84</v>
      </c>
      <c r="K5" s="2" t="s">
        <v>50</v>
      </c>
      <c r="M5" s="2" t="s">
        <v>47</v>
      </c>
      <c r="N5" s="2" t="s">
        <v>48</v>
      </c>
      <c r="O5" s="2" t="s">
        <v>49</v>
      </c>
      <c r="P5" s="2" t="s">
        <v>84</v>
      </c>
      <c r="Q5" s="2" t="s">
        <v>50</v>
      </c>
    </row>
    <row r="6" spans="1:23" x14ac:dyDescent="0.25">
      <c r="A6" s="22" t="s">
        <v>50</v>
      </c>
      <c r="B6" s="22" t="s">
        <v>51</v>
      </c>
      <c r="C6" s="23" t="s">
        <v>52</v>
      </c>
      <c r="D6" s="24" t="s">
        <v>53</v>
      </c>
      <c r="E6" s="22" t="s">
        <v>52</v>
      </c>
      <c r="F6" s="22"/>
      <c r="G6" s="22" t="s">
        <v>54</v>
      </c>
      <c r="H6" s="22" t="s">
        <v>43</v>
      </c>
      <c r="I6" s="22" t="s">
        <v>55</v>
      </c>
      <c r="J6" s="22" t="s">
        <v>56</v>
      </c>
      <c r="K6" s="22" t="s">
        <v>56</v>
      </c>
      <c r="M6" s="22" t="s">
        <v>54</v>
      </c>
      <c r="N6" s="22" t="s">
        <v>43</v>
      </c>
      <c r="O6" s="22" t="s">
        <v>55</v>
      </c>
      <c r="P6" s="22" t="s">
        <v>56</v>
      </c>
      <c r="Q6" s="22" t="s">
        <v>56</v>
      </c>
    </row>
    <row r="7" spans="1:23" ht="45" x14ac:dyDescent="0.25">
      <c r="A7" s="22"/>
      <c r="B7" s="22"/>
      <c r="C7" s="23"/>
      <c r="D7" s="25"/>
      <c r="E7" s="26" t="s">
        <v>57</v>
      </c>
      <c r="F7" s="26"/>
      <c r="G7" s="26"/>
      <c r="H7" s="26"/>
      <c r="I7" s="26" t="s">
        <v>58</v>
      </c>
      <c r="J7" s="26" t="s">
        <v>85</v>
      </c>
      <c r="K7" s="26" t="s">
        <v>77</v>
      </c>
      <c r="M7" s="26"/>
      <c r="N7" s="26"/>
      <c r="O7" s="26" t="s">
        <v>58</v>
      </c>
      <c r="P7" s="26" t="s">
        <v>85</v>
      </c>
      <c r="Q7" s="26" t="s">
        <v>77</v>
      </c>
      <c r="S7" s="26" t="s">
        <v>91</v>
      </c>
      <c r="T7" s="26" t="s">
        <v>92</v>
      </c>
      <c r="U7" s="26" t="s">
        <v>86</v>
      </c>
      <c r="V7" s="26" t="s">
        <v>87</v>
      </c>
      <c r="W7" s="26" t="s">
        <v>88</v>
      </c>
    </row>
    <row r="8" spans="1:2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23" x14ac:dyDescent="0.25">
      <c r="A9" s="27"/>
      <c r="G9" s="72" t="s">
        <v>89</v>
      </c>
      <c r="H9" s="75"/>
      <c r="I9" s="75"/>
      <c r="J9" s="75"/>
      <c r="K9" s="75"/>
      <c r="M9" s="72" t="s">
        <v>90</v>
      </c>
      <c r="N9" s="72"/>
      <c r="O9" s="72"/>
      <c r="P9" s="72"/>
      <c r="Q9" s="72"/>
    </row>
    <row r="10" spans="1:23" x14ac:dyDescent="0.25">
      <c r="A10" s="28" t="s">
        <v>78</v>
      </c>
      <c r="J10" s="46"/>
      <c r="K10" s="46"/>
    </row>
    <row r="11" spans="1:23" x14ac:dyDescent="0.25">
      <c r="A11" s="16" t="s">
        <v>59</v>
      </c>
      <c r="E11" s="47"/>
      <c r="F11" s="47"/>
      <c r="G11" s="73" t="s">
        <v>60</v>
      </c>
      <c r="H11" s="73"/>
      <c r="I11" s="73"/>
      <c r="J11" s="73"/>
      <c r="K11" s="73"/>
      <c r="L11" s="73"/>
      <c r="M11" s="73"/>
      <c r="N11" s="73"/>
      <c r="O11" s="73"/>
      <c r="P11" s="73"/>
      <c r="Q11" s="73"/>
    </row>
    <row r="12" spans="1:23" x14ac:dyDescent="0.25">
      <c r="A12" t="s">
        <v>61</v>
      </c>
      <c r="G12" t="s">
        <v>62</v>
      </c>
      <c r="M12" t="s">
        <v>62</v>
      </c>
    </row>
    <row r="13" spans="1:23" x14ac:dyDescent="0.25">
      <c r="A13" t="s">
        <v>63</v>
      </c>
      <c r="B13" s="31">
        <f>_1990_Fraction_Female_Hypertension_PC_65_74</f>
        <v>9.6340607882974535E-2</v>
      </c>
      <c r="C13" s="9">
        <f>Female_65_74_Baseline_Mortality_Risk_no_Comorbidity</f>
        <v>0.08</v>
      </c>
      <c r="D13">
        <f>Comorbidity_Control_Adjuster_PC*Hypertension_OR</f>
        <v>2.02</v>
      </c>
      <c r="E13" s="9">
        <f>+D13*C13</f>
        <v>0.16159999999999999</v>
      </c>
      <c r="G13" s="4">
        <f>Hospitalization_Rate*_1990_Population_Female_PC_Hypertension_65_74</f>
        <v>66386.386080000084</v>
      </c>
      <c r="H13" s="4">
        <f>Population_2017*_1990_Fraction_Female_Hypertension_PC_65_74</f>
        <v>4741884.7200000063</v>
      </c>
      <c r="I13" s="36">
        <f>E13*G13</f>
        <v>10728.039990528014</v>
      </c>
      <c r="J13" s="30">
        <f>I13/H13</f>
        <v>2.2623999999999999E-3</v>
      </c>
      <c r="K13" s="30">
        <f>I13/_2017_Total_Female_Population_65_74</f>
        <v>7.0255664639999995E-4</v>
      </c>
      <c r="M13" s="4">
        <f>Hospitalization_Rate*_2017_Population_Female_PC_Hypertension_65_74</f>
        <v>35519.974560000053</v>
      </c>
      <c r="N13" s="4">
        <f>Population_2017*_2017_Fraction_Female_Hypertension_PC_65_74</f>
        <v>2537141.0400000038</v>
      </c>
      <c r="O13" s="36">
        <f>M13*E13</f>
        <v>5740.0278888960083</v>
      </c>
      <c r="P13" s="30">
        <f>O13/_2017_Population_Female_PC_Hypertension_65_74</f>
        <v>2.2623999999999999E-3</v>
      </c>
      <c r="Q13" s="30">
        <f>O13/_2017_Total_Female_Population_65_74</f>
        <v>3.7590228480000005E-4</v>
      </c>
      <c r="S13" s="31">
        <f>_1990_Fraction_Female_Hypertension_PC_65_74</f>
        <v>9.6340607882974535E-2</v>
      </c>
      <c r="T13" s="31">
        <f>_2017_Fraction_Female_Hypertension_PC_65_74</f>
        <v>5.1546953271028116E-2</v>
      </c>
      <c r="U13" s="9">
        <f>T13/S13</f>
        <v>0.53504907643558242</v>
      </c>
      <c r="V13" s="29">
        <f>K13*U13</f>
        <v>3.759022848E-4</v>
      </c>
      <c r="W13" s="61">
        <f>V13/Q13</f>
        <v>0.99999999999999989</v>
      </c>
    </row>
    <row r="14" spans="1:23" x14ac:dyDescent="0.25">
      <c r="A14" t="s">
        <v>64</v>
      </c>
      <c r="B14" s="31">
        <f>_1990_Fraction_Female_Hypertension_PC_75</f>
        <v>7.6857975457131369E-2</v>
      </c>
      <c r="C14" s="9">
        <f>Female_75_Baseline_Mortality_Risk_no_Comorbidity</f>
        <v>0.14400000000000002</v>
      </c>
      <c r="D14">
        <f>Comorbidity_Control_Adjuster_PC*Hypertension_OR</f>
        <v>2.02</v>
      </c>
      <c r="E14" s="9">
        <f>+D14*C14</f>
        <v>0.29088000000000003</v>
      </c>
      <c r="G14" s="4">
        <f>Hospitalization_Rate*_1990_Population_Female_PC_Hypertension_75</f>
        <v>52961.293728000084</v>
      </c>
      <c r="H14" s="4">
        <f>Population_2017*_1990_Fraction_Female_Hypertension_PC_75</f>
        <v>3782949.5520000062</v>
      </c>
      <c r="I14" s="36">
        <f>E14*G14</f>
        <v>15405.381119600666</v>
      </c>
      <c r="J14" s="30">
        <f>I14/H14</f>
        <v>4.0723199999999999E-3</v>
      </c>
      <c r="K14" s="30">
        <f>I14/_2017_Total_Female_Population_75</f>
        <v>1.2646019635200001E-3</v>
      </c>
      <c r="M14" s="4">
        <f>Hospitalization_Rate*_2017_Population_Female_PC_Hypertension_75</f>
        <v>28336.891296000053</v>
      </c>
      <c r="N14" s="4">
        <f>Population_2017*_2017_Fraction_Female_Hypertension_PC_75</f>
        <v>2024063.6640000038</v>
      </c>
      <c r="O14" s="36">
        <f>M14*E14</f>
        <v>8242.6349401804964</v>
      </c>
      <c r="P14" s="30">
        <f>O14/_2017_Population_Female_PC_Hypertension_75</f>
        <v>4.0723200000000008E-3</v>
      </c>
      <c r="Q14" s="30">
        <f>O14/_2017_Total_Female_Population_75</f>
        <v>6.7662411264000021E-4</v>
      </c>
      <c r="S14" s="31">
        <f>_1990_Fraction_Female_Hypertension_PC_75</f>
        <v>7.6857975457131369E-2</v>
      </c>
      <c r="T14" s="31">
        <f>_2017_Fraction_Female_Hypertension_PC_75</f>
        <v>4.1122788785046806E-2</v>
      </c>
      <c r="U14" s="9">
        <f t="shared" ref="U14:U31" si="0">T14/S14</f>
        <v>0.53504907643558253</v>
      </c>
      <c r="V14" s="29">
        <f t="shared" ref="V14:V31" si="1">K14*U14</f>
        <v>6.7662411264000032E-4</v>
      </c>
      <c r="W14" s="61">
        <f t="shared" ref="W14:W31" si="2">V14/Q14</f>
        <v>1.0000000000000002</v>
      </c>
    </row>
    <row r="15" spans="1:23" x14ac:dyDescent="0.25">
      <c r="A15" s="32" t="s">
        <v>65</v>
      </c>
      <c r="B15" s="33"/>
      <c r="C15" s="34"/>
      <c r="D15" s="34"/>
      <c r="E15" s="37"/>
      <c r="F15" s="15"/>
      <c r="G15" s="15"/>
      <c r="H15" s="14">
        <f>SUM(H13:H14)</f>
        <v>8524834.2720000129</v>
      </c>
      <c r="I15" s="34">
        <f>SUM(I13:I14)</f>
        <v>26133.421110128678</v>
      </c>
      <c r="J15" s="35">
        <f>I15/H15</f>
        <v>3.0655635378114524E-3</v>
      </c>
      <c r="K15" s="35">
        <f>I15/(_2017_Total_Female_Population_65_74+_2017_Total_Female_Population_75)</f>
        <v>9.5196783877781724E-4</v>
      </c>
      <c r="L15" s="7"/>
      <c r="M15" s="15"/>
      <c r="N15" s="14">
        <f>SUM(_2017_Population_Female_PC_Hypertension_65_74, _2017_Population_Female_PC_Hypertension_75)</f>
        <v>4561204.7040000074</v>
      </c>
      <c r="O15" s="34">
        <f>SUM(O13:O14)</f>
        <v>13982.662829076504</v>
      </c>
      <c r="P15" s="35">
        <f>O15/N15</f>
        <v>3.0655635378114528E-3</v>
      </c>
      <c r="Q15" s="35">
        <f>O15/(_2017_Total_Female_Population_65_74+_2017_Total_Female_Population_75)</f>
        <v>5.0934951293444858E-4</v>
      </c>
      <c r="S15" s="31"/>
      <c r="T15" s="31"/>
      <c r="U15" s="9"/>
      <c r="V15" s="29"/>
      <c r="W15" s="61"/>
    </row>
    <row r="16" spans="1:23" x14ac:dyDescent="0.25">
      <c r="A16" s="19"/>
      <c r="B16" s="31"/>
      <c r="C16" s="36"/>
      <c r="D16" s="36"/>
      <c r="E16" s="9"/>
      <c r="H16" s="4"/>
      <c r="L16" s="7"/>
      <c r="N16" s="4"/>
      <c r="S16" s="31"/>
      <c r="T16" s="31"/>
      <c r="U16" s="9"/>
      <c r="V16" s="29"/>
      <c r="W16" s="61"/>
    </row>
    <row r="17" spans="1:23" x14ac:dyDescent="0.25">
      <c r="A17" t="s">
        <v>66</v>
      </c>
      <c r="B17" s="31"/>
      <c r="C17" s="9"/>
      <c r="E17" s="9"/>
      <c r="G17" t="s">
        <v>67</v>
      </c>
      <c r="H17" s="4"/>
      <c r="L17" s="7"/>
      <c r="M17" t="s">
        <v>67</v>
      </c>
      <c r="N17" s="4"/>
      <c r="S17" s="31"/>
      <c r="T17" s="31"/>
      <c r="U17" s="9"/>
      <c r="V17" s="29"/>
      <c r="W17" s="61"/>
    </row>
    <row r="18" spans="1:23" x14ac:dyDescent="0.25">
      <c r="A18" t="s">
        <v>63</v>
      </c>
      <c r="B18" s="31">
        <f>_1990_Fraction_Male_Hypertension_PC_65_74</f>
        <v>8.4605602600568972E-2</v>
      </c>
      <c r="C18" s="9">
        <f>Male_65_74_Baseline_Mortality_Risk_no_Comorbidity</f>
        <v>0.1376</v>
      </c>
      <c r="D18">
        <f>Comorbidity_Control_Adjuster_PC*Hypertension_OR</f>
        <v>2.02</v>
      </c>
      <c r="E18" s="9">
        <f>+D18*C18</f>
        <v>0.27795199999999998</v>
      </c>
      <c r="G18" s="4">
        <f>Hospitalization_Rate*_1990_Population_Male_PC_Hypertension_65_74</f>
        <v>58300.02864000007</v>
      </c>
      <c r="H18" s="4">
        <f>Population_2017*_1990_Fraction_Male_Hypertension_PC_65_74</f>
        <v>4164287.7600000049</v>
      </c>
      <c r="I18" s="36">
        <f>E18*G18</f>
        <v>16204.609560545297</v>
      </c>
      <c r="J18" s="30">
        <f>I18/H18</f>
        <v>3.8913279999999995E-3</v>
      </c>
      <c r="K18" s="30">
        <f>I18/_2017_Total_Male_Population_65_74</f>
        <v>1.2083974318079999E-3</v>
      </c>
      <c r="L18" s="7"/>
      <c r="M18" s="4">
        <f>Hospitalization_Rate*_2017_Population_Male_PC_Hypertension_65_74</f>
        <v>31193.376480000043</v>
      </c>
      <c r="N18" s="4">
        <f>Population_2017*_2017_Fraction_Male_Hypertension_PC_65_74</f>
        <v>2228098.3200000031</v>
      </c>
      <c r="O18" s="36">
        <f>M18*E18</f>
        <v>8670.2613793689707</v>
      </c>
      <c r="P18" s="30">
        <f>O18/_2017_Population_Male_PC_Hypertension_65_74</f>
        <v>3.8913279999999995E-3</v>
      </c>
      <c r="Q18" s="30">
        <f>O18/_2017_Total_Male_Population_65_74</f>
        <v>6.4655192985600002E-4</v>
      </c>
      <c r="S18" s="31">
        <f>_1990_Fraction_Male_Hypertension_PC_65_74</f>
        <v>8.4605602600568972E-2</v>
      </c>
      <c r="T18" s="31">
        <f>_2017_Fraction_Male_Hypertension_PC_65_74</f>
        <v>4.5268149532710342E-2</v>
      </c>
      <c r="U18" s="9">
        <f t="shared" si="0"/>
        <v>0.53504907643558242</v>
      </c>
      <c r="V18" s="29">
        <f t="shared" si="1"/>
        <v>6.4655192985600002E-4</v>
      </c>
      <c r="W18" s="61">
        <f t="shared" si="2"/>
        <v>1</v>
      </c>
    </row>
    <row r="19" spans="1:23" x14ac:dyDescent="0.25">
      <c r="A19" t="s">
        <v>64</v>
      </c>
      <c r="B19" s="31">
        <f>_1990_Fraction_Male_Hypertension_PC_75</f>
        <v>5.2687650060950768E-2</v>
      </c>
      <c r="C19" s="9">
        <f>Male_75_Baseline_Mortality_Risk_no_Comorbidity</f>
        <v>0.24768000000000004</v>
      </c>
      <c r="D19">
        <f>Comorbidity_Control_Adjuster_PC*Hypertension_OR</f>
        <v>2.02</v>
      </c>
      <c r="E19" s="9">
        <f>+D19*C19</f>
        <v>0.50031360000000014</v>
      </c>
      <c r="G19" s="4">
        <f>Hospitalization_Rate*_1990_Population_Male_PC_Hypertension_75</f>
        <v>36306.005903999954</v>
      </c>
      <c r="H19" s="4">
        <f>Population_2017*_1990_Fraction_Male_Hypertension_PC_75</f>
        <v>2593286.1359999967</v>
      </c>
      <c r="I19" s="36">
        <f>E19*G19</f>
        <v>18164.388515451476</v>
      </c>
      <c r="J19" s="30">
        <f t="shared" ref="J19:J20" si="3">I19/H19</f>
        <v>7.004390400000002E-3</v>
      </c>
      <c r="K19" s="30">
        <f>I19/_2017_Total_Male_Population_75</f>
        <v>2.1751153772544005E-3</v>
      </c>
      <c r="L19" s="7"/>
      <c r="M19" s="4">
        <f>Hospitalization_Rate*_2017_Population_Male_PC_Hypertension_75</f>
        <v>19425.494927999982</v>
      </c>
      <c r="N19" s="4">
        <f>Population_2017*_2017_Fraction_Male_Hypertension_PC_75</f>
        <v>1387535.3519999986</v>
      </c>
      <c r="O19" s="36">
        <f>M19*E19</f>
        <v>9718.8392992094141</v>
      </c>
      <c r="P19" s="30">
        <f>O19/_2017_Population_Male_PC_Hypertension_75</f>
        <v>7.0043904000000028E-3</v>
      </c>
      <c r="Q19" s="30">
        <f>O19/_2017_Total_Male_Population_75</f>
        <v>1.1637934737408007E-3</v>
      </c>
      <c r="S19" s="31">
        <f>_1990_Fraction_Male_Hypertension_PC_75</f>
        <v>5.2687650060950768E-2</v>
      </c>
      <c r="T19" s="31">
        <f>_2017_Fraction_Male_Hypertension_PC_75</f>
        <v>2.8190478504672867E-2</v>
      </c>
      <c r="U19" s="9">
        <f t="shared" si="0"/>
        <v>0.53504907643558242</v>
      </c>
      <c r="V19" s="29">
        <f t="shared" si="1"/>
        <v>1.1637934737408005E-3</v>
      </c>
      <c r="W19" s="61">
        <f t="shared" si="2"/>
        <v>0.99999999999999978</v>
      </c>
    </row>
    <row r="20" spans="1:23" x14ac:dyDescent="0.25">
      <c r="A20" s="32" t="s">
        <v>65</v>
      </c>
      <c r="B20" s="33"/>
      <c r="C20" s="37"/>
      <c r="D20" s="15"/>
      <c r="E20" s="37"/>
      <c r="F20" s="15"/>
      <c r="G20" s="15"/>
      <c r="H20" s="14">
        <f>SUM(H18:H19)</f>
        <v>6757573.8960000016</v>
      </c>
      <c r="I20" s="34">
        <f>SUM(I18:I19)</f>
        <v>34368.998075996773</v>
      </c>
      <c r="J20" s="35">
        <f t="shared" si="3"/>
        <v>5.0859966320665395E-3</v>
      </c>
      <c r="K20" s="35">
        <f>I20/(_2017_Total_Male_Population_65_74+_2017_Total_Male_Population_75)</f>
        <v>1.5793850501354147E-3</v>
      </c>
      <c r="L20" s="7"/>
      <c r="M20" s="15"/>
      <c r="N20" s="14">
        <f>SUM(_2017_Population_Male_PC_Hypertension_65_74, _2017_Population_Male_PC_Hypertension_75)</f>
        <v>3615633.6720000017</v>
      </c>
      <c r="O20" s="34">
        <f>SUM(O18:O19)</f>
        <v>18389.100678578383</v>
      </c>
      <c r="P20" s="35">
        <f>O20/N20</f>
        <v>5.0859966320665395E-3</v>
      </c>
      <c r="Q20" s="35">
        <f>O20/(_2017_Total_Male_Population_65_74+_2017_Total_Male_Population_75)</f>
        <v>8.4504851241111976E-4</v>
      </c>
      <c r="S20" s="31"/>
      <c r="T20" s="31"/>
      <c r="U20" s="9"/>
      <c r="V20" s="29"/>
      <c r="W20" s="61"/>
    </row>
    <row r="21" spans="1:23" x14ac:dyDescent="0.25">
      <c r="A21" s="32" t="s">
        <v>68</v>
      </c>
      <c r="B21" s="33"/>
      <c r="C21" s="37"/>
      <c r="D21" s="15"/>
      <c r="E21" s="37"/>
      <c r="F21" s="15"/>
      <c r="G21" s="15" t="s">
        <v>69</v>
      </c>
      <c r="H21" s="14">
        <f>H20+H15</f>
        <v>15282408.168000014</v>
      </c>
      <c r="I21" s="34">
        <f>SUM(I20,I15)</f>
        <v>60502.419186125451</v>
      </c>
      <c r="J21" s="38">
        <f>I21/H21</f>
        <v>3.9589584652510506E-3</v>
      </c>
      <c r="K21" s="38">
        <f>I21/(_2017_Total_Female_Population_65_74+_2017_Total_Female_Population_75+_2017_Total_Male_Population_65_74+_2017_Total_Male_Population_75)</f>
        <v>1.2293991259652E-3</v>
      </c>
      <c r="L21" s="7"/>
      <c r="M21" s="15" t="s">
        <v>69</v>
      </c>
      <c r="N21" s="14">
        <f>N20+N15</f>
        <v>8176838.3760000095</v>
      </c>
      <c r="O21" s="34">
        <f>SUM(O20,O15)</f>
        <v>32371.763507654887</v>
      </c>
      <c r="P21" s="38">
        <f>O21/N21</f>
        <v>3.9589584652510498E-3</v>
      </c>
      <c r="Q21" s="38">
        <f>O21/(_2017_Total_Female_Population_65_74+_2017_Total_Female_Population_75+_2017_Total_Male_Population_65_74+_2017_Total_Male_Population_75)</f>
        <v>6.5778886691839251E-4</v>
      </c>
      <c r="S21" s="31"/>
      <c r="T21" s="31"/>
      <c r="U21" s="9"/>
      <c r="V21" s="29"/>
      <c r="W21" s="61"/>
    </row>
    <row r="22" spans="1:23" x14ac:dyDescent="0.25">
      <c r="A22" s="39"/>
      <c r="B22" s="40"/>
      <c r="C22" s="8"/>
      <c r="D22" s="7"/>
      <c r="E22" s="9"/>
      <c r="H22" s="36"/>
      <c r="L22" s="7"/>
      <c r="S22" s="31"/>
      <c r="T22" s="31"/>
      <c r="U22" s="9"/>
      <c r="V22" s="29"/>
      <c r="W22" s="61"/>
    </row>
    <row r="23" spans="1:23" x14ac:dyDescent="0.25">
      <c r="A23" s="16" t="s">
        <v>70</v>
      </c>
      <c r="B23" s="31"/>
      <c r="C23" s="9"/>
      <c r="E23" s="9"/>
      <c r="G23" s="74" t="s">
        <v>71</v>
      </c>
      <c r="H23" s="74"/>
      <c r="I23" s="74"/>
      <c r="J23" s="74"/>
      <c r="K23" s="74"/>
      <c r="L23" s="74"/>
      <c r="M23" s="74"/>
      <c r="N23" s="74"/>
      <c r="O23" s="74"/>
      <c r="P23" s="74"/>
      <c r="Q23" s="74"/>
      <c r="S23" s="31"/>
      <c r="T23" s="31"/>
      <c r="U23" s="9"/>
      <c r="V23" s="29"/>
      <c r="W23" s="61"/>
    </row>
    <row r="24" spans="1:23" x14ac:dyDescent="0.25">
      <c r="A24" t="s">
        <v>61</v>
      </c>
      <c r="B24" s="31"/>
      <c r="C24" s="9"/>
      <c r="E24" s="9"/>
      <c r="G24" t="s">
        <v>62</v>
      </c>
      <c r="L24" s="7"/>
      <c r="M24" t="s">
        <v>62</v>
      </c>
      <c r="S24" s="31"/>
      <c r="T24" s="31"/>
      <c r="U24" s="9"/>
      <c r="V24" s="29"/>
      <c r="W24" s="61"/>
    </row>
    <row r="25" spans="1:23" x14ac:dyDescent="0.25">
      <c r="A25" t="s">
        <v>63</v>
      </c>
      <c r="B25" s="31">
        <f>_1990_Fraction_Female_Hypertension_WC_65_74</f>
        <v>4.4508234051198768E-2</v>
      </c>
      <c r="C25" s="9">
        <f>Female_65_74_Baseline_Mortality_Risk_no_Comorbidity</f>
        <v>0.08</v>
      </c>
      <c r="D25">
        <f>Comorbidity_Control_Adjuster_WC*Hypertension_OR</f>
        <v>1.1110000000000002</v>
      </c>
      <c r="E25" s="9">
        <f t="shared" ref="E25:E30" si="4">+D25*C25</f>
        <v>8.8880000000000015E-2</v>
      </c>
      <c r="G25" s="4">
        <f>Hospitalization_Rate*_1990_Population_Female_WC_Hypertension_65_74</f>
        <v>30669.73392000005</v>
      </c>
      <c r="H25" s="4">
        <f>Population_2017*_1990_Fraction_Female_Hypertension_WC_65_74</f>
        <v>2190695.2800000035</v>
      </c>
      <c r="I25" s="36">
        <f>E25*G25</f>
        <v>2725.9259508096047</v>
      </c>
      <c r="J25" s="30">
        <f>I25/H25</f>
        <v>1.2443200000000001E-3</v>
      </c>
      <c r="K25" s="30">
        <f>I25/_2017_Total_Female_Population_65_74</f>
        <v>1.7851512448000006E-4</v>
      </c>
      <c r="L25" s="7"/>
      <c r="M25" s="4">
        <f>Hospitalization_Rate*_2017_Population_Female_WC_Hypertension_65_74</f>
        <v>33317.185440000045</v>
      </c>
      <c r="N25" s="4">
        <f>Population_2017*_2017_Fraction_Female_Hypertension_WC_65_74</f>
        <v>2379798.9600000032</v>
      </c>
      <c r="O25" s="36">
        <f>M25*E25</f>
        <v>2961.2314419072045</v>
      </c>
      <c r="P25" s="30">
        <f>O25/_2017_Population_Female_WC_Hypertension_65_74</f>
        <v>1.2443200000000001E-3</v>
      </c>
      <c r="Q25" s="30">
        <f>O25/_2017_Total_Female_Population_65_74</f>
        <v>1.9392478336000005E-4</v>
      </c>
      <c r="S25" s="31">
        <f>_1990_Fraction_Female_Hypertension_WC_65_74</f>
        <v>4.4508234051198768E-2</v>
      </c>
      <c r="T25" s="31">
        <f>_2017_Fraction_Female_Hypertension_WC_65_74</f>
        <v>4.8350242990654269E-2</v>
      </c>
      <c r="U25" s="9">
        <f t="shared" si="0"/>
        <v>1.086321307087492</v>
      </c>
      <c r="V25" s="29">
        <f t="shared" si="1"/>
        <v>1.9392478335999999E-4</v>
      </c>
      <c r="W25" s="61">
        <f t="shared" si="2"/>
        <v>0.99999999999999967</v>
      </c>
    </row>
    <row r="26" spans="1:23" x14ac:dyDescent="0.25">
      <c r="A26" t="s">
        <v>64</v>
      </c>
      <c r="B26" s="31">
        <f>_1990_Fraction_Female_Hypertension_WC_75</f>
        <v>3.5507485737505146E-2</v>
      </c>
      <c r="C26" s="9">
        <f>Female_75_Baseline_Mortality_Risk_no_Comorbidity</f>
        <v>0.14400000000000002</v>
      </c>
      <c r="D26">
        <f>Comorbidity_Control_Adjuster_WC*Hypertension_OR</f>
        <v>1.1110000000000002</v>
      </c>
      <c r="E26" s="9">
        <f t="shared" si="4"/>
        <v>0.15998400000000004</v>
      </c>
      <c r="G26" s="4">
        <f>Hospitalization_Rate*_1990_Population_Female_WC_Hypertension_75</f>
        <v>24467.498272000048</v>
      </c>
      <c r="H26" s="4">
        <f>Population_2017*_1990_Fraction_Female_Hypertension_WC_75</f>
        <v>1747678.4480000034</v>
      </c>
      <c r="I26" s="36">
        <f>E26*G26</f>
        <v>3914.4082435476566</v>
      </c>
      <c r="J26" s="30">
        <f t="shared" ref="J26:J33" si="5">I26/H26</f>
        <v>2.2397760000000006E-3</v>
      </c>
      <c r="K26" s="30">
        <f>I26/_2017_Total_Female_Population_75</f>
        <v>3.2132722406400015E-4</v>
      </c>
      <c r="L26" s="7"/>
      <c r="M26" s="4">
        <f>Hospitalization_Rate*_2017_Population_Female_WC_Hypertension_75</f>
        <v>26579.564704000044</v>
      </c>
      <c r="N26" s="4">
        <f>Population_2017*_2017_Fraction_Female_Hypertension_WC_75</f>
        <v>1898540.3360000032</v>
      </c>
      <c r="O26" s="36">
        <f>M26*E26</f>
        <v>4252.3050796047446</v>
      </c>
      <c r="P26" s="30">
        <f>O26/_2017_Population_Female_WC_Hypertension_75</f>
        <v>2.2397760000000006E-3</v>
      </c>
      <c r="Q26" s="30">
        <f>O26/_2017_Total_Female_Population_75</f>
        <v>3.4906461004800013E-4</v>
      </c>
      <c r="S26" s="31">
        <f>_1990_Fraction_Female_Hypertension_WC_75</f>
        <v>3.5507485737505146E-2</v>
      </c>
      <c r="T26" s="31">
        <f>_2017_Fraction_Female_Hypertension_WC_75</f>
        <v>3.8572538317757074E-2</v>
      </c>
      <c r="U26" s="9">
        <f t="shared" si="0"/>
        <v>1.0863213070874922</v>
      </c>
      <c r="V26" s="29">
        <f t="shared" si="1"/>
        <v>3.4906461004800013E-4</v>
      </c>
      <c r="W26" s="61">
        <f t="shared" si="2"/>
        <v>1</v>
      </c>
    </row>
    <row r="27" spans="1:23" x14ac:dyDescent="0.25">
      <c r="A27" s="32" t="s">
        <v>65</v>
      </c>
      <c r="B27" s="33"/>
      <c r="C27" s="37"/>
      <c r="D27" s="15"/>
      <c r="E27" s="37"/>
      <c r="F27" s="15"/>
      <c r="G27" s="15"/>
      <c r="H27" s="34">
        <f>SUM(H25:H26)</f>
        <v>3938373.7280000066</v>
      </c>
      <c r="I27" s="34">
        <f>SUM(I25:I26)</f>
        <v>6640.3341943572614</v>
      </c>
      <c r="J27" s="35">
        <f t="shared" si="5"/>
        <v>1.6860599457962995E-3</v>
      </c>
      <c r="K27" s="35">
        <f>I27/(_2017_Total_Female_Population_65_74+_2017_Total_Female_Population_75)</f>
        <v>2.4188890406372037E-4</v>
      </c>
      <c r="L27" s="7"/>
      <c r="M27" s="15"/>
      <c r="N27" s="34">
        <f>SUM(_2017_Population_Female_WC_Hypertension_65_74, _2017_Population_Female_WC_Hypertension_75)</f>
        <v>4278339.2960000066</v>
      </c>
      <c r="O27" s="34">
        <f>SUM(O25:O26)</f>
        <v>7213.5365215119491</v>
      </c>
      <c r="P27" s="35">
        <f>O27/N27</f>
        <v>1.6860599457962995E-3</v>
      </c>
      <c r="Q27" s="35">
        <f>O27/(_2017_Total_Female_Population_65_74+_2017_Total_Female_Population_75)</f>
        <v>2.6276907043246167E-4</v>
      </c>
      <c r="S27" s="31"/>
      <c r="T27" s="31"/>
      <c r="U27" s="9"/>
      <c r="V27" s="29"/>
      <c r="W27" s="61"/>
    </row>
    <row r="28" spans="1:23" x14ac:dyDescent="0.25">
      <c r="A28" s="19"/>
      <c r="B28" s="31"/>
      <c r="C28" s="9"/>
      <c r="E28" s="9"/>
      <c r="J28" s="30"/>
      <c r="L28" s="7"/>
      <c r="S28" s="31"/>
      <c r="T28" s="31"/>
      <c r="U28" s="9"/>
      <c r="V28" s="29"/>
      <c r="W28" s="61"/>
    </row>
    <row r="29" spans="1:23" x14ac:dyDescent="0.25">
      <c r="A29" t="s">
        <v>66</v>
      </c>
      <c r="B29" s="31"/>
      <c r="C29" s="9"/>
      <c r="E29" s="9"/>
      <c r="G29" t="s">
        <v>67</v>
      </c>
      <c r="J29" s="30"/>
      <c r="L29" s="7"/>
      <c r="M29" t="s">
        <v>67</v>
      </c>
      <c r="S29" s="31"/>
      <c r="T29" s="31"/>
      <c r="U29" s="9"/>
      <c r="V29" s="29"/>
      <c r="W29" s="61"/>
    </row>
    <row r="30" spans="1:23" x14ac:dyDescent="0.25">
      <c r="A30" t="s">
        <v>63</v>
      </c>
      <c r="B30" s="31">
        <f>_1990_Fraction_Male_Hypertension_WC_65_74</f>
        <v>3.9086798862251165E-2</v>
      </c>
      <c r="C30" s="9">
        <f>Male_65_74_Baseline_Mortality_Risk_no_Comorbidity</f>
        <v>0.1376</v>
      </c>
      <c r="D30">
        <f>Comorbidity_Control_Adjuster_WC*Hypertension_OR</f>
        <v>1.1110000000000002</v>
      </c>
      <c r="E30" s="9">
        <f t="shared" si="4"/>
        <v>0.15287360000000003</v>
      </c>
      <c r="G30" s="4">
        <f>Hospitalization_Rate*_1990_Population_Male_WC_Hypertension_65_74</f>
        <v>26933.931360000031</v>
      </c>
      <c r="H30" s="4">
        <f>Population_2017*_1990_Fraction_Male_Hypertension_WC_65_74</f>
        <v>1923852.2400000023</v>
      </c>
      <c r="I30" s="36">
        <f>E30*G30</f>
        <v>4117.4870491561014</v>
      </c>
      <c r="J30" s="30">
        <f t="shared" si="5"/>
        <v>2.1402304E-3</v>
      </c>
      <c r="K30" s="30">
        <f>I30/_2017_Total_Male_Population_65_74</f>
        <v>3.0704601410560004E-4</v>
      </c>
      <c r="L30" s="7"/>
      <c r="M30" s="4">
        <f>Hospitalization_Rate*_2017_Population_Male_WC_Hypertension_65_74</f>
        <v>29258.903520000036</v>
      </c>
      <c r="N30" s="4">
        <f>Population_2017*_2017_Fraction_Male_Hypertension_WC_65_74</f>
        <v>2089921.6800000025</v>
      </c>
      <c r="O30" s="36">
        <f>M30*E30</f>
        <v>4472.9139131550783</v>
      </c>
      <c r="P30" s="30">
        <f>O30/_2017_Population_Male_WC_Hypertension_65_74</f>
        <v>2.1402304000000005E-3</v>
      </c>
      <c r="Q30" s="30">
        <f>O30/_2017_Total_Male_Population_65_74</f>
        <v>3.3355062737920003E-4</v>
      </c>
      <c r="S30" s="31">
        <f>_1990_Fraction_Male_Hypertension_WC_65_74</f>
        <v>3.9086798862251165E-2</v>
      </c>
      <c r="T30" s="31">
        <f>_2017_Fraction_Male_Hypertension_WC_65_74</f>
        <v>4.2460822429906592E-2</v>
      </c>
      <c r="U30" s="9">
        <f t="shared" si="0"/>
        <v>1.0863213070874922</v>
      </c>
      <c r="V30" s="29">
        <f t="shared" si="1"/>
        <v>3.3355062737920003E-4</v>
      </c>
      <c r="W30" s="61">
        <f t="shared" si="2"/>
        <v>1</v>
      </c>
    </row>
    <row r="31" spans="1:23" x14ac:dyDescent="0.25">
      <c r="A31" t="s">
        <v>64</v>
      </c>
      <c r="B31" s="31">
        <f>_1990_Fraction_Male_Hypertension_WC_75</f>
        <v>2.4341078098333982E-2</v>
      </c>
      <c r="C31" s="9">
        <f>Male_75_Baseline_Mortality_Risk_no_Comorbidity</f>
        <v>0.24768000000000004</v>
      </c>
      <c r="D31">
        <f>Comorbidity_Control_Adjuster_WC*Hypertension_OR</f>
        <v>1.1110000000000002</v>
      </c>
      <c r="E31" s="9">
        <f>+D31*C31</f>
        <v>0.27517248000000011</v>
      </c>
      <c r="G31" s="4">
        <f>Hospitalization_Rate*_1990_Population_Male_WC_Hypertension_75</f>
        <v>16772.950095999982</v>
      </c>
      <c r="H31" s="4">
        <f>Population_2017*_1990_Fraction_Male_Hypertension_WC_75</f>
        <v>1198067.8639999987</v>
      </c>
      <c r="I31" s="36">
        <f>E31*G31</f>
        <v>4615.4542748325548</v>
      </c>
      <c r="J31" s="30">
        <f t="shared" si="5"/>
        <v>3.8524147200000016E-3</v>
      </c>
      <c r="K31" s="30">
        <f>I31/_2017_Total_Male_Population_75</f>
        <v>5.5268282539008026E-4</v>
      </c>
      <c r="L31" s="7"/>
      <c r="M31" s="4">
        <f>Hospitalization_Rate*_2017_Population_Male_WC_Hypertension_75</f>
        <v>18220.813071999975</v>
      </c>
      <c r="N31" s="4">
        <f>Population_2017*_2017_Fraction_Male_Hypertension_WC_75</f>
        <v>1301486.6479999982</v>
      </c>
      <c r="O31" s="36">
        <f>M31*E31</f>
        <v>5013.8663206386536</v>
      </c>
      <c r="P31" s="30">
        <f>O31/_2017_Population_Male_WC_Hypertension_75</f>
        <v>3.8524147200000016E-3</v>
      </c>
      <c r="Q31" s="30">
        <f>O31/_2017_Total_Male_Population_75</f>
        <v>6.0039112928256017E-4</v>
      </c>
      <c r="S31" s="31">
        <f>_1990_Fraction_Male_Hypertension_WC_75</f>
        <v>2.4341078098333982E-2</v>
      </c>
      <c r="T31" s="31">
        <f>_2017_Fraction_Male_Hypertension_WC_75</f>
        <v>2.6442231775700899E-2</v>
      </c>
      <c r="U31" s="9">
        <f t="shared" si="0"/>
        <v>1.0863213070874922</v>
      </c>
      <c r="V31" s="29">
        <f t="shared" si="1"/>
        <v>6.0039112928256017E-4</v>
      </c>
      <c r="W31" s="61">
        <f t="shared" si="2"/>
        <v>1</v>
      </c>
    </row>
    <row r="32" spans="1:23" x14ac:dyDescent="0.25">
      <c r="A32" s="32" t="s">
        <v>65</v>
      </c>
      <c r="B32" s="33"/>
      <c r="C32" s="15"/>
      <c r="D32" s="15"/>
      <c r="E32" s="15"/>
      <c r="F32" s="15"/>
      <c r="G32" s="15"/>
      <c r="H32" s="34">
        <f>SUM(H30:H31)</f>
        <v>3121920.1040000012</v>
      </c>
      <c r="I32" s="34">
        <f>SUM(I30:I31)</f>
        <v>8732.9413239886562</v>
      </c>
      <c r="J32" s="35">
        <f t="shared" si="5"/>
        <v>2.7972981476365971E-3</v>
      </c>
      <c r="K32" s="35">
        <f>I32/(_2017_Total_Male_Population_65_74+_2017_Total_Male_Population_75)</f>
        <v>4.0131158145253679E-4</v>
      </c>
      <c r="L32" s="7"/>
      <c r="M32" s="15"/>
      <c r="N32" s="34">
        <f>SUM(_2017_Population_Male_WC_Hypertension_65_74, _2017_Population_Male_WC_Hypertension_75)</f>
        <v>3391408.3280000007</v>
      </c>
      <c r="O32" s="34">
        <f>SUM(O30:O31)</f>
        <v>9486.7802337937319</v>
      </c>
      <c r="P32" s="35">
        <f>O32/N32</f>
        <v>2.7972981476365975E-3</v>
      </c>
      <c r="Q32" s="35">
        <f>O32/(_2017_Total_Male_Population_65_74+_2017_Total_Male_Population_75)</f>
        <v>4.3595332171286836E-4</v>
      </c>
    </row>
    <row r="33" spans="1:17" x14ac:dyDescent="0.25">
      <c r="A33" s="32" t="s">
        <v>72</v>
      </c>
      <c r="B33" s="33"/>
      <c r="C33" s="15"/>
      <c r="D33" s="15"/>
      <c r="E33" s="15"/>
      <c r="F33" s="15"/>
      <c r="G33" s="15" t="s">
        <v>73</v>
      </c>
      <c r="H33" s="34">
        <f>SUM(H32,H27)</f>
        <v>7060293.8320000079</v>
      </c>
      <c r="I33" s="34">
        <f>SUM(I32,I27)</f>
        <v>15373.275518345918</v>
      </c>
      <c r="J33" s="38">
        <f t="shared" si="5"/>
        <v>2.1774271558880781E-3</v>
      </c>
      <c r="K33" s="62">
        <f>I33/(_2017_Total_Female_Population_65_74+_2017_Total_Female_Population_75+_2017_Total_Male_Population_65_74+_2017_Total_Male_Population_75)</f>
        <v>3.1238240949232725E-4</v>
      </c>
      <c r="L33" s="7"/>
      <c r="M33" s="15" t="s">
        <v>73</v>
      </c>
      <c r="N33" s="34">
        <f>SUM(N32,N27)</f>
        <v>7669747.6240000073</v>
      </c>
      <c r="O33" s="34">
        <f>SUM(O32,O27)</f>
        <v>16700.316755305681</v>
      </c>
      <c r="P33" s="38">
        <f>O33/N33</f>
        <v>2.1774271558880781E-3</v>
      </c>
      <c r="Q33" s="62">
        <f>O33/(_2017_Total_Female_Population_65_74+_2017_Total_Female_Population_75+_2017_Total_Male_Population_65_74+_2017_Total_Male_Population_75)</f>
        <v>3.3934766739084516E-4</v>
      </c>
    </row>
    <row r="35" spans="1:17" x14ac:dyDescent="0.25">
      <c r="A35" s="39"/>
      <c r="B35" s="40"/>
      <c r="C35" s="8"/>
      <c r="D35" s="7"/>
      <c r="E35" s="8"/>
      <c r="F35" s="70" t="s">
        <v>74</v>
      </c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</row>
    <row r="36" spans="1:17" x14ac:dyDescent="0.25">
      <c r="A36" s="39"/>
      <c r="B36" s="40"/>
      <c r="C36" s="8"/>
      <c r="D36" s="7"/>
      <c r="E36" s="8"/>
      <c r="F36" s="41" t="s">
        <v>75</v>
      </c>
      <c r="G36" s="42">
        <f>SUM(G13:G14,G18:G19,G25:G26,G30:G31)</f>
        <v>312797.82800000033</v>
      </c>
      <c r="H36" s="42">
        <f>SUM(H13:H14,H18:H19,H25:H26,H30:H31)</f>
        <v>22342702.000000022</v>
      </c>
      <c r="I36" s="42">
        <f>SUM(I13:I14,I18:I19,I25:I26,I30:I31)</f>
        <v>75875.69470447136</v>
      </c>
      <c r="J36" s="43">
        <f>I36/H36</f>
        <v>3.3959945714923507E-3</v>
      </c>
      <c r="K36" s="43">
        <f>I36/Population_2017</f>
        <v>1.5415622654301373E-3</v>
      </c>
      <c r="L36" s="44" t="s">
        <v>76</v>
      </c>
      <c r="M36" s="45">
        <f>SUM(M13:M14,M18:M19,M25:M26,M30:M31)</f>
        <v>221852.20400000026</v>
      </c>
      <c r="N36" s="45">
        <f>SUM(N13:N14,N18:N19,N25:N26,N30:N31)</f>
        <v>15846586.000000015</v>
      </c>
      <c r="O36" s="45">
        <f>SUM(O13:O14,O18:O19,O25:O26,O30:O31)</f>
        <v>49072.080262960575</v>
      </c>
      <c r="P36" s="43">
        <f>O36/N36</f>
        <v>3.0966973115193726E-3</v>
      </c>
      <c r="Q36" s="43">
        <f>O36/Population_2017</f>
        <v>9.9699472293702921E-4</v>
      </c>
    </row>
  </sheetData>
  <mergeCells count="6">
    <mergeCell ref="F35:Q35"/>
    <mergeCell ref="A1:Q1"/>
    <mergeCell ref="M9:Q9"/>
    <mergeCell ref="G11:Q11"/>
    <mergeCell ref="G23:Q23"/>
    <mergeCell ref="G9:K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97</vt:i4>
      </vt:variant>
    </vt:vector>
  </HeadingPairs>
  <TitlesOfParts>
    <vt:vector size="99" baseType="lpstr">
      <vt:lpstr>Input</vt:lpstr>
      <vt:lpstr>Hypertension Output</vt:lpstr>
      <vt:lpstr>_1990_Female_Prevalence_65_74</vt:lpstr>
      <vt:lpstr>_1990_Female_Prevalence_75</vt:lpstr>
      <vt:lpstr>_1990_Fraction_Female_Hypertension_PC_65_74</vt:lpstr>
      <vt:lpstr>_1990_Fraction_Female_Hypertension_PC_75</vt:lpstr>
      <vt:lpstr>_1990_Fraction_Female_Hypertension_WC_65_74</vt:lpstr>
      <vt:lpstr>_1990_Fraction_Female_Hypertension_WC_75</vt:lpstr>
      <vt:lpstr>_1990_Fraction_Female_LDL_PC_65_74</vt:lpstr>
      <vt:lpstr>_1990_Fraction_Female_LDL_PC_75</vt:lpstr>
      <vt:lpstr>_1990_Fraction_Female_LDL_WC_65_74</vt:lpstr>
      <vt:lpstr>_1990_Fraction_Female_LDL_WC_75</vt:lpstr>
      <vt:lpstr>_1990_Fraction_Male_Hypertension_PC_65_74</vt:lpstr>
      <vt:lpstr>_1990_Fraction_Male_Hypertension_PC_75</vt:lpstr>
      <vt:lpstr>_1990_Fraction_Male_Hypertension_WC_65_74</vt:lpstr>
      <vt:lpstr>_1990_Fraction_Male_Hypertension_WC_75</vt:lpstr>
      <vt:lpstr>_1990_Fraction_Male_LDL_PC_65_74</vt:lpstr>
      <vt:lpstr>_1990_Fraction_Male_LDL_PC_75</vt:lpstr>
      <vt:lpstr>_1990_Fraction_Male_LDL_WC_65_74</vt:lpstr>
      <vt:lpstr>_1990_Fraction_Male_LDL_WC_75</vt:lpstr>
      <vt:lpstr>_1990_Male_Prevalence_65_74</vt:lpstr>
      <vt:lpstr>_1990_Male_Prevalence_75</vt:lpstr>
      <vt:lpstr>_1990_Population_Female_PC_Hypertension_65_74</vt:lpstr>
      <vt:lpstr>_1990_Population_Female_PC_Hypertension_75</vt:lpstr>
      <vt:lpstr>_1990_Population_Female_PC_LDL_65_74</vt:lpstr>
      <vt:lpstr>_1990_Population_Female_PC_LDL_75</vt:lpstr>
      <vt:lpstr>_1990_Population_Female_WC_Hypertension_65_74</vt:lpstr>
      <vt:lpstr>_1990_Population_Female_WC_Hypertension_75</vt:lpstr>
      <vt:lpstr>_1990_Population_Female_WC_LDL_65_74</vt:lpstr>
      <vt:lpstr>_1990_Population_Female_WC_LDL_75</vt:lpstr>
      <vt:lpstr>_1990_Population_Male_PC_Hypertension_65_74</vt:lpstr>
      <vt:lpstr>_1990_Population_Male_PC_Hypertension_75</vt:lpstr>
      <vt:lpstr>_1990_Population_Male_PC_LDL_65_74</vt:lpstr>
      <vt:lpstr>_1990_Population_Male_PC_LDL_75</vt:lpstr>
      <vt:lpstr>_1990_Population_Male_WC_Hypertension_65_74</vt:lpstr>
      <vt:lpstr>_1990_Population_Male_WC_Hypertension_75</vt:lpstr>
      <vt:lpstr>_1990_Population_Male_WC_LDL_65_74</vt:lpstr>
      <vt:lpstr>_1990_Population_Male_WC_LDL_75</vt:lpstr>
      <vt:lpstr>_1990_Total_Female_Population_65_74</vt:lpstr>
      <vt:lpstr>_1990_Total_Female_Population_75</vt:lpstr>
      <vt:lpstr>_1990_Total_Male_Population_65_74</vt:lpstr>
      <vt:lpstr>_1990_Total_Male_Population_75</vt:lpstr>
      <vt:lpstr>_2017_Female_Prevalence_65_74</vt:lpstr>
      <vt:lpstr>_2017_Female_Prevalence_75</vt:lpstr>
      <vt:lpstr>_2017_Fraction_Female_Hypertension_PC_65_74</vt:lpstr>
      <vt:lpstr>_2017_Fraction_Female_Hypertension_PC_75</vt:lpstr>
      <vt:lpstr>_2017_Fraction_Female_Hypertension_WC_65_74</vt:lpstr>
      <vt:lpstr>_2017_Fraction_Female_Hypertension_WC_75</vt:lpstr>
      <vt:lpstr>_2017_Fraction_Female_LDL_PC_65_74</vt:lpstr>
      <vt:lpstr>_2017_Fraction_Female_LDL_PC_75</vt:lpstr>
      <vt:lpstr>_2017_Fraction_Female_LDL_WC_65_74</vt:lpstr>
      <vt:lpstr>_2017_Fraction_Female_LDL_WC_75</vt:lpstr>
      <vt:lpstr>_2017_Fraction_Male_Hypertension_PC_65_74</vt:lpstr>
      <vt:lpstr>_2017_Fraction_Male_Hypertension_PC_75</vt:lpstr>
      <vt:lpstr>_2017_Fraction_Male_Hypertension_WC_65_74</vt:lpstr>
      <vt:lpstr>_2017_Fraction_Male_Hypertension_WC_75</vt:lpstr>
      <vt:lpstr>_2017_Fraction_Male_LDL_PC_65_74</vt:lpstr>
      <vt:lpstr>_2017_Fraction_Male_LDL_PC_75</vt:lpstr>
      <vt:lpstr>_2017_Fraction_Male_LDL_WC_65_74</vt:lpstr>
      <vt:lpstr>_2017_Fraction_Male_LDL_WC_75</vt:lpstr>
      <vt:lpstr>_2017_Male_Prevalence_65_74</vt:lpstr>
      <vt:lpstr>_2017_Male_Prevalence_75</vt:lpstr>
      <vt:lpstr>_2017_Population_Female_PC_Hypertension_65_74</vt:lpstr>
      <vt:lpstr>_2017_Population_Female_PC_Hypertension_75</vt:lpstr>
      <vt:lpstr>_2017_Population_Female_PC_LDL_65_74</vt:lpstr>
      <vt:lpstr>_2017_Population_Female_PC_LDL_75</vt:lpstr>
      <vt:lpstr>_2017_Population_Female_WC_Hypertension_65_74</vt:lpstr>
      <vt:lpstr>_2017_Population_Female_WC_Hypertension_75</vt:lpstr>
      <vt:lpstr>_2017_Population_Female_WC_LDL_65_74</vt:lpstr>
      <vt:lpstr>_2017_Population_Female_WC_LDL_75</vt:lpstr>
      <vt:lpstr>_2017_Population_Male_PC_Hypertension_65_74</vt:lpstr>
      <vt:lpstr>_2017_Population_Male_PC_Hypertension_75</vt:lpstr>
      <vt:lpstr>_2017_Population_Male_PC_LDL_65_74</vt:lpstr>
      <vt:lpstr>_2017_Population_Male_PC_LDL_75</vt:lpstr>
      <vt:lpstr>_2017_Population_Male_WC_Hypertension_65_74</vt:lpstr>
      <vt:lpstr>_2017_Population_Male_WC_Hypertension_75</vt:lpstr>
      <vt:lpstr>_2017_Population_Male_WC_LDL_65_74</vt:lpstr>
      <vt:lpstr>_2017_Population_Male_WC_LDL_75</vt:lpstr>
      <vt:lpstr>_2017_Total_Female_Population_65_74</vt:lpstr>
      <vt:lpstr>_2017_Total_Female_Population_75</vt:lpstr>
      <vt:lpstr>_2017_Total_Male_Population_65_74</vt:lpstr>
      <vt:lpstr>_2017_Total_Male_Population_75</vt:lpstr>
      <vt:lpstr>Age_OR</vt:lpstr>
      <vt:lpstr>Baseline_Mortality_Risk</vt:lpstr>
      <vt:lpstr>Comorbidity_Control_Adjuster_PC</vt:lpstr>
      <vt:lpstr>Comorbidity_Control_Adjuster_WC</vt:lpstr>
      <vt:lpstr>Controlled_Hypertension_Prevalence_1999</vt:lpstr>
      <vt:lpstr>Controlled_Hypertension_Prevalence_2016</vt:lpstr>
      <vt:lpstr>Female_65_74_Baseline_Mortality_Risk_no_Comorbidity</vt:lpstr>
      <vt:lpstr>Female_75_Baseline_Mortality_Risk_no_Comorbidity</vt:lpstr>
      <vt:lpstr>Hospitalization_Rate</vt:lpstr>
      <vt:lpstr>Hypertension_OR</vt:lpstr>
      <vt:lpstr>Hypertension_Reduction_2018</vt:lpstr>
      <vt:lpstr>Male_65_74_Baseline_Mortality_Risk_no_Comorbidity</vt:lpstr>
      <vt:lpstr>Male_75_Baseline_Mortality_Risk_no_Comorbidity</vt:lpstr>
      <vt:lpstr>Male_OR</vt:lpstr>
      <vt:lpstr>Population_1990</vt:lpstr>
      <vt:lpstr>Population_2017</vt:lpstr>
      <vt:lpstr>US_Hypertension_Prevalence_2018</vt:lpstr>
    </vt:vector>
  </TitlesOfParts>
  <Company>Tufts Medical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Voehler, Dominic</dc:creator>
  <cp:lastModifiedBy>Voehler, Dominic</cp:lastModifiedBy>
  <dcterms:created xsi:type="dcterms:W3CDTF">2021-04-28T15:10:45Z</dcterms:created>
  <dcterms:modified xsi:type="dcterms:W3CDTF">2022-05-19T14:41:22Z</dcterms:modified>
</cp:coreProperties>
</file>