
<file path=[Content_Types].xml><?xml version="1.0" encoding="utf-8"?>
<Types xmlns="http://schemas.openxmlformats.org/package/2006/content-types">
  <Override PartName="/xl/drawings/drawing9.xml" ContentType="application/vnd.openxmlformats-officedocument.drawing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6" yWindow="-84" windowWidth="20376" windowHeight="12816"/>
  </bookViews>
  <sheets>
    <sheet name="F12.1" sheetId="11" r:id="rId1"/>
    <sheet name="F12.2" sheetId="12" r:id="rId2"/>
    <sheet name="F12.3" sheetId="15" r:id="rId3"/>
    <sheet name="F12.4" sheetId="7" r:id="rId4"/>
    <sheet name="F12.5" sheetId="18" r:id="rId5"/>
    <sheet name="F12.6" sheetId="16" r:id="rId6"/>
    <sheet name="T12.1" sheetId="14" r:id="rId7"/>
    <sheet name="T12.2" sheetId="13" r:id="rId8"/>
    <sheet name="TS12.1" sheetId="19" r:id="rId9"/>
    <sheet name="TS12.2" sheetId="20" r:id="rId10"/>
    <sheet name="TS12.3" sheetId="10" r:id="rId11"/>
    <sheet name="TS12.4" sheetId="4" r:id="rId12"/>
    <sheet name="TS12.5" sheetId="17" r:id="rId13"/>
    <sheet name="DetailsTS12.2" sheetId="9" r:id="rId14"/>
  </sheets>
  <externalReferences>
    <externalReference r:id="rId15"/>
    <externalReference r:id="rId16"/>
  </externalReferences>
  <definedNames>
    <definedName name="column_head">#REF!</definedName>
    <definedName name="column_headings">#REF!</definedName>
    <definedName name="column_numbers">#REF!</definedName>
    <definedName name="data">#REF!</definedName>
    <definedName name="data2">#REF!</definedName>
    <definedName name="Diag">#REF!,#REF!</definedName>
    <definedName name="ea_flux">#REF!</definedName>
    <definedName name="Equilibre">#REF!</definedName>
    <definedName name="fig4b">#REF!</definedName>
    <definedName name="fmtr">#REF!</definedName>
    <definedName name="footno">#REF!</definedName>
    <definedName name="footnotes">#REF!</definedName>
    <definedName name="footnotes2">#REF!</definedName>
    <definedName name="GEOG9703">#REF!</definedName>
    <definedName name="HTML_CodePage" hidden="1">1252</definedName>
    <definedName name="HTML_Control" localSheetId="6" hidden="1">{"'swa xoffs'!$A$4:$Q$37"}</definedName>
    <definedName name="HTML_Control" localSheetId="7" hidden="1">{"'swa xoffs'!$A$4:$Q$37"}</definedName>
    <definedName name="HTML_Control" localSheetId="8" hidden="1">{"'swa xoffs'!$A$4:$Q$37"}</definedName>
    <definedName name="HTML_Control" localSheetId="9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PIB">#REF!</definedName>
    <definedName name="Rentflag">IF([1]Comparison!$B$7,"","not ")</definedName>
    <definedName name="ressources">#REF!</definedName>
    <definedName name="rpflux">#REF!</definedName>
    <definedName name="rptof">#REF!</definedName>
    <definedName name="spanners_level1">#REF!</definedName>
    <definedName name="spanners_level2">#REF!</definedName>
    <definedName name="spanners_level3">#REF!</definedName>
    <definedName name="spanners_level4">#REF!</definedName>
    <definedName name="spanners_level5">#REF!</definedName>
    <definedName name="spanners_levelV">#REF!</definedName>
    <definedName name="spanners_levelX">#REF!</definedName>
    <definedName name="spanners_levelY">#REF!</definedName>
    <definedName name="spanners_levelZ">#REF!</definedName>
    <definedName name="stub_lines">#REF!</definedName>
    <definedName name="Table_DE.4b__Sources_of_private_wealth_accumulation_in_Germany__1870_2010___Multiplicative_decomposition">[2]TableDE4b!$A$3</definedName>
    <definedName name="temp">#REF!</definedName>
    <definedName name="titles">#REF!</definedName>
    <definedName name="totals">#REF!</definedName>
    <definedName name="xxx">#REF!</definedName>
    <definedName name="Year">[1]Output!$C$4:$C$38</definedName>
    <definedName name="YearLabel">[1]Output!$B$15</definedName>
    <definedName name="_xlnm.Print_Area" localSheetId="11">'TS12.4'!$A$3:$F$31,'TS12.4'!$A$33:$F$61,'TS12.4'!$A$76:$F$104</definedName>
  </definedNames>
  <calcPr calcId="125725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3" i="4"/>
  <c r="G53"/>
  <c r="O53"/>
  <c r="O23"/>
  <c r="V55"/>
  <c r="G55"/>
  <c r="V57"/>
  <c r="G57"/>
  <c r="V59"/>
  <c r="V60"/>
  <c r="G59"/>
  <c r="G60"/>
  <c r="U53"/>
  <c r="U55"/>
  <c r="U57"/>
  <c r="U59"/>
  <c r="U60"/>
  <c r="T53"/>
  <c r="T23"/>
  <c r="T55"/>
  <c r="T57"/>
  <c r="T59"/>
  <c r="T60"/>
  <c r="S53"/>
  <c r="S23"/>
  <c r="S55"/>
  <c r="S57"/>
  <c r="S59"/>
  <c r="S60"/>
  <c r="R53"/>
  <c r="R23"/>
  <c r="R55"/>
  <c r="R57"/>
  <c r="R59"/>
  <c r="R60"/>
  <c r="Q53"/>
  <c r="Q23"/>
  <c r="Q24"/>
  <c r="Q55"/>
  <c r="Q57"/>
  <c r="Q59"/>
  <c r="Q60"/>
  <c r="P53"/>
  <c r="P55"/>
  <c r="P57"/>
  <c r="P59"/>
  <c r="P60"/>
  <c r="O55"/>
  <c r="O57"/>
  <c r="O59"/>
  <c r="O60"/>
  <c r="N53"/>
  <c r="N55"/>
  <c r="N57"/>
  <c r="N59"/>
  <c r="N60"/>
  <c r="M53"/>
  <c r="M55"/>
  <c r="M57"/>
  <c r="M59"/>
  <c r="M60"/>
  <c r="L53"/>
  <c r="L23"/>
  <c r="L55"/>
  <c r="L57"/>
  <c r="L59"/>
  <c r="L60"/>
  <c r="K53"/>
  <c r="K23"/>
  <c r="K55"/>
  <c r="K57"/>
  <c r="K59"/>
  <c r="K60"/>
  <c r="J53"/>
  <c r="J23"/>
  <c r="J55"/>
  <c r="J57"/>
  <c r="J59"/>
  <c r="J60"/>
  <c r="I53"/>
  <c r="I23"/>
  <c r="I55"/>
  <c r="I57"/>
  <c r="I59"/>
  <c r="I60"/>
  <c r="H59"/>
  <c r="H60"/>
  <c r="H57"/>
  <c r="H55"/>
  <c r="H53"/>
  <c r="V95"/>
  <c r="U95"/>
  <c r="T95"/>
  <c r="S95"/>
  <c r="R95"/>
  <c r="Q95"/>
  <c r="P95"/>
  <c r="O95"/>
  <c r="N95"/>
  <c r="M95"/>
  <c r="L95"/>
  <c r="K95"/>
  <c r="J95"/>
  <c r="I95"/>
  <c r="H22"/>
  <c r="H95"/>
  <c r="V51"/>
  <c r="V94"/>
  <c r="U51"/>
  <c r="U94"/>
  <c r="T51"/>
  <c r="T94"/>
  <c r="S51"/>
  <c r="S94"/>
  <c r="R51"/>
  <c r="R94"/>
  <c r="Q51"/>
  <c r="Q94"/>
  <c r="P51"/>
  <c r="P94"/>
  <c r="O51"/>
  <c r="O94"/>
  <c r="N51"/>
  <c r="N94"/>
  <c r="M51"/>
  <c r="M94"/>
  <c r="L51"/>
  <c r="L94"/>
  <c r="K51"/>
  <c r="K94"/>
  <c r="J51"/>
  <c r="J94"/>
  <c r="I51"/>
  <c r="I94"/>
  <c r="H21"/>
  <c r="H51"/>
  <c r="H94"/>
  <c r="V93"/>
  <c r="U93"/>
  <c r="T93"/>
  <c r="S93"/>
  <c r="R93"/>
  <c r="Q93"/>
  <c r="P93"/>
  <c r="O93"/>
  <c r="N93"/>
  <c r="M93"/>
  <c r="L93"/>
  <c r="K93"/>
  <c r="J93"/>
  <c r="I93"/>
  <c r="H20"/>
  <c r="H93"/>
  <c r="V49"/>
  <c r="V92"/>
  <c r="U49"/>
  <c r="U92"/>
  <c r="T49"/>
  <c r="T92"/>
  <c r="S49"/>
  <c r="S92"/>
  <c r="R49"/>
  <c r="R92"/>
  <c r="Q49"/>
  <c r="Q92"/>
  <c r="P49"/>
  <c r="F49"/>
  <c r="F19"/>
  <c r="F92"/>
  <c r="O49"/>
  <c r="O92"/>
  <c r="N49"/>
  <c r="N92"/>
  <c r="M49"/>
  <c r="M92"/>
  <c r="L49"/>
  <c r="L92"/>
  <c r="K49"/>
  <c r="K92"/>
  <c r="J49"/>
  <c r="J92"/>
  <c r="I49"/>
  <c r="I92"/>
  <c r="H19"/>
  <c r="H49"/>
  <c r="H92"/>
  <c r="V91"/>
  <c r="U91"/>
  <c r="T91"/>
  <c r="S91"/>
  <c r="R91"/>
  <c r="Q91"/>
  <c r="P91"/>
  <c r="O91"/>
  <c r="N91"/>
  <c r="M91"/>
  <c r="L91"/>
  <c r="K91"/>
  <c r="J91"/>
  <c r="I91"/>
  <c r="H18"/>
  <c r="H91"/>
  <c r="V47"/>
  <c r="V90"/>
  <c r="U47"/>
  <c r="U90"/>
  <c r="T47"/>
  <c r="T90"/>
  <c r="S47"/>
  <c r="S90"/>
  <c r="R47"/>
  <c r="R90"/>
  <c r="Q47"/>
  <c r="Q90"/>
  <c r="P47"/>
  <c r="P90"/>
  <c r="O47"/>
  <c r="O90"/>
  <c r="N47"/>
  <c r="N90"/>
  <c r="M47"/>
  <c r="M90"/>
  <c r="L47"/>
  <c r="L90"/>
  <c r="K47"/>
  <c r="K90"/>
  <c r="J47"/>
  <c r="J90"/>
  <c r="I47"/>
  <c r="I90"/>
  <c r="H47"/>
  <c r="V89"/>
  <c r="U89"/>
  <c r="T89"/>
  <c r="S89"/>
  <c r="R89"/>
  <c r="Q89"/>
  <c r="P89"/>
  <c r="O89"/>
  <c r="N89"/>
  <c r="M89"/>
  <c r="L89"/>
  <c r="K89"/>
  <c r="J89"/>
  <c r="I89"/>
  <c r="H16"/>
  <c r="H89"/>
  <c r="V45"/>
  <c r="V88"/>
  <c r="U45"/>
  <c r="U88"/>
  <c r="T45"/>
  <c r="T88"/>
  <c r="S45"/>
  <c r="P45"/>
  <c r="Q45"/>
  <c r="R45"/>
  <c r="F45"/>
  <c r="F15"/>
  <c r="F88"/>
  <c r="R88"/>
  <c r="Q88"/>
  <c r="P88"/>
  <c r="O45"/>
  <c r="O88"/>
  <c r="N45"/>
  <c r="N88"/>
  <c r="M45"/>
  <c r="M88"/>
  <c r="L45"/>
  <c r="L88"/>
  <c r="K45"/>
  <c r="I45"/>
  <c r="J45"/>
  <c r="H15"/>
  <c r="H45"/>
  <c r="H88"/>
  <c r="J88"/>
  <c r="I88"/>
  <c r="V44"/>
  <c r="V87"/>
  <c r="U44"/>
  <c r="U87"/>
  <c r="T44"/>
  <c r="T87"/>
  <c r="S44"/>
  <c r="S87"/>
  <c r="R44"/>
  <c r="R87"/>
  <c r="Q44"/>
  <c r="Q87"/>
  <c r="P44"/>
  <c r="P87"/>
  <c r="O44"/>
  <c r="O87"/>
  <c r="N44"/>
  <c r="N87"/>
  <c r="M44"/>
  <c r="M87"/>
  <c r="L44"/>
  <c r="L87"/>
  <c r="K44"/>
  <c r="K87"/>
  <c r="J44"/>
  <c r="J87"/>
  <c r="I44"/>
  <c r="H14"/>
  <c r="H44"/>
  <c r="H87"/>
  <c r="V43"/>
  <c r="V86"/>
  <c r="U43"/>
  <c r="U86"/>
  <c r="T43"/>
  <c r="T86"/>
  <c r="S43"/>
  <c r="S86"/>
  <c r="R43"/>
  <c r="P43"/>
  <c r="Q43"/>
  <c r="F43"/>
  <c r="F13"/>
  <c r="F86"/>
  <c r="Q86"/>
  <c r="P86"/>
  <c r="O43"/>
  <c r="O86"/>
  <c r="N43"/>
  <c r="N86"/>
  <c r="M43"/>
  <c r="M86"/>
  <c r="L43"/>
  <c r="L86"/>
  <c r="K43"/>
  <c r="K86"/>
  <c r="J43"/>
  <c r="J86"/>
  <c r="I43"/>
  <c r="H13"/>
  <c r="H43"/>
  <c r="H86"/>
  <c r="I86"/>
  <c r="V85"/>
  <c r="U85"/>
  <c r="T85"/>
  <c r="S85"/>
  <c r="R85"/>
  <c r="Q85"/>
  <c r="P85"/>
  <c r="O85"/>
  <c r="N85"/>
  <c r="M85"/>
  <c r="L85"/>
  <c r="K85"/>
  <c r="J85"/>
  <c r="I85"/>
  <c r="H12"/>
  <c r="H85"/>
  <c r="V41"/>
  <c r="V84"/>
  <c r="U41"/>
  <c r="U84"/>
  <c r="T41"/>
  <c r="T84"/>
  <c r="S41"/>
  <c r="S84"/>
  <c r="R41"/>
  <c r="R84"/>
  <c r="Q41"/>
  <c r="Q84"/>
  <c r="P41"/>
  <c r="P84"/>
  <c r="O41"/>
  <c r="O84"/>
  <c r="N41"/>
  <c r="N84"/>
  <c r="M41"/>
  <c r="M84"/>
  <c r="L41"/>
  <c r="L84"/>
  <c r="K41"/>
  <c r="K84"/>
  <c r="J41"/>
  <c r="J84"/>
  <c r="I41"/>
  <c r="H11"/>
  <c r="H41"/>
  <c r="H84"/>
  <c r="V40"/>
  <c r="V83"/>
  <c r="U40"/>
  <c r="U83"/>
  <c r="T40"/>
  <c r="T83"/>
  <c r="S40"/>
  <c r="S83"/>
  <c r="R40"/>
  <c r="R83"/>
  <c r="Q40"/>
  <c r="P40"/>
  <c r="F40"/>
  <c r="F10"/>
  <c r="F83"/>
  <c r="P83"/>
  <c r="O40"/>
  <c r="O83"/>
  <c r="N40"/>
  <c r="N83"/>
  <c r="M40"/>
  <c r="M83"/>
  <c r="L40"/>
  <c r="L83"/>
  <c r="K40"/>
  <c r="K83"/>
  <c r="J40"/>
  <c r="J83"/>
  <c r="I40"/>
  <c r="H10"/>
  <c r="H40"/>
  <c r="H83"/>
  <c r="V39"/>
  <c r="V82"/>
  <c r="U39"/>
  <c r="U82"/>
  <c r="T39"/>
  <c r="T82"/>
  <c r="S39"/>
  <c r="S82"/>
  <c r="R39"/>
  <c r="R82"/>
  <c r="Q39"/>
  <c r="Q82"/>
  <c r="P39"/>
  <c r="P82"/>
  <c r="O39"/>
  <c r="O82"/>
  <c r="N39"/>
  <c r="N82"/>
  <c r="M39"/>
  <c r="M82"/>
  <c r="L39"/>
  <c r="L82"/>
  <c r="K39"/>
  <c r="K82"/>
  <c r="J39"/>
  <c r="J82"/>
  <c r="I39"/>
  <c r="I82"/>
  <c r="H9"/>
  <c r="H39"/>
  <c r="H82"/>
  <c r="V81"/>
  <c r="U81"/>
  <c r="T81"/>
  <c r="S81"/>
  <c r="R81"/>
  <c r="Q81"/>
  <c r="P81"/>
  <c r="O81"/>
  <c r="N81"/>
  <c r="M81"/>
  <c r="L81"/>
  <c r="K81"/>
  <c r="J81"/>
  <c r="I81"/>
  <c r="H8"/>
  <c r="H81"/>
  <c r="F59"/>
  <c r="F60"/>
  <c r="C59"/>
  <c r="C60"/>
  <c r="D59"/>
  <c r="D60"/>
  <c r="E59"/>
  <c r="E60"/>
  <c r="F57"/>
  <c r="C57"/>
  <c r="D57"/>
  <c r="E57"/>
  <c r="F55"/>
  <c r="C55"/>
  <c r="D55"/>
  <c r="E55"/>
  <c r="C53"/>
  <c r="D53"/>
  <c r="E53"/>
  <c r="F53"/>
  <c r="C22"/>
  <c r="C95"/>
  <c r="D22"/>
  <c r="D95"/>
  <c r="E22"/>
  <c r="E95"/>
  <c r="F22"/>
  <c r="F95"/>
  <c r="C51"/>
  <c r="C21"/>
  <c r="D51"/>
  <c r="D21"/>
  <c r="D94"/>
  <c r="E51"/>
  <c r="E21"/>
  <c r="E94"/>
  <c r="F51"/>
  <c r="F21"/>
  <c r="F94"/>
  <c r="C20"/>
  <c r="C93"/>
  <c r="D20"/>
  <c r="D93"/>
  <c r="E20"/>
  <c r="E93"/>
  <c r="F20"/>
  <c r="F93"/>
  <c r="C49"/>
  <c r="C19"/>
  <c r="D49"/>
  <c r="D19"/>
  <c r="D92"/>
  <c r="E49"/>
  <c r="E19"/>
  <c r="E92"/>
  <c r="C18"/>
  <c r="C91"/>
  <c r="D18"/>
  <c r="D91"/>
  <c r="E18"/>
  <c r="E91"/>
  <c r="F18"/>
  <c r="F91"/>
  <c r="C47"/>
  <c r="C17"/>
  <c r="D47"/>
  <c r="D17"/>
  <c r="D90"/>
  <c r="E47"/>
  <c r="E17"/>
  <c r="E90"/>
  <c r="F47"/>
  <c r="F17"/>
  <c r="F90"/>
  <c r="C16"/>
  <c r="C89"/>
  <c r="D16"/>
  <c r="D89"/>
  <c r="E16"/>
  <c r="E89"/>
  <c r="F16"/>
  <c r="F89"/>
  <c r="C45"/>
  <c r="C15"/>
  <c r="D45"/>
  <c r="D15"/>
  <c r="D88"/>
  <c r="E45"/>
  <c r="E15"/>
  <c r="E88"/>
  <c r="C44"/>
  <c r="C14"/>
  <c r="D44"/>
  <c r="D14"/>
  <c r="D87"/>
  <c r="E44"/>
  <c r="E14"/>
  <c r="E87"/>
  <c r="F44"/>
  <c r="F14"/>
  <c r="F87"/>
  <c r="C43"/>
  <c r="C13"/>
  <c r="D43"/>
  <c r="D13"/>
  <c r="D86"/>
  <c r="E43"/>
  <c r="E13"/>
  <c r="E86"/>
  <c r="C12"/>
  <c r="C85"/>
  <c r="D12"/>
  <c r="D85"/>
  <c r="E12"/>
  <c r="E85"/>
  <c r="F12"/>
  <c r="F85"/>
  <c r="C41"/>
  <c r="C11"/>
  <c r="D41"/>
  <c r="D11"/>
  <c r="D84"/>
  <c r="E41"/>
  <c r="E11"/>
  <c r="E84"/>
  <c r="F41"/>
  <c r="F11"/>
  <c r="F84"/>
  <c r="C40"/>
  <c r="C10"/>
  <c r="D40"/>
  <c r="D10"/>
  <c r="D83"/>
  <c r="E40"/>
  <c r="E10"/>
  <c r="E83"/>
  <c r="C39"/>
  <c r="C9"/>
  <c r="D39"/>
  <c r="D9"/>
  <c r="D82"/>
  <c r="E39"/>
  <c r="E9"/>
  <c r="E82"/>
  <c r="F39"/>
  <c r="F9"/>
  <c r="F82"/>
  <c r="F8"/>
  <c r="F81"/>
  <c r="E8"/>
  <c r="E81"/>
  <c r="D8"/>
  <c r="C8"/>
  <c r="B8"/>
  <c r="B81"/>
  <c r="C81"/>
  <c r="G125"/>
  <c r="I125"/>
  <c r="F125"/>
  <c r="H125"/>
  <c r="G124"/>
  <c r="I124"/>
  <c r="F124"/>
  <c r="H124"/>
  <c r="G123"/>
  <c r="I123"/>
  <c r="F123"/>
  <c r="H123"/>
  <c r="G122"/>
  <c r="I122"/>
  <c r="F122"/>
  <c r="H122"/>
  <c r="G121"/>
  <c r="I121"/>
  <c r="F121"/>
  <c r="H121"/>
  <c r="G120"/>
  <c r="I120"/>
  <c r="F120"/>
  <c r="H120"/>
  <c r="G119"/>
  <c r="I119"/>
  <c r="F119"/>
  <c r="H119"/>
  <c r="G118"/>
  <c r="I118"/>
  <c r="F118"/>
  <c r="H118"/>
  <c r="G117"/>
  <c r="I117"/>
  <c r="F117"/>
  <c r="H117"/>
  <c r="G116"/>
  <c r="I116"/>
  <c r="F116"/>
  <c r="H116"/>
  <c r="G115"/>
  <c r="I115"/>
  <c r="F115"/>
  <c r="H115"/>
  <c r="G114"/>
  <c r="I114"/>
  <c r="F114"/>
  <c r="H114"/>
  <c r="G113"/>
  <c r="I113"/>
  <c r="F113"/>
  <c r="H113"/>
  <c r="G112"/>
  <c r="I112"/>
  <c r="F112"/>
  <c r="H112"/>
  <c r="G111"/>
  <c r="I111"/>
  <c r="F111"/>
  <c r="H111"/>
  <c r="B59"/>
  <c r="B60"/>
  <c r="B57"/>
  <c r="B55"/>
  <c r="B53"/>
  <c r="AK31" i="10"/>
  <c r="AK32"/>
  <c r="AM32"/>
  <c r="AD33"/>
  <c r="Q31"/>
  <c r="R31"/>
  <c r="Q32"/>
  <c r="R32"/>
  <c r="U33"/>
  <c r="R7"/>
  <c r="S7"/>
  <c r="U9"/>
  <c r="T9"/>
  <c r="N7"/>
  <c r="AK9"/>
  <c r="AK8"/>
  <c r="AD9"/>
  <c r="AD8"/>
  <c r="AD7"/>
  <c r="R30"/>
  <c r="S30"/>
  <c r="AM30"/>
  <c r="AP30"/>
  <c r="AM10"/>
  <c r="R10"/>
  <c r="AP10"/>
  <c r="AP38"/>
  <c r="AP39"/>
  <c r="AG30"/>
  <c r="AG10"/>
  <c r="AG38"/>
  <c r="AG39"/>
  <c r="AP40"/>
  <c r="C9" i="19"/>
  <c r="AR10" i="10"/>
  <c r="AR30"/>
  <c r="AR38"/>
  <c r="AR39"/>
  <c r="S10"/>
  <c r="X10"/>
  <c r="G10"/>
  <c r="Z33"/>
  <c r="Z9"/>
  <c r="Z8"/>
  <c r="AQ30"/>
  <c r="AQ10"/>
  <c r="AQ38"/>
  <c r="AQ39"/>
  <c r="AS10"/>
  <c r="AJ33"/>
  <c r="AJ9"/>
  <c r="AJ8"/>
  <c r="AF33"/>
  <c r="AG33"/>
  <c r="AF9"/>
  <c r="AF8"/>
  <c r="AF7"/>
  <c r="AF35"/>
  <c r="AF36"/>
  <c r="AQ31"/>
  <c r="AQ29"/>
  <c r="R29"/>
  <c r="AR29"/>
  <c r="AS29"/>
  <c r="AQ28"/>
  <c r="R28"/>
  <c r="AS28"/>
  <c r="AR28"/>
  <c r="AK21"/>
  <c r="AK22"/>
  <c r="R27"/>
  <c r="AR27"/>
  <c r="R26"/>
  <c r="AR26"/>
  <c r="R25"/>
  <c r="AR25"/>
  <c r="R24"/>
  <c r="AR24"/>
  <c r="R23"/>
  <c r="AR23"/>
  <c r="R22"/>
  <c r="AR22"/>
  <c r="R21"/>
  <c r="S21"/>
  <c r="AR21"/>
  <c r="AQ20"/>
  <c r="R20"/>
  <c r="AS20"/>
  <c r="AR20"/>
  <c r="AK11"/>
  <c r="AM11"/>
  <c r="AK12"/>
  <c r="AK13"/>
  <c r="R19"/>
  <c r="AR19"/>
  <c r="R18"/>
  <c r="AR18"/>
  <c r="R17"/>
  <c r="AR17"/>
  <c r="R16"/>
  <c r="AR16"/>
  <c r="R15"/>
  <c r="AR15"/>
  <c r="R14"/>
  <c r="AR14"/>
  <c r="R13"/>
  <c r="S13"/>
  <c r="AR13"/>
  <c r="AQ12"/>
  <c r="R12"/>
  <c r="AS12"/>
  <c r="AR12"/>
  <c r="AQ11"/>
  <c r="R11"/>
  <c r="AR11"/>
  <c r="AS11"/>
  <c r="AQ9"/>
  <c r="R9"/>
  <c r="AS9"/>
  <c r="R8"/>
  <c r="Y9"/>
  <c r="P38"/>
  <c r="P39"/>
  <c r="P35"/>
  <c r="P36"/>
  <c r="AL30"/>
  <c r="AL10"/>
  <c r="AL38"/>
  <c r="AL39"/>
  <c r="AC33"/>
  <c r="AC9"/>
  <c r="AC8"/>
  <c r="AC7"/>
  <c r="AL32"/>
  <c r="AL31"/>
  <c r="AL29"/>
  <c r="AL28"/>
  <c r="AL21"/>
  <c r="AL20"/>
  <c r="AL12"/>
  <c r="AL11"/>
  <c r="AL9"/>
  <c r="AI33"/>
  <c r="AI9"/>
  <c r="AI8"/>
  <c r="AI7"/>
  <c r="AI35"/>
  <c r="AI36"/>
  <c r="AM31"/>
  <c r="AM29"/>
  <c r="AM28"/>
  <c r="AP28"/>
  <c r="AM21"/>
  <c r="AM20"/>
  <c r="AP20"/>
  <c r="AM12"/>
  <c r="AP12"/>
  <c r="AM9"/>
  <c r="AP9"/>
  <c r="F9" i="9"/>
  <c r="E9"/>
  <c r="AE33" i="10"/>
  <c r="AH33"/>
  <c r="AH32"/>
  <c r="AH31"/>
  <c r="AH30"/>
  <c r="AH10"/>
  <c r="AH38"/>
  <c r="AH39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E9"/>
  <c r="AE8"/>
  <c r="AH9"/>
  <c r="Z32"/>
  <c r="Z31"/>
  <c r="S28"/>
  <c r="X28"/>
  <c r="G28"/>
  <c r="S27"/>
  <c r="X27"/>
  <c r="S26"/>
  <c r="S25"/>
  <c r="X25"/>
  <c r="S24"/>
  <c r="X24"/>
  <c r="S23"/>
  <c r="X23"/>
  <c r="S22"/>
  <c r="X22"/>
  <c r="S20"/>
  <c r="X20"/>
  <c r="G20"/>
  <c r="S19"/>
  <c r="X19"/>
  <c r="S18"/>
  <c r="S17"/>
  <c r="X17"/>
  <c r="S16"/>
  <c r="X16"/>
  <c r="S15"/>
  <c r="X15"/>
  <c r="S14"/>
  <c r="X14"/>
  <c r="S12"/>
  <c r="X12"/>
  <c r="G12"/>
  <c r="S11"/>
  <c r="X11"/>
  <c r="G11"/>
  <c r="S9"/>
  <c r="F9"/>
  <c r="S8"/>
  <c r="X8"/>
  <c r="U32"/>
  <c r="U31"/>
  <c r="AD38"/>
  <c r="AD39"/>
  <c r="AD40"/>
  <c r="C12" i="19"/>
  <c r="R38" i="10"/>
  <c r="R39"/>
  <c r="C11" i="19"/>
  <c r="AO30" i="10"/>
  <c r="AO10"/>
  <c r="AO38"/>
  <c r="AO39"/>
  <c r="U38"/>
  <c r="U39"/>
  <c r="U40"/>
  <c r="C8" i="19"/>
  <c r="Z38" i="10"/>
  <c r="Z39"/>
  <c r="Z40"/>
  <c r="C7" i="19"/>
  <c r="AP29" i="10"/>
  <c r="AO29"/>
  <c r="AO28"/>
  <c r="AO27"/>
  <c r="AO26"/>
  <c r="AO25"/>
  <c r="AO24"/>
  <c r="AO23"/>
  <c r="AO22"/>
  <c r="AP21"/>
  <c r="AO21"/>
  <c r="AO20"/>
  <c r="AO19"/>
  <c r="AO18"/>
  <c r="AO17"/>
  <c r="AO16"/>
  <c r="AO15"/>
  <c r="AO14"/>
  <c r="AO13"/>
  <c r="AO12"/>
  <c r="AO11"/>
  <c r="AO9"/>
  <c r="AO8"/>
  <c r="AG32"/>
  <c r="AG31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9"/>
  <c r="AG8"/>
  <c r="D31" i="9"/>
  <c r="C31"/>
  <c r="B31"/>
  <c r="E31"/>
  <c r="F31"/>
  <c r="B32"/>
  <c r="C32"/>
  <c r="F32"/>
  <c r="B33"/>
  <c r="C33"/>
  <c r="F33"/>
  <c r="C8" i="20"/>
  <c r="F17" i="9"/>
  <c r="F23"/>
  <c r="C12" i="20"/>
  <c r="F16" i="9"/>
  <c r="F22"/>
  <c r="C11" i="20"/>
  <c r="F15" i="9"/>
  <c r="F21"/>
  <c r="C10" i="20"/>
  <c r="F14" i="9"/>
  <c r="F20"/>
  <c r="C9" i="20"/>
  <c r="F7" i="9"/>
  <c r="F10"/>
  <c r="C7" i="20"/>
  <c r="E17" i="9"/>
  <c r="E23"/>
  <c r="B12" i="20"/>
  <c r="B12" i="13"/>
  <c r="E16" i="9"/>
  <c r="E22"/>
  <c r="B11" i="13"/>
  <c r="E15" i="9"/>
  <c r="E21"/>
  <c r="E14"/>
  <c r="E20"/>
  <c r="B9" i="13"/>
  <c r="D27" i="9"/>
  <c r="D32"/>
  <c r="E32"/>
  <c r="D28"/>
  <c r="G28"/>
  <c r="D33"/>
  <c r="E33"/>
  <c r="E7"/>
  <c r="E10"/>
  <c r="B7" i="13"/>
  <c r="E9" i="10"/>
  <c r="E10"/>
  <c r="Y38"/>
  <c r="Y39"/>
  <c r="E8"/>
  <c r="E7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D31"/>
  <c r="D30"/>
  <c r="D29"/>
  <c r="D28"/>
  <c r="D21"/>
  <c r="D20"/>
  <c r="D12"/>
  <c r="D10"/>
  <c r="D9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L7"/>
  <c r="L33"/>
  <c r="L35"/>
  <c r="L36"/>
  <c r="L8"/>
  <c r="O8"/>
  <c r="O9"/>
  <c r="O10"/>
  <c r="V10"/>
  <c r="O11"/>
  <c r="V11"/>
  <c r="O12"/>
  <c r="V12"/>
  <c r="O13"/>
  <c r="V13"/>
  <c r="O14"/>
  <c r="V14"/>
  <c r="O15"/>
  <c r="V15"/>
  <c r="O16"/>
  <c r="V16"/>
  <c r="O17"/>
  <c r="O18"/>
  <c r="O19"/>
  <c r="V19"/>
  <c r="O20"/>
  <c r="V20"/>
  <c r="O21"/>
  <c r="V21"/>
  <c r="O22"/>
  <c r="V22"/>
  <c r="O23"/>
  <c r="V23"/>
  <c r="O24"/>
  <c r="V24"/>
  <c r="O25"/>
  <c r="V25"/>
  <c r="O26"/>
  <c r="V26"/>
  <c r="O27"/>
  <c r="V27"/>
  <c r="O28"/>
  <c r="V28"/>
  <c r="O29"/>
  <c r="V29"/>
  <c r="O30"/>
  <c r="O38"/>
  <c r="O39"/>
  <c r="V30"/>
  <c r="L31"/>
  <c r="N31"/>
  <c r="L32"/>
  <c r="N32"/>
  <c r="N33"/>
  <c r="B35"/>
  <c r="B36"/>
  <c r="C35"/>
  <c r="M35"/>
  <c r="M36"/>
  <c r="N35"/>
  <c r="N36"/>
  <c r="O35"/>
  <c r="C36"/>
  <c r="O36"/>
  <c r="B38"/>
  <c r="B39"/>
  <c r="C38"/>
  <c r="C39"/>
  <c r="L38"/>
  <c r="L39"/>
  <c r="M38"/>
  <c r="N38"/>
  <c r="T38"/>
  <c r="AC38"/>
  <c r="AC39"/>
  <c r="AE38"/>
  <c r="AE39"/>
  <c r="AF38"/>
  <c r="AF39"/>
  <c r="AI38"/>
  <c r="AJ38"/>
  <c r="M39"/>
  <c r="N39"/>
  <c r="T39"/>
  <c r="AI39"/>
  <c r="AJ39"/>
  <c r="G7" i="9"/>
  <c r="E8"/>
  <c r="F8"/>
  <c r="F11"/>
  <c r="G8"/>
  <c r="G9"/>
  <c r="B10"/>
  <c r="C10"/>
  <c r="D10"/>
  <c r="G10"/>
  <c r="B11"/>
  <c r="C11"/>
  <c r="D11"/>
  <c r="E11"/>
  <c r="G11"/>
  <c r="G14"/>
  <c r="G20"/>
  <c r="G15"/>
  <c r="G21"/>
  <c r="G16"/>
  <c r="G17"/>
  <c r="B20"/>
  <c r="C20"/>
  <c r="D20"/>
  <c r="B21"/>
  <c r="C21"/>
  <c r="D21"/>
  <c r="B22"/>
  <c r="C22"/>
  <c r="D22"/>
  <c r="G22"/>
  <c r="B23"/>
  <c r="C23"/>
  <c r="D23"/>
  <c r="G23"/>
  <c r="E26"/>
  <c r="F26"/>
  <c r="G26"/>
  <c r="E27"/>
  <c r="F27"/>
  <c r="G27"/>
  <c r="E28"/>
  <c r="F28"/>
  <c r="G31"/>
  <c r="G33"/>
  <c r="A112" i="4"/>
  <c r="A113"/>
  <c r="A114"/>
  <c r="A115"/>
  <c r="A116"/>
  <c r="A117"/>
  <c r="A118"/>
  <c r="A119"/>
  <c r="A120"/>
  <c r="A121"/>
  <c r="A122"/>
  <c r="A123"/>
  <c r="A124"/>
  <c r="A125"/>
  <c r="B39"/>
  <c r="B40"/>
  <c r="B41"/>
  <c r="B43"/>
  <c r="B44"/>
  <c r="B45"/>
  <c r="B47"/>
  <c r="B49"/>
  <c r="B51"/>
  <c r="B12"/>
  <c r="B85"/>
  <c r="B16"/>
  <c r="B89"/>
  <c r="B18"/>
  <c r="B91"/>
  <c r="B20"/>
  <c r="B93"/>
  <c r="B22"/>
  <c r="B95"/>
  <c r="AM13" i="10"/>
  <c r="F13"/>
  <c r="X13"/>
  <c r="G13"/>
  <c r="C88" i="4"/>
  <c r="B15"/>
  <c r="B88"/>
  <c r="B8" i="13"/>
  <c r="B8" i="20"/>
  <c r="X7" i="10"/>
  <c r="J24" i="4"/>
  <c r="J96"/>
  <c r="O96"/>
  <c r="O24"/>
  <c r="AE7" i="10"/>
  <c r="AE35"/>
  <c r="AE36"/>
  <c r="AH8"/>
  <c r="AQ22"/>
  <c r="AS22"/>
  <c r="AK23"/>
  <c r="AM22"/>
  <c r="AL22"/>
  <c r="C83" i="4"/>
  <c r="B10"/>
  <c r="B83"/>
  <c r="Q25"/>
  <c r="Q97"/>
  <c r="AL40" i="10"/>
  <c r="L96" i="4"/>
  <c r="L24"/>
  <c r="C86"/>
  <c r="B13"/>
  <c r="B86"/>
  <c r="G32" i="9"/>
  <c r="S24" i="4"/>
  <c r="S96"/>
  <c r="F11" i="10"/>
  <c r="AP11"/>
  <c r="D11"/>
  <c r="AL8"/>
  <c r="AK7"/>
  <c r="AQ8"/>
  <c r="AS8"/>
  <c r="AM8"/>
  <c r="D32"/>
  <c r="AP32"/>
  <c r="B11" i="4"/>
  <c r="B84"/>
  <c r="C84"/>
  <c r="B10" i="20"/>
  <c r="B10" i="13"/>
  <c r="AC35" i="10"/>
  <c r="AC36"/>
  <c r="AK14"/>
  <c r="AQ13"/>
  <c r="AS13"/>
  <c r="AL13"/>
  <c r="AJ7"/>
  <c r="AR8"/>
  <c r="Y8"/>
  <c r="Z7"/>
  <c r="B14" i="4"/>
  <c r="B87"/>
  <c r="C87"/>
  <c r="C92"/>
  <c r="B19"/>
  <c r="B92"/>
  <c r="C94"/>
  <c r="B21"/>
  <c r="B94"/>
  <c r="K24"/>
  <c r="K96"/>
  <c r="R24"/>
  <c r="R96"/>
  <c r="T96"/>
  <c r="T24"/>
  <c r="AO40" i="10"/>
  <c r="C10" i="19"/>
  <c r="AG7" i="10"/>
  <c r="AD35"/>
  <c r="AD36"/>
  <c r="AO7"/>
  <c r="E31"/>
  <c r="AO31"/>
  <c r="S31"/>
  <c r="AP31"/>
  <c r="AR31"/>
  <c r="AS31"/>
  <c r="C90" i="4"/>
  <c r="B17"/>
  <c r="B90"/>
  <c r="AQ40" i="10"/>
  <c r="C23" i="4"/>
  <c r="F21" i="10"/>
  <c r="X21"/>
  <c r="G21"/>
  <c r="F30"/>
  <c r="X30"/>
  <c r="S38"/>
  <c r="S39"/>
  <c r="AR32"/>
  <c r="E32"/>
  <c r="AO32"/>
  <c r="S32"/>
  <c r="C82" i="4"/>
  <c r="B9"/>
  <c r="B82"/>
  <c r="G8" i="10"/>
  <c r="G22"/>
  <c r="AG35"/>
  <c r="AG36"/>
  <c r="AM38"/>
  <c r="AM39"/>
  <c r="AM40"/>
  <c r="S29"/>
  <c r="U8"/>
  <c r="Q33"/>
  <c r="R33"/>
  <c r="H17" i="4"/>
  <c r="H90"/>
  <c r="P23"/>
  <c r="B11" i="20"/>
  <c r="B7"/>
  <c r="F22" i="10"/>
  <c r="X9"/>
  <c r="G9"/>
  <c r="X18"/>
  <c r="X26"/>
  <c r="AR9"/>
  <c r="AQ21"/>
  <c r="AS21"/>
  <c r="AS30"/>
  <c r="AS38"/>
  <c r="AS39"/>
  <c r="AK33"/>
  <c r="D81" i="4"/>
  <c r="I83"/>
  <c r="Q83"/>
  <c r="R86"/>
  <c r="K88"/>
  <c r="S88"/>
  <c r="P92"/>
  <c r="I96"/>
  <c r="Q96"/>
  <c r="I24"/>
  <c r="V23"/>
  <c r="AQ32" i="10"/>
  <c r="AS32"/>
  <c r="I84" i="4"/>
  <c r="F12" i="10"/>
  <c r="F20"/>
  <c r="F28"/>
  <c r="B9" i="20"/>
  <c r="I87" i="4"/>
  <c r="M23"/>
  <c r="N23"/>
  <c r="U23"/>
  <c r="H23"/>
  <c r="H96"/>
  <c r="F10" i="10"/>
  <c r="AQ14"/>
  <c r="AS14"/>
  <c r="AK15"/>
  <c r="AM14"/>
  <c r="AL14"/>
  <c r="U24" i="4"/>
  <c r="U96"/>
  <c r="F23"/>
  <c r="F96"/>
  <c r="P96"/>
  <c r="P24"/>
  <c r="N24"/>
  <c r="M24"/>
  <c r="V24"/>
  <c r="H24"/>
  <c r="H97"/>
  <c r="N96"/>
  <c r="E23"/>
  <c r="E96"/>
  <c r="AR7" i="10"/>
  <c r="AJ35"/>
  <c r="AJ36"/>
  <c r="AL7"/>
  <c r="AM7"/>
  <c r="AQ7"/>
  <c r="AS7"/>
  <c r="AK24"/>
  <c r="AM23"/>
  <c r="AQ23"/>
  <c r="AS23"/>
  <c r="AL23"/>
  <c r="AM33"/>
  <c r="AQ33"/>
  <c r="AL33"/>
  <c r="AL35"/>
  <c r="AL36"/>
  <c r="AL37"/>
  <c r="X32"/>
  <c r="G32"/>
  <c r="F32"/>
  <c r="D22"/>
  <c r="AP22"/>
  <c r="J25" i="4"/>
  <c r="J97"/>
  <c r="M96"/>
  <c r="X31" i="10"/>
  <c r="G31"/>
  <c r="F31"/>
  <c r="C96" i="4"/>
  <c r="F29" i="10"/>
  <c r="X29"/>
  <c r="G29"/>
  <c r="K25" i="4"/>
  <c r="K97"/>
  <c r="AP8" i="10"/>
  <c r="D8"/>
  <c r="S25" i="4"/>
  <c r="S97"/>
  <c r="AH7" i="10"/>
  <c r="AH35"/>
  <c r="AH36"/>
  <c r="T25" i="4"/>
  <c r="T97"/>
  <c r="I25"/>
  <c r="C24"/>
  <c r="I97"/>
  <c r="F8" i="10"/>
  <c r="U7"/>
  <c r="T8"/>
  <c r="Z35"/>
  <c r="Z36"/>
  <c r="Z37"/>
  <c r="Y7"/>
  <c r="Y35"/>
  <c r="Y36"/>
  <c r="L25" i="4"/>
  <c r="L97"/>
  <c r="D24"/>
  <c r="D97"/>
  <c r="F38" i="10"/>
  <c r="F39"/>
  <c r="AD37"/>
  <c r="Q26" i="4"/>
  <c r="Q98"/>
  <c r="V96"/>
  <c r="AO33" i="10"/>
  <c r="AO35"/>
  <c r="AO36"/>
  <c r="AO37"/>
  <c r="R35"/>
  <c r="R36"/>
  <c r="E33"/>
  <c r="AR33"/>
  <c r="AR35"/>
  <c r="AR36"/>
  <c r="S33"/>
  <c r="G30"/>
  <c r="G38"/>
  <c r="G39"/>
  <c r="X38"/>
  <c r="X39"/>
  <c r="R25" i="4"/>
  <c r="R97"/>
  <c r="AP13" i="10"/>
  <c r="D13"/>
  <c r="O97" i="4"/>
  <c r="O25"/>
  <c r="G7" i="10"/>
  <c r="D23" i="4"/>
  <c r="D96"/>
  <c r="V25"/>
  <c r="V97"/>
  <c r="D14" i="10"/>
  <c r="AP14"/>
  <c r="G14"/>
  <c r="F14"/>
  <c r="B11" i="19"/>
  <c r="B11" i="14"/>
  <c r="J26" i="4"/>
  <c r="J98"/>
  <c r="U97"/>
  <c r="U25"/>
  <c r="B23"/>
  <c r="B96"/>
  <c r="I26"/>
  <c r="I98"/>
  <c r="C25"/>
  <c r="P25"/>
  <c r="P97"/>
  <c r="F24"/>
  <c r="F97"/>
  <c r="R26"/>
  <c r="R98"/>
  <c r="AK25" i="10"/>
  <c r="AQ24"/>
  <c r="AS24"/>
  <c r="AM24"/>
  <c r="AL24"/>
  <c r="AK16"/>
  <c r="AM15"/>
  <c r="AQ15"/>
  <c r="AS15"/>
  <c r="AL15"/>
  <c r="D23"/>
  <c r="AP23"/>
  <c r="F23"/>
  <c r="G23"/>
  <c r="B12" i="19"/>
  <c r="B12" i="14"/>
  <c r="T7" i="10"/>
  <c r="T35"/>
  <c r="T36"/>
  <c r="U35"/>
  <c r="U36"/>
  <c r="U37"/>
  <c r="F7"/>
  <c r="D33"/>
  <c r="AM35"/>
  <c r="AM36"/>
  <c r="AM37"/>
  <c r="AP33"/>
  <c r="E24" i="4"/>
  <c r="B24"/>
  <c r="B97"/>
  <c r="C97"/>
  <c r="B10" i="14"/>
  <c r="B10" i="19"/>
  <c r="S26" i="4"/>
  <c r="S98"/>
  <c r="O26"/>
  <c r="O98"/>
  <c r="S35" i="10"/>
  <c r="S36"/>
  <c r="F33"/>
  <c r="F35"/>
  <c r="F36"/>
  <c r="X33"/>
  <c r="Q27" i="4"/>
  <c r="Q99"/>
  <c r="T98"/>
  <c r="T26"/>
  <c r="AS33" i="10"/>
  <c r="AS35"/>
  <c r="AS36"/>
  <c r="AQ35"/>
  <c r="AQ36"/>
  <c r="AQ37"/>
  <c r="L98" i="4"/>
  <c r="L26"/>
  <c r="E97"/>
  <c r="N97"/>
  <c r="N25"/>
  <c r="B7" i="19"/>
  <c r="B7" i="14"/>
  <c r="K26" i="4"/>
  <c r="K98"/>
  <c r="M97"/>
  <c r="M25"/>
  <c r="H25"/>
  <c r="H98"/>
  <c r="D7" i="10"/>
  <c r="AP7"/>
  <c r="O27" i="4"/>
  <c r="O99"/>
  <c r="D24" i="10"/>
  <c r="AP24"/>
  <c r="F24"/>
  <c r="G24"/>
  <c r="J27" i="4"/>
  <c r="J99"/>
  <c r="D15" i="10"/>
  <c r="AP15"/>
  <c r="F15"/>
  <c r="G15"/>
  <c r="G33"/>
  <c r="G35"/>
  <c r="G36"/>
  <c r="X35"/>
  <c r="X36"/>
  <c r="R27" i="4"/>
  <c r="R99"/>
  <c r="D25"/>
  <c r="D98"/>
  <c r="T99"/>
  <c r="T27"/>
  <c r="V26"/>
  <c r="V98"/>
  <c r="K99"/>
  <c r="K27"/>
  <c r="L99"/>
  <c r="L27"/>
  <c r="Q28"/>
  <c r="Q100"/>
  <c r="B8" i="19"/>
  <c r="B8" i="14"/>
  <c r="I27" i="4"/>
  <c r="C26"/>
  <c r="I99"/>
  <c r="AP35" i="10"/>
  <c r="AP36"/>
  <c r="AP37"/>
  <c r="N98" i="4"/>
  <c r="E25"/>
  <c r="E98"/>
  <c r="N26"/>
  <c r="F25"/>
  <c r="F98"/>
  <c r="P26"/>
  <c r="P98"/>
  <c r="AQ16" i="10"/>
  <c r="AS16"/>
  <c r="AM16"/>
  <c r="AK17"/>
  <c r="AL16"/>
  <c r="S99" i="4"/>
  <c r="S27"/>
  <c r="AL25" i="10"/>
  <c r="AQ25"/>
  <c r="AS25"/>
  <c r="AM25"/>
  <c r="AK26"/>
  <c r="C98" i="4"/>
  <c r="U98"/>
  <c r="U26"/>
  <c r="M98"/>
  <c r="M26"/>
  <c r="D26"/>
  <c r="D99"/>
  <c r="D43" i="10"/>
  <c r="D44"/>
  <c r="F25"/>
  <c r="AP25"/>
  <c r="D25"/>
  <c r="G25"/>
  <c r="L100" i="4"/>
  <c r="L28"/>
  <c r="O28"/>
  <c r="O100"/>
  <c r="D16" i="10"/>
  <c r="AP16"/>
  <c r="G16"/>
  <c r="F16"/>
  <c r="M99" i="4"/>
  <c r="M27"/>
  <c r="AQ26" i="10"/>
  <c r="AS26"/>
  <c r="AL26"/>
  <c r="AK27"/>
  <c r="AM26"/>
  <c r="B9" i="14"/>
  <c r="B9" i="19"/>
  <c r="Q29" i="4"/>
  <c r="Q101"/>
  <c r="T100"/>
  <c r="T28"/>
  <c r="AL17" i="10"/>
  <c r="AQ17"/>
  <c r="AS17"/>
  <c r="AM17"/>
  <c r="AK18"/>
  <c r="V99" i="4"/>
  <c r="V27"/>
  <c r="E26"/>
  <c r="E99"/>
  <c r="N27"/>
  <c r="N99"/>
  <c r="U99"/>
  <c r="U27"/>
  <c r="S100"/>
  <c r="S28"/>
  <c r="P27"/>
  <c r="H27"/>
  <c r="H100"/>
  <c r="I28"/>
  <c r="I100"/>
  <c r="C27"/>
  <c r="K100"/>
  <c r="K28"/>
  <c r="R100"/>
  <c r="R28"/>
  <c r="J100"/>
  <c r="J28"/>
  <c r="F26"/>
  <c r="F99"/>
  <c r="P99"/>
  <c r="C99"/>
  <c r="H26"/>
  <c r="H99"/>
  <c r="B25"/>
  <c r="B98"/>
  <c r="C28"/>
  <c r="I29"/>
  <c r="I101"/>
  <c r="P28"/>
  <c r="F27"/>
  <c r="F100"/>
  <c r="P100"/>
  <c r="N28"/>
  <c r="E27"/>
  <c r="E100"/>
  <c r="N100"/>
  <c r="T29"/>
  <c r="T101"/>
  <c r="C100"/>
  <c r="AP26" i="10"/>
  <c r="D26"/>
  <c r="F26"/>
  <c r="G26"/>
  <c r="K101" i="4"/>
  <c r="K29"/>
  <c r="U28"/>
  <c r="U100"/>
  <c r="F17" i="10"/>
  <c r="AP17"/>
  <c r="D17"/>
  <c r="G17"/>
  <c r="AL27"/>
  <c r="AQ27"/>
  <c r="AS27"/>
  <c r="AM27"/>
  <c r="AQ18"/>
  <c r="AS18"/>
  <c r="AL18"/>
  <c r="AK19"/>
  <c r="AM18"/>
  <c r="B26" i="4"/>
  <c r="B99"/>
  <c r="R101"/>
  <c r="R29"/>
  <c r="S101"/>
  <c r="S29"/>
  <c r="Q30"/>
  <c r="Q102"/>
  <c r="L29"/>
  <c r="L101"/>
  <c r="M28"/>
  <c r="D28"/>
  <c r="D101"/>
  <c r="V28"/>
  <c r="V100"/>
  <c r="H28"/>
  <c r="H101"/>
  <c r="M100"/>
  <c r="D27"/>
  <c r="D100"/>
  <c r="J101"/>
  <c r="J29"/>
  <c r="O101"/>
  <c r="O29"/>
  <c r="L30"/>
  <c r="L102"/>
  <c r="AP18" i="10"/>
  <c r="D18"/>
  <c r="F18"/>
  <c r="G18"/>
  <c r="C101" i="4"/>
  <c r="T30"/>
  <c r="T102"/>
  <c r="V29"/>
  <c r="V101"/>
  <c r="R102"/>
  <c r="R30"/>
  <c r="K30"/>
  <c r="K102"/>
  <c r="I30"/>
  <c r="C29"/>
  <c r="I102"/>
  <c r="O30"/>
  <c r="O102"/>
  <c r="F27" i="10"/>
  <c r="AP27"/>
  <c r="D27"/>
  <c r="G27"/>
  <c r="U29" i="4"/>
  <c r="U101"/>
  <c r="F28"/>
  <c r="F101"/>
  <c r="P29"/>
  <c r="P101"/>
  <c r="M29"/>
  <c r="M101"/>
  <c r="B27"/>
  <c r="B100"/>
  <c r="J102"/>
  <c r="J30"/>
  <c r="S30"/>
  <c r="S102"/>
  <c r="Q103"/>
  <c r="Q31"/>
  <c r="Q104"/>
  <c r="AL19" i="10"/>
  <c r="AQ19"/>
  <c r="AS19"/>
  <c r="AM19"/>
  <c r="N29" i="4"/>
  <c r="E28"/>
  <c r="E101"/>
  <c r="N101"/>
  <c r="M102"/>
  <c r="M30"/>
  <c r="D30"/>
  <c r="D103"/>
  <c r="L103"/>
  <c r="L31"/>
  <c r="C102"/>
  <c r="D29"/>
  <c r="D102"/>
  <c r="U102"/>
  <c r="U30"/>
  <c r="N30"/>
  <c r="P30"/>
  <c r="V30"/>
  <c r="H30"/>
  <c r="H103"/>
  <c r="V102"/>
  <c r="H29"/>
  <c r="H102"/>
  <c r="T103"/>
  <c r="T31"/>
  <c r="T104"/>
  <c r="E29"/>
  <c r="E102"/>
  <c r="N102"/>
  <c r="J31"/>
  <c r="J104"/>
  <c r="J103"/>
  <c r="I103"/>
  <c r="I31"/>
  <c r="C30"/>
  <c r="O31"/>
  <c r="O104"/>
  <c r="O103"/>
  <c r="F19" i="10"/>
  <c r="AP19"/>
  <c r="D19"/>
  <c r="G19"/>
  <c r="S31" i="4"/>
  <c r="S104"/>
  <c r="S103"/>
  <c r="P102"/>
  <c r="F29"/>
  <c r="F102"/>
  <c r="R31"/>
  <c r="R104"/>
  <c r="R103"/>
  <c r="K31"/>
  <c r="K104"/>
  <c r="K103"/>
  <c r="B28"/>
  <c r="B101"/>
  <c r="P103"/>
  <c r="P31"/>
  <c r="F30"/>
  <c r="F103"/>
  <c r="N31"/>
  <c r="M31"/>
  <c r="U31"/>
  <c r="V31"/>
  <c r="H31"/>
  <c r="H104"/>
  <c r="E30"/>
  <c r="E103"/>
  <c r="N103"/>
  <c r="M103"/>
  <c r="M104"/>
  <c r="V104"/>
  <c r="V103"/>
  <c r="D31"/>
  <c r="D104"/>
  <c r="L104"/>
  <c r="U103"/>
  <c r="U104"/>
  <c r="I104"/>
  <c r="C31"/>
  <c r="B29"/>
  <c r="B102"/>
  <c r="C103"/>
  <c r="P104"/>
  <c r="F31"/>
  <c r="F104"/>
  <c r="C104"/>
  <c r="N104"/>
  <c r="E31"/>
  <c r="E104"/>
  <c r="B30"/>
  <c r="B103"/>
  <c r="B31"/>
  <c r="B104"/>
</calcChain>
</file>

<file path=xl/sharedStrings.xml><?xml version="1.0" encoding="utf-8"?>
<sst xmlns="http://schemas.openxmlformats.org/spreadsheetml/2006/main" count="228" uniqueCount="147">
  <si>
    <t>Europe</t>
  </si>
  <si>
    <t>USA</t>
  </si>
  <si>
    <t>Total</t>
  </si>
  <si>
    <t>Published NABUCO data</t>
  </si>
  <si>
    <t>Own computations</t>
  </si>
  <si>
    <t>see pdf files and printed copies</t>
  </si>
  <si>
    <t>2000-2010</t>
  </si>
  <si>
    <t>1990-2000</t>
  </si>
  <si>
    <t>1980-1990</t>
  </si>
  <si>
    <t>1980-2010</t>
  </si>
  <si>
    <t>1990-2010</t>
  </si>
  <si>
    <t>1980-2000</t>
  </si>
  <si>
    <t>Nominal return ($ weighted)</t>
  </si>
  <si>
    <t>Nominal return (equal weighted)</t>
  </si>
  <si>
    <t>CPI</t>
  </si>
  <si>
    <t>Real return ($ weighted)</t>
  </si>
  <si>
    <t>Real return (equal weighted)</t>
  </si>
  <si>
    <t>Nominal:</t>
  </si>
  <si>
    <t>Over 1 bil. $</t>
  </si>
  <si>
    <t>500m-1b$</t>
  </si>
  <si>
    <t>100m-500m$</t>
  </si>
  <si>
    <t>0-100m$</t>
  </si>
  <si>
    <t>Real:</t>
  </si>
  <si>
    <t>Harvard</t>
  </si>
  <si>
    <t>Yale</t>
  </si>
  <si>
    <t>Princeton</t>
  </si>
  <si>
    <t xml:space="preserve">Yale: see Yale Report 2010 p.3; Yale Report 2000 p.4 </t>
  </si>
  <si>
    <t>Princeton: see Princeton Report 2010 pp.18-19;</t>
  </si>
  <si>
    <t>Harvard: see official Harvard reports</t>
  </si>
  <si>
    <t>meanage</t>
  </si>
  <si>
    <t>minwealth</t>
  </si>
  <si>
    <t>maxwealth</t>
  </si>
  <si>
    <t>meanwealth</t>
  </si>
  <si>
    <t>Top 100 minwealth</t>
  </si>
  <si>
    <t>Top 100 meanwealth</t>
  </si>
  <si>
    <t>Ratio</t>
  </si>
  <si>
    <t>Top 1/20M</t>
  </si>
  <si>
    <t>Min top 1/20M</t>
  </si>
  <si>
    <t>Mean top 1/20M</t>
  </si>
  <si>
    <t>World GDP (current $, market exchange rate, W1)</t>
  </si>
  <si>
    <t>World GDP (current $, PPP, W2)</t>
  </si>
  <si>
    <t>World GDP (current €, market exchange rate, W6)</t>
  </si>
  <si>
    <t>2013/1987</t>
  </si>
  <si>
    <t>2010/1990</t>
  </si>
  <si>
    <t>World Wealth (current millions $, PPP)</t>
  </si>
  <si>
    <t>Top 1/100M</t>
  </si>
  <si>
    <t>Min top 1/100M</t>
  </si>
  <si>
    <t>Période 1980-2010</t>
  </si>
  <si>
    <t>World GDP per capita (current PPP $)</t>
  </si>
  <si>
    <t>World wealth per capita (current PPP $)</t>
  </si>
  <si>
    <t>Price index PPP</t>
  </si>
  <si>
    <t>Price index MER</t>
  </si>
  <si>
    <t>GDP deflator</t>
  </si>
  <si>
    <t>(2-4-13) Be careful: to be consistent with GDP series, I have replaced CPI by GDP deflator on this table</t>
  </si>
  <si>
    <t>Be careful: net product = 90% gross product</t>
  </si>
  <si>
    <t>World GDP (constant 2012 $, market exchange rate, W4)</t>
  </si>
  <si>
    <t>World GDP (constant 2012 $, PPP, W5)</t>
  </si>
  <si>
    <t>World GDP (constant 2012 €, PPP, W7)</t>
  </si>
  <si>
    <t>World GDP per capita (constant 2012 €, PPP, W7)</t>
  </si>
  <si>
    <t>World wealth per capita (constant 2012 €, PPP, W7)</t>
  </si>
  <si>
    <t>World wealth (constant 2012 €, PPP, W7)</t>
  </si>
  <si>
    <t>World wealth (current $, market exchange rate, W1)</t>
  </si>
  <si>
    <t>Wealth/Income Ratio (Table S12.1 for 1990-2000-2010 + linear interpolations)</t>
  </si>
  <si>
    <t>World GDP (billions € 2012 PPP)</t>
  </si>
  <si>
    <t>2010-2020</t>
  </si>
  <si>
    <t>2020-2030</t>
  </si>
  <si>
    <t>2030-2040</t>
  </si>
  <si>
    <t>2040-2050</t>
  </si>
  <si>
    <t>2050-2060</t>
  </si>
  <si>
    <t>2060-2070</t>
  </si>
  <si>
    <t>2070-2080</t>
  </si>
  <si>
    <t>2080-2090</t>
  </si>
  <si>
    <t>2090-2100</t>
  </si>
  <si>
    <t>Private wealth (% Y)</t>
  </si>
  <si>
    <t>Nationa wealth (% Y)</t>
  </si>
  <si>
    <t>Govt wealth (% Y)</t>
  </si>
  <si>
    <t>Govt wealth (% W)</t>
  </si>
  <si>
    <t>Detailed computations using Forbes rankings 1987-2013 (source: Forbes website and Daniel Waldestrom 1988-2010 database)</t>
  </si>
  <si>
    <t>Detailed computations based upon NACUBO All-US-Universities endowment statistics (www.nabuco.org)</t>
  </si>
  <si>
    <t>Table 12.1. The growth rate of top global wealth, 1987-2013</t>
  </si>
  <si>
    <t>1987-2013</t>
  </si>
  <si>
    <r>
      <t xml:space="preserve">Average real growth rate                     per year                                       </t>
    </r>
    <r>
      <rPr>
        <i/>
        <sz val="12"/>
        <rFont val="Arial Narrow"/>
        <family val="2"/>
      </rPr>
      <t>(after deduction of inflation)</t>
    </r>
  </si>
  <si>
    <r>
      <t xml:space="preserve">The top 1/(100 million) highest wealth holders                             </t>
    </r>
    <r>
      <rPr>
        <sz val="10"/>
        <rFont val="Arial"/>
      </rPr>
      <t xml:space="preserve">(about 30 adults out of 3 billions in 1980s,      and 45 adults out of 4,5 billions in 2010s)     </t>
    </r>
    <r>
      <rPr>
        <sz val="14"/>
        <rFont val="Arial"/>
        <family val="2"/>
      </rPr>
      <t xml:space="preserve">                                            </t>
    </r>
  </si>
  <si>
    <r>
      <t xml:space="preserve">The top 1/(20 million) highest wealth holders                             </t>
    </r>
    <r>
      <rPr>
        <sz val="10"/>
        <rFont val="Arial"/>
      </rPr>
      <t xml:space="preserve">(about 150 adults out of 3 billions in 1980s,    and 225 adults out of 4,5 billions in 2010s)     </t>
    </r>
    <r>
      <rPr>
        <sz val="14"/>
        <rFont val="Arial"/>
        <family val="2"/>
      </rPr>
      <t xml:space="preserve">                                            </t>
    </r>
  </si>
  <si>
    <t>Average world wealth per adult</t>
  </si>
  <si>
    <t>Average world income per adult</t>
  </si>
  <si>
    <t>World adult population</t>
  </si>
  <si>
    <t>World GDP</t>
  </si>
  <si>
    <t>Table 12.2. The return on the capital endowments of U.S. universities, 1980-2010</t>
  </si>
  <si>
    <t xml:space="preserve">All universities (850)                                                  </t>
  </si>
  <si>
    <t>incl.: Harvard-Yale-Princeton</t>
  </si>
  <si>
    <t>incl. Endowments between 500 millions and 1 billion $ (66)</t>
  </si>
  <si>
    <t>incl.: Endowments higher than 1 billion $ (60)</t>
  </si>
  <si>
    <r>
      <t xml:space="preserve">Average real annual rate of return                                             </t>
    </r>
    <r>
      <rPr>
        <i/>
        <sz val="12"/>
        <rFont val="Arial Narrow"/>
        <family val="2"/>
      </rPr>
      <t>(after deduction of inflation and all administrative costs and financial fees)</t>
    </r>
  </si>
  <si>
    <t>Table S12.2. The return on the capital endowments of U.S. universities, 1980-2010</t>
  </si>
  <si>
    <t xml:space="preserve"> 1980-2010</t>
  </si>
  <si>
    <t xml:space="preserve"> 1990-2010</t>
  </si>
  <si>
    <t xml:space="preserve"> 1987-2013</t>
  </si>
  <si>
    <t>Total wealth in % of global private wealth</t>
  </si>
  <si>
    <t>Share of the top 1/(20 million) highest wealth holders in global private wealth</t>
  </si>
  <si>
    <t>Share of the top 1/(100 million) highest wealth holders in global private wealth</t>
  </si>
  <si>
    <t>World Population (UN official population series)</t>
  </si>
  <si>
    <t>%Pop Adult (UN official series)</t>
  </si>
  <si>
    <t xml:space="preserve"> World adult population (UN official population series)</t>
  </si>
  <si>
    <t>Net foreign assets (% world output)</t>
  </si>
  <si>
    <t>Japan</t>
  </si>
  <si>
    <t>Rich countries (Europe + USA + Japan)</t>
  </si>
  <si>
    <t>Tax havens</t>
  </si>
  <si>
    <t>World</t>
  </si>
  <si>
    <t>America</t>
  </si>
  <si>
    <t>Africa</t>
  </si>
  <si>
    <t>Asia</t>
  </si>
  <si>
    <t>Western Europe</t>
  </si>
  <si>
    <t>Eastern Europe</t>
  </si>
  <si>
    <t>Russia (+Ukraine/ Belarus/ Moldavia)</t>
  </si>
  <si>
    <t>North America</t>
  </si>
  <si>
    <t>Latin America</t>
  </si>
  <si>
    <t>Northern Africa</t>
  </si>
  <si>
    <t>Sub-Saharan Africa</t>
  </si>
  <si>
    <t>China</t>
  </si>
  <si>
    <t>India</t>
  </si>
  <si>
    <t>Australia/NZ</t>
  </si>
  <si>
    <t>Middle East (y.c. Turkey)</t>
  </si>
  <si>
    <t>Central Asia</t>
  </si>
  <si>
    <t>Other Asian countries</t>
  </si>
  <si>
    <t>world output distribution</t>
  </si>
  <si>
    <t>Table S12.4b. World output distribution, 1870-2100 (estimate)</t>
  </si>
  <si>
    <t>world output distribution: Table S1.1 (1870-2010); Table CTS1.3 (2030-2100); links frozen on 4-7-2013</t>
  </si>
  <si>
    <t>Wealth/income ratios: Europe and North America 1870-2010: Table S4.5; Japan and Australia 1970-2010: Table S5.1 (decennial averages); links frozen on 2-8-2013</t>
  </si>
  <si>
    <t>Savings rate 2010-2100</t>
  </si>
  <si>
    <t>Source: Zucman 2013, Figure 1 and Appendix Table A27</t>
  </si>
  <si>
    <t>Between 1980 and 2010, U.S. universities earned an average real return of 8.2% on their capital endowments, and all the more so for higher endowments. All returns reported here are net of inflation (2.4% per year between 1980 and 2010) and of all administrative costs and financial fees. Sources: see piketty.pse.ens.fr/capital21c.</t>
  </si>
  <si>
    <t>Table S12.3. The growth of the top global wealth according to Forbes, 1987-2013                                                                                                         (series used for figures 12.1-12.3)</t>
  </si>
  <si>
    <t>Table S12.1. The growth rate of top global wealth, 1987-2013</t>
  </si>
  <si>
    <t xml:space="preserve">Between 1987 and 2013, the highest global wealth fractiles have grown at 6%-7% per year, vs. 2.1% for average world wealth and 1.4% for average world income. All the growth rates are net of inflation (2.3% per year between 1987 and 2013). Sources: see piketty.pse.ens.fr/capital21c. </t>
  </si>
  <si>
    <t>Table S12.4a. Private capital/national income ratio for the world, 1870-2100 (estimate) (series used fo figure 12.4)</t>
  </si>
  <si>
    <t>private capital / national income</t>
  </si>
  <si>
    <t>Private capital / global income</t>
  </si>
  <si>
    <t>Table S12.4c. World private capital distribution, 1870-2100 (estimate)                            (series used for figure 12.5)</t>
  </si>
  <si>
    <t>Table S12.5. Net foreign assets: rich countries tax havens                                        (series used for figure 12.6)</t>
  </si>
  <si>
    <r>
      <t xml:space="preserve">Between 1980 and 2010, U.S. universities earned an average real return of 8.2% on their capital endowments, and all the more so for higher endowments. All returns reported here are net of inflation (2.4% per year between 1980 and 2010) and of all administrative costs and financial fees. </t>
    </r>
    <r>
      <rPr>
        <sz val="10"/>
        <rFont val="Arial Narrow"/>
        <family val="2"/>
      </rPr>
      <t>Sources: see piketty.pse.ens.fr/capital21c.</t>
    </r>
  </si>
  <si>
    <r>
      <t xml:space="preserve">Between 1987 and 2013, the highest global wealth fractiles have grown at 6%-7% per year, vs. 2.1% for average world wealth and 1,4% for average world income. All growth rates are net of inflation (2.3% per year between 1987 and 2013).  </t>
    </r>
    <r>
      <rPr>
        <sz val="10"/>
        <rFont val="Arial Narrow"/>
        <family val="2"/>
      </rPr>
      <t xml:space="preserve">Sources: see piketty.pse.ens.fr/capital21c. </t>
    </r>
    <r>
      <rPr>
        <sz val="12"/>
        <rFont val="Arial"/>
        <family val="2"/>
      </rPr>
      <t/>
    </r>
  </si>
  <si>
    <t>incl. Endowments between 100 and 500 million $ (226)</t>
  </si>
  <si>
    <t>dont: Endowments less than 100 million $ (498)</t>
  </si>
  <si>
    <t>Number of billionaires in dollars</t>
  </si>
  <si>
    <t>Total wealth in billion of dollars</t>
  </si>
  <si>
    <t>Number of billionaires per 100 million inhabitants</t>
  </si>
</sst>
</file>

<file path=xl/styles.xml><?xml version="1.0" encoding="utf-8"?>
<styleSheet xmlns="http://schemas.openxmlformats.org/spreadsheetml/2006/main">
  <numFmts count="5">
    <numFmt numFmtId="164" formatCode="\$#,##0\ ;\(\$#,##0\)"/>
    <numFmt numFmtId="165" formatCode="0.0%"/>
    <numFmt numFmtId="166" formatCode="#,##0.0"/>
    <numFmt numFmtId="167" formatCode="0.0"/>
    <numFmt numFmtId="168" formatCode="0.000%"/>
  </numFmts>
  <fonts count="42"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8"/>
      <name val="Calibri"/>
      <family val="2"/>
    </font>
    <font>
      <sz val="10"/>
      <name val="Arial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8"/>
      <name val="Arial"/>
      <family val="2"/>
    </font>
    <font>
      <i/>
      <sz val="14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color indexed="8"/>
      <name val="Calibri"/>
      <family val="2"/>
    </font>
    <font>
      <i/>
      <sz val="12"/>
      <name val="Arial Narrow"/>
      <family val="2"/>
    </font>
    <font>
      <sz val="10"/>
      <name val="Arial Narrow"/>
      <family val="2"/>
    </font>
    <font>
      <sz val="8"/>
      <color indexed="8"/>
      <name val="Calibri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0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14" borderId="1" applyNumberFormat="0" applyAlignment="0" applyProtection="0"/>
    <xf numFmtId="0" fontId="6" fillId="14" borderId="1" applyNumberFormat="0" applyAlignment="0" applyProtection="0"/>
    <xf numFmtId="0" fontId="7" fillId="0" borderId="2" applyNumberFormat="0" applyFill="0" applyAlignment="0" applyProtection="0"/>
    <xf numFmtId="0" fontId="8" fillId="22" borderId="3" applyNumberFormat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" borderId="1" applyNumberFormat="0" applyAlignment="0" applyProtection="0"/>
    <xf numFmtId="0" fontId="13" fillId="0" borderId="0" applyNumberFormat="0" applyFill="0" applyBorder="0" applyAlignment="0" applyProtection="0"/>
    <xf numFmtId="3" fontId="9" fillId="0" borderId="0" applyFont="0" applyFill="0" applyBorder="0" applyAlignment="0" applyProtection="0"/>
    <xf numFmtId="0" fontId="5" fillId="7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2" fillId="3" borderId="1" applyNumberFormat="0" applyAlignment="0" applyProtection="0"/>
    <xf numFmtId="0" fontId="4" fillId="6" borderId="0" applyNumberFormat="0" applyBorder="0" applyAlignment="0" applyProtection="0"/>
    <xf numFmtId="0" fontId="7" fillId="0" borderId="2" applyNumberFormat="0" applyFill="0" applyAlignment="0" applyProtection="0"/>
    <xf numFmtId="164" fontId="9" fillId="0" borderId="0" applyFont="0" applyFill="0" applyBorder="0" applyAlignment="0" applyProtection="0"/>
    <xf numFmtId="0" fontId="18" fillId="0" borderId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8" fillId="24" borderId="7" applyNumberFormat="0" applyFont="0" applyAlignment="0" applyProtection="0"/>
    <xf numFmtId="0" fontId="20" fillId="14" borderId="8" applyNumberFormat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7" borderId="0" applyNumberFormat="0" applyBorder="0" applyAlignment="0" applyProtection="0"/>
    <xf numFmtId="0" fontId="20" fillId="14" borderId="8" applyNumberFormat="0" applyAlignment="0" applyProtection="0"/>
    <xf numFmtId="0" fontId="18" fillId="0" borderId="0"/>
    <xf numFmtId="0" fontId="18" fillId="0" borderId="0"/>
    <xf numFmtId="0" fontId="21" fillId="0" borderId="9">
      <alignment horizontal="center"/>
    </xf>
    <xf numFmtId="0" fontId="1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3" fillId="0" borderId="10" applyNumberFormat="0" applyFill="0" applyAlignment="0" applyProtection="0"/>
    <xf numFmtId="2" fontId="9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5">
    <xf numFmtId="0" fontId="0" fillId="0" borderId="0" xfId="0"/>
    <xf numFmtId="0" fontId="18" fillId="0" borderId="0" xfId="77"/>
    <xf numFmtId="0" fontId="25" fillId="0" borderId="11" xfId="77" applyFont="1" applyBorder="1"/>
    <xf numFmtId="0" fontId="25" fillId="0" borderId="0" xfId="77" applyFont="1" applyBorder="1" applyAlignment="1">
      <alignment horizontal="center"/>
    </xf>
    <xf numFmtId="0" fontId="25" fillId="0" borderId="12" xfId="77" applyFont="1" applyBorder="1" applyAlignment="1">
      <alignment horizontal="center"/>
    </xf>
    <xf numFmtId="0" fontId="18" fillId="0" borderId="0" xfId="77" applyFill="1"/>
    <xf numFmtId="0" fontId="18" fillId="0" borderId="0" xfId="77" applyBorder="1"/>
    <xf numFmtId="3" fontId="18" fillId="0" borderId="0" xfId="77" applyNumberFormat="1" applyBorder="1"/>
    <xf numFmtId="3" fontId="18" fillId="0" borderId="0" xfId="77" applyNumberFormat="1"/>
    <xf numFmtId="0" fontId="18" fillId="0" borderId="13" xfId="76" applyFont="1" applyBorder="1" applyAlignment="1">
      <alignment horizontal="center" vertical="center" wrapText="1"/>
    </xf>
    <xf numFmtId="0" fontId="18" fillId="0" borderId="14" xfId="76" applyFont="1" applyBorder="1" applyAlignment="1">
      <alignment horizontal="center" vertical="center" wrapText="1"/>
    </xf>
    <xf numFmtId="0" fontId="18" fillId="0" borderId="15" xfId="76" applyFont="1" applyBorder="1" applyAlignment="1">
      <alignment horizontal="center" vertical="center" wrapText="1"/>
    </xf>
    <xf numFmtId="0" fontId="18" fillId="0" borderId="16" xfId="76" applyFont="1" applyBorder="1" applyAlignment="1">
      <alignment horizontal="center" vertical="center" wrapText="1"/>
    </xf>
    <xf numFmtId="0" fontId="18" fillId="0" borderId="17" xfId="76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9" fontId="29" fillId="0" borderId="11" xfId="0" applyNumberFormat="1" applyFont="1" applyBorder="1" applyAlignment="1">
      <alignment horizontal="center"/>
    </xf>
    <xf numFmtId="9" fontId="29" fillId="0" borderId="0" xfId="0" applyNumberFormat="1" applyFont="1" applyBorder="1" applyAlignment="1">
      <alignment horizontal="center"/>
    </xf>
    <xf numFmtId="9" fontId="29" fillId="0" borderId="12" xfId="0" applyNumberFormat="1" applyFont="1" applyBorder="1" applyAlignment="1">
      <alignment horizontal="center"/>
    </xf>
    <xf numFmtId="9" fontId="29" fillId="0" borderId="20" xfId="0" applyNumberFormat="1" applyFont="1" applyBorder="1" applyAlignment="1">
      <alignment horizontal="center"/>
    </xf>
    <xf numFmtId="9" fontId="29" fillId="0" borderId="21" xfId="0" applyNumberFormat="1" applyFont="1" applyBorder="1" applyAlignment="1">
      <alignment horizontal="center"/>
    </xf>
    <xf numFmtId="9" fontId="29" fillId="0" borderId="22" xfId="0" applyNumberFormat="1" applyFont="1" applyBorder="1" applyAlignment="1">
      <alignment horizontal="center"/>
    </xf>
    <xf numFmtId="9" fontId="29" fillId="0" borderId="0" xfId="0" applyNumberFormat="1" applyFont="1"/>
    <xf numFmtId="0" fontId="18" fillId="0" borderId="0" xfId="76" applyFont="1" applyBorder="1" applyAlignment="1">
      <alignment horizontal="center" vertical="center" wrapText="1"/>
    </xf>
    <xf numFmtId="9" fontId="29" fillId="0" borderId="0" xfId="0" applyNumberFormat="1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8" fillId="0" borderId="0" xfId="77" applyFont="1" applyBorder="1"/>
    <xf numFmtId="0" fontId="32" fillId="0" borderId="23" xfId="77" applyFont="1" applyBorder="1" applyAlignment="1">
      <alignment horizontal="center" vertical="center"/>
    </xf>
    <xf numFmtId="165" fontId="34" fillId="0" borderId="24" xfId="0" applyNumberFormat="1" applyFont="1" applyFill="1" applyBorder="1" applyAlignment="1">
      <alignment horizontal="center" vertical="center"/>
    </xf>
    <xf numFmtId="165" fontId="34" fillId="0" borderId="25" xfId="0" applyNumberFormat="1" applyFont="1" applyFill="1" applyBorder="1" applyAlignment="1">
      <alignment horizontal="center" vertical="center"/>
    </xf>
    <xf numFmtId="0" fontId="32" fillId="0" borderId="0" xfId="77" applyFont="1" applyBorder="1"/>
    <xf numFmtId="3" fontId="32" fillId="0" borderId="0" xfId="77" applyNumberFormat="1" applyFont="1" applyBorder="1"/>
    <xf numFmtId="0" fontId="18" fillId="0" borderId="0" xfId="78"/>
    <xf numFmtId="0" fontId="36" fillId="0" borderId="0" xfId="78" applyFont="1"/>
    <xf numFmtId="0" fontId="18" fillId="0" borderId="11" xfId="78" applyBorder="1"/>
    <xf numFmtId="0" fontId="18" fillId="0" borderId="0" xfId="78" applyBorder="1"/>
    <xf numFmtId="0" fontId="18" fillId="0" borderId="12" xfId="78" applyBorder="1"/>
    <xf numFmtId="0" fontId="18" fillId="0" borderId="11" xfId="78" applyBorder="1" applyAlignment="1">
      <alignment horizontal="center"/>
    </xf>
    <xf numFmtId="0" fontId="18" fillId="0" borderId="0" xfId="78" applyBorder="1" applyAlignment="1">
      <alignment horizontal="center"/>
    </xf>
    <xf numFmtId="0" fontId="18" fillId="0" borderId="12" xfId="78" applyBorder="1" applyAlignment="1">
      <alignment horizontal="center"/>
    </xf>
    <xf numFmtId="0" fontId="18" fillId="0" borderId="12" xfId="78" applyFill="1" applyBorder="1" applyAlignment="1">
      <alignment horizontal="center"/>
    </xf>
    <xf numFmtId="0" fontId="18" fillId="0" borderId="0" xfId="78" applyAlignment="1">
      <alignment horizontal="left"/>
    </xf>
    <xf numFmtId="165" fontId="18" fillId="0" borderId="11" xfId="78" applyNumberFormat="1" applyBorder="1" applyAlignment="1">
      <alignment horizontal="center"/>
    </xf>
    <xf numFmtId="165" fontId="18" fillId="0" borderId="0" xfId="78" applyNumberFormat="1" applyBorder="1" applyAlignment="1">
      <alignment horizontal="center"/>
    </xf>
    <xf numFmtId="165" fontId="18" fillId="0" borderId="12" xfId="78" applyNumberFormat="1" applyBorder="1" applyAlignment="1">
      <alignment horizontal="center"/>
    </xf>
    <xf numFmtId="0" fontId="18" fillId="0" borderId="0" xfId="78" applyAlignment="1">
      <alignment horizontal="center"/>
    </xf>
    <xf numFmtId="0" fontId="18" fillId="0" borderId="0" xfId="78" applyFill="1" applyBorder="1" applyAlignment="1">
      <alignment horizontal="center"/>
    </xf>
    <xf numFmtId="165" fontId="18" fillId="0" borderId="0" xfId="78" applyNumberFormat="1" applyFill="1" applyBorder="1" applyAlignment="1">
      <alignment horizontal="center"/>
    </xf>
    <xf numFmtId="165" fontId="18" fillId="0" borderId="12" xfId="78" applyNumberFormat="1" applyFill="1" applyBorder="1" applyAlignment="1">
      <alignment horizontal="center"/>
    </xf>
    <xf numFmtId="0" fontId="18" fillId="0" borderId="0" xfId="78" applyFill="1" applyBorder="1" applyAlignment="1">
      <alignment horizontal="left"/>
    </xf>
    <xf numFmtId="0" fontId="18" fillId="0" borderId="0" xfId="78" applyFont="1" applyFill="1" applyBorder="1" applyAlignment="1">
      <alignment horizontal="left"/>
    </xf>
    <xf numFmtId="3" fontId="29" fillId="0" borderId="0" xfId="0" applyNumberFormat="1" applyFont="1" applyAlignment="1">
      <alignment horizontal="center"/>
    </xf>
    <xf numFmtId="0" fontId="37" fillId="0" borderId="0" xfId="0" applyFont="1"/>
    <xf numFmtId="165" fontId="0" fillId="0" borderId="0" xfId="0" applyNumberFormat="1" applyAlignment="1">
      <alignment horizontal="center"/>
    </xf>
    <xf numFmtId="0" fontId="32" fillId="0" borderId="23" xfId="77" applyFont="1" applyBorder="1" applyAlignment="1">
      <alignment horizontal="center" vertical="center" wrapText="1"/>
    </xf>
    <xf numFmtId="165" fontId="34" fillId="0" borderId="26" xfId="0" applyNumberFormat="1" applyFont="1" applyFill="1" applyBorder="1" applyAlignment="1">
      <alignment horizontal="center" vertical="center"/>
    </xf>
    <xf numFmtId="0" fontId="32" fillId="0" borderId="27" xfId="77" applyFont="1" applyBorder="1" applyAlignment="1">
      <alignment horizontal="center" vertical="center" wrapText="1"/>
    </xf>
    <xf numFmtId="165" fontId="34" fillId="0" borderId="28" xfId="0" applyNumberFormat="1" applyFont="1" applyFill="1" applyBorder="1" applyAlignment="1">
      <alignment horizontal="center" vertical="center"/>
    </xf>
    <xf numFmtId="0" fontId="18" fillId="0" borderId="0" xfId="78" applyFont="1"/>
    <xf numFmtId="10" fontId="18" fillId="0" borderId="0" xfId="78" applyNumberFormat="1"/>
    <xf numFmtId="0" fontId="0" fillId="0" borderId="0" xfId="0" applyAlignment="1">
      <alignment wrapText="1"/>
    </xf>
    <xf numFmtId="168" fontId="0" fillId="0" borderId="0" xfId="0" applyNumberFormat="1"/>
    <xf numFmtId="9" fontId="29" fillId="0" borderId="0" xfId="0" applyNumberFormat="1" applyFont="1" applyAlignment="1">
      <alignment horizontal="center" vertical="center"/>
    </xf>
    <xf numFmtId="0" fontId="25" fillId="0" borderId="29" xfId="77" applyFont="1" applyBorder="1"/>
    <xf numFmtId="0" fontId="25" fillId="0" borderId="30" xfId="77" applyFont="1" applyBorder="1" applyAlignment="1">
      <alignment horizontal="center"/>
    </xf>
    <xf numFmtId="0" fontId="30" fillId="0" borderId="0" xfId="0" applyFont="1" applyAlignment="1">
      <alignment horizontal="center" vertical="center" wrapText="1"/>
    </xf>
    <xf numFmtId="9" fontId="29" fillId="0" borderId="31" xfId="0" applyNumberFormat="1" applyFont="1" applyBorder="1" applyAlignment="1">
      <alignment horizontal="center"/>
    </xf>
    <xf numFmtId="9" fontId="29" fillId="0" borderId="32" xfId="0" applyNumberFormat="1" applyFont="1" applyBorder="1" applyAlignment="1">
      <alignment horizontal="center"/>
    </xf>
    <xf numFmtId="9" fontId="29" fillId="0" borderId="33" xfId="0" applyNumberFormat="1" applyFont="1" applyBorder="1" applyAlignment="1">
      <alignment horizontal="center"/>
    </xf>
    <xf numFmtId="0" fontId="29" fillId="0" borderId="34" xfId="0" applyFont="1" applyBorder="1" applyAlignment="1">
      <alignment horizontal="center" vertical="center" wrapText="1"/>
    </xf>
    <xf numFmtId="0" fontId="28" fillId="0" borderId="13" xfId="76" applyFont="1" applyBorder="1" applyAlignment="1">
      <alignment horizontal="center" vertical="center" wrapText="1"/>
    </xf>
    <xf numFmtId="0" fontId="28" fillId="0" borderId="14" xfId="76" applyFont="1" applyBorder="1" applyAlignment="1">
      <alignment horizontal="center" vertical="center" wrapText="1"/>
    </xf>
    <xf numFmtId="0" fontId="28" fillId="0" borderId="31" xfId="76" applyFont="1" applyBorder="1" applyAlignment="1">
      <alignment horizontal="center"/>
    </xf>
    <xf numFmtId="0" fontId="28" fillId="0" borderId="32" xfId="76" applyFont="1" applyBorder="1" applyAlignment="1">
      <alignment horizontal="center"/>
    </xf>
    <xf numFmtId="0" fontId="28" fillId="0" borderId="32" xfId="76" applyFont="1" applyBorder="1" applyAlignment="1">
      <alignment horizontal="center" vertical="justify"/>
    </xf>
    <xf numFmtId="0" fontId="28" fillId="0" borderId="33" xfId="76" applyFont="1" applyBorder="1" applyAlignment="1">
      <alignment horizontal="center" vertical="justify"/>
    </xf>
    <xf numFmtId="0" fontId="28" fillId="0" borderId="16" xfId="76" applyFont="1" applyBorder="1" applyAlignment="1">
      <alignment horizontal="center" vertical="center" wrapText="1"/>
    </xf>
    <xf numFmtId="0" fontId="28" fillId="0" borderId="35" xfId="76" applyFont="1" applyBorder="1" applyAlignment="1">
      <alignment horizontal="center" vertical="center" wrapText="1"/>
    </xf>
    <xf numFmtId="9" fontId="29" fillId="0" borderId="34" xfId="0" applyNumberFormat="1" applyFont="1" applyBorder="1" applyAlignment="1">
      <alignment horizontal="center"/>
    </xf>
    <xf numFmtId="9" fontId="29" fillId="0" borderId="36" xfId="0" applyNumberFormat="1" applyFont="1" applyBorder="1" applyAlignment="1">
      <alignment horizontal="center"/>
    </xf>
    <xf numFmtId="9" fontId="29" fillId="0" borderId="37" xfId="0" applyNumberFormat="1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29" fillId="0" borderId="31" xfId="0" applyFont="1" applyBorder="1" applyAlignment="1">
      <alignment horizontal="center" vertical="center" wrapText="1"/>
    </xf>
    <xf numFmtId="3" fontId="29" fillId="0" borderId="0" xfId="0" applyNumberFormat="1" applyFont="1" applyBorder="1" applyAlignment="1">
      <alignment horizontal="center"/>
    </xf>
    <xf numFmtId="0" fontId="41" fillId="0" borderId="34" xfId="0" applyFont="1" applyBorder="1" applyAlignment="1">
      <alignment horizontal="center" vertical="center" wrapText="1"/>
    </xf>
    <xf numFmtId="9" fontId="29" fillId="0" borderId="36" xfId="0" applyNumberFormat="1" applyFont="1" applyBorder="1" applyAlignment="1">
      <alignment horizontal="center" vertical="center"/>
    </xf>
    <xf numFmtId="9" fontId="29" fillId="0" borderId="37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9" fillId="0" borderId="38" xfId="0" applyFont="1" applyBorder="1" applyAlignment="1">
      <alignment horizontal="center" vertical="center" wrapText="1"/>
    </xf>
    <xf numFmtId="3" fontId="29" fillId="0" borderId="12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67" fontId="29" fillId="0" borderId="12" xfId="0" applyNumberFormat="1" applyFont="1" applyBorder="1" applyAlignment="1">
      <alignment horizontal="center"/>
    </xf>
    <xf numFmtId="165" fontId="29" fillId="0" borderId="12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165" fontId="29" fillId="0" borderId="22" xfId="0" applyNumberFormat="1" applyFont="1" applyBorder="1" applyAlignment="1">
      <alignment horizontal="center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/>
    </xf>
    <xf numFmtId="3" fontId="29" fillId="0" borderId="37" xfId="0" applyNumberFormat="1" applyFont="1" applyBorder="1" applyAlignment="1">
      <alignment horizontal="center"/>
    </xf>
    <xf numFmtId="3" fontId="29" fillId="0" borderId="31" xfId="0" applyNumberFormat="1" applyFont="1" applyBorder="1" applyAlignment="1">
      <alignment horizontal="center"/>
    </xf>
    <xf numFmtId="1" fontId="29" fillId="0" borderId="31" xfId="0" applyNumberFormat="1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167" fontId="29" fillId="0" borderId="31" xfId="0" applyNumberFormat="1" applyFont="1" applyBorder="1" applyAlignment="1">
      <alignment horizontal="center"/>
    </xf>
    <xf numFmtId="9" fontId="29" fillId="0" borderId="31" xfId="75" applyNumberFormat="1" applyFont="1" applyBorder="1" applyAlignment="1">
      <alignment horizontal="center"/>
    </xf>
    <xf numFmtId="166" fontId="29" fillId="0" borderId="31" xfId="0" applyNumberFormat="1" applyFont="1" applyBorder="1" applyAlignment="1">
      <alignment horizontal="center"/>
    </xf>
    <xf numFmtId="165" fontId="29" fillId="0" borderId="31" xfId="0" applyNumberFormat="1" applyFont="1" applyBorder="1" applyAlignment="1">
      <alignment horizontal="center"/>
    </xf>
    <xf numFmtId="9" fontId="0" fillId="0" borderId="31" xfId="0" applyNumberFormat="1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3" fontId="29" fillId="0" borderId="32" xfId="0" applyNumberFormat="1" applyFont="1" applyBorder="1" applyAlignment="1">
      <alignment horizontal="center"/>
    </xf>
    <xf numFmtId="1" fontId="29" fillId="0" borderId="32" xfId="0" applyNumberFormat="1" applyFont="1" applyBorder="1" applyAlignment="1">
      <alignment horizontal="center"/>
    </xf>
    <xf numFmtId="167" fontId="29" fillId="0" borderId="32" xfId="0" applyNumberFormat="1" applyFont="1" applyBorder="1" applyAlignment="1">
      <alignment horizontal="center"/>
    </xf>
    <xf numFmtId="9" fontId="29" fillId="0" borderId="32" xfId="75" applyNumberFormat="1" applyFont="1" applyBorder="1" applyAlignment="1">
      <alignment horizontal="center"/>
    </xf>
    <xf numFmtId="166" fontId="29" fillId="0" borderId="32" xfId="0" applyNumberFormat="1" applyFont="1" applyBorder="1" applyAlignment="1">
      <alignment horizontal="center"/>
    </xf>
    <xf numFmtId="165" fontId="29" fillId="0" borderId="32" xfId="0" applyNumberFormat="1" applyFont="1" applyBorder="1" applyAlignment="1">
      <alignment horizontal="center"/>
    </xf>
    <xf numFmtId="9" fontId="0" fillId="0" borderId="32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3" fontId="28" fillId="0" borderId="32" xfId="76" applyNumberFormat="1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65" fontId="29" fillId="0" borderId="33" xfId="0" applyNumberFormat="1" applyFont="1" applyBorder="1" applyAlignment="1">
      <alignment horizontal="center"/>
    </xf>
    <xf numFmtId="0" fontId="29" fillId="0" borderId="35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3" fontId="29" fillId="0" borderId="33" xfId="0" applyNumberFormat="1" applyFont="1" applyBorder="1" applyAlignment="1">
      <alignment horizontal="center"/>
    </xf>
    <xf numFmtId="166" fontId="29" fillId="0" borderId="33" xfId="0" applyNumberFormat="1" applyFont="1" applyBorder="1" applyAlignment="1">
      <alignment horizontal="center"/>
    </xf>
    <xf numFmtId="0" fontId="28" fillId="0" borderId="34" xfId="77" applyFont="1" applyBorder="1" applyAlignment="1">
      <alignment horizontal="justify" vertical="top" wrapText="1"/>
    </xf>
    <xf numFmtId="0" fontId="32" fillId="0" borderId="37" xfId="77" applyFont="1" applyBorder="1" applyAlignment="1">
      <alignment horizontal="justify" vertical="top" wrapText="1"/>
    </xf>
    <xf numFmtId="0" fontId="32" fillId="0" borderId="11" xfId="77" applyFont="1" applyBorder="1" applyAlignment="1">
      <alignment horizontal="justify" vertical="top" wrapText="1"/>
    </xf>
    <xf numFmtId="0" fontId="32" fillId="0" borderId="12" xfId="77" applyFont="1" applyBorder="1" applyAlignment="1">
      <alignment horizontal="justify" vertical="top" wrapText="1"/>
    </xf>
    <xf numFmtId="0" fontId="32" fillId="0" borderId="20" xfId="77" applyFont="1" applyBorder="1" applyAlignment="1">
      <alignment horizontal="justify" vertical="top" wrapText="1"/>
    </xf>
    <xf numFmtId="0" fontId="32" fillId="0" borderId="22" xfId="77" applyFont="1" applyBorder="1" applyAlignment="1">
      <alignment horizontal="justify" vertical="top" wrapText="1"/>
    </xf>
    <xf numFmtId="0" fontId="33" fillId="0" borderId="34" xfId="77" applyFont="1" applyBorder="1" applyAlignment="1">
      <alignment horizontal="center" vertical="center" wrapText="1"/>
    </xf>
    <xf numFmtId="0" fontId="33" fillId="0" borderId="37" xfId="77" applyFont="1" applyBorder="1" applyAlignment="1">
      <alignment horizontal="center" vertical="center" wrapText="1"/>
    </xf>
    <xf numFmtId="0" fontId="26" fillId="0" borderId="40" xfId="77" applyFont="1" applyBorder="1" applyAlignment="1">
      <alignment horizontal="center" vertical="center" wrapText="1"/>
    </xf>
    <xf numFmtId="0" fontId="0" fillId="0" borderId="41" xfId="0" applyBorder="1"/>
    <xf numFmtId="0" fontId="32" fillId="0" borderId="24" xfId="77" applyFont="1" applyBorder="1" applyAlignment="1">
      <alignment horizontal="center" vertical="center" wrapText="1"/>
    </xf>
    <xf numFmtId="0" fontId="32" fillId="0" borderId="42" xfId="77" applyFont="1" applyBorder="1" applyAlignment="1">
      <alignment horizontal="center" vertical="center" wrapText="1"/>
    </xf>
    <xf numFmtId="0" fontId="26" fillId="0" borderId="41" xfId="77" applyFont="1" applyBorder="1" applyAlignment="1">
      <alignment horizontal="center" vertical="center" wrapText="1"/>
    </xf>
    <xf numFmtId="0" fontId="32" fillId="0" borderId="36" xfId="77" applyFont="1" applyBorder="1" applyAlignment="1">
      <alignment horizontal="justify" vertical="top" wrapText="1"/>
    </xf>
    <xf numFmtId="0" fontId="32" fillId="0" borderId="0" xfId="77" applyFont="1" applyBorder="1" applyAlignment="1">
      <alignment horizontal="justify" vertical="top" wrapText="1"/>
    </xf>
    <xf numFmtId="0" fontId="32" fillId="0" borderId="21" xfId="77" applyFont="1" applyBorder="1" applyAlignment="1">
      <alignment horizontal="justify" vertical="top" wrapText="1"/>
    </xf>
    <xf numFmtId="0" fontId="33" fillId="0" borderId="36" xfId="77" applyFont="1" applyBorder="1" applyAlignment="1">
      <alignment horizontal="center" vertical="center" wrapText="1"/>
    </xf>
    <xf numFmtId="0" fontId="32" fillId="0" borderId="43" xfId="77" applyFont="1" applyBorder="1" applyAlignment="1">
      <alignment horizontal="center" vertical="center" wrapText="1"/>
    </xf>
    <xf numFmtId="0" fontId="32" fillId="0" borderId="44" xfId="77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6" fillId="0" borderId="11" xfId="78" applyFont="1" applyBorder="1" applyAlignment="1">
      <alignment horizontal="center" wrapText="1"/>
    </xf>
    <xf numFmtId="0" fontId="36" fillId="0" borderId="0" xfId="78" applyFont="1" applyBorder="1" applyAlignment="1">
      <alignment horizontal="center" wrapText="1"/>
    </xf>
    <xf numFmtId="0" fontId="36" fillId="0" borderId="12" xfId="78" applyFont="1" applyBorder="1" applyAlignment="1">
      <alignment horizontal="center" wrapText="1"/>
    </xf>
    <xf numFmtId="0" fontId="36" fillId="0" borderId="11" xfId="78" applyFont="1" applyBorder="1" applyAlignment="1">
      <alignment horizontal="center"/>
    </xf>
    <xf numFmtId="0" fontId="36" fillId="0" borderId="0" xfId="78" applyFont="1" applyBorder="1" applyAlignment="1">
      <alignment horizontal="center"/>
    </xf>
    <xf numFmtId="0" fontId="36" fillId="0" borderId="12" xfId="78" applyFont="1" applyBorder="1" applyAlignment="1">
      <alignment horizontal="center"/>
    </xf>
  </cellXfs>
  <cellStyles count="10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vertissement" xfId="43" builtinId="11" customBuiltin="1"/>
    <cellStyle name="Bad" xfId="44"/>
    <cellStyle name="Bon" xfId="45"/>
    <cellStyle name="Calcul" xfId="46" builtinId="22" customBuiltin="1"/>
    <cellStyle name="Calculation" xfId="47"/>
    <cellStyle name="Cellule liée" xfId="48" builtinId="24" customBuiltin="1"/>
    <cellStyle name="Check Cell" xfId="49"/>
    <cellStyle name="Date" xfId="50"/>
    <cellStyle name="En-tête 1" xfId="51"/>
    <cellStyle name="En-tête 2" xfId="52"/>
    <cellStyle name="Entrée" xfId="53" builtinId="20" customBuiltin="1"/>
    <cellStyle name="Explanatory Text" xfId="54"/>
    <cellStyle name="Financier0" xfId="55"/>
    <cellStyle name="Good" xfId="56"/>
    <cellStyle name="Heading 1" xfId="57"/>
    <cellStyle name="Heading 2" xfId="58"/>
    <cellStyle name="Heading 3" xfId="59"/>
    <cellStyle name="Heading 4" xfId="60"/>
    <cellStyle name="Input" xfId="61"/>
    <cellStyle name="Insatisfaisant" xfId="62" builtinId="27" customBuiltin="1"/>
    <cellStyle name="Linked Cell" xfId="63"/>
    <cellStyle name="Monétaire0" xfId="64"/>
    <cellStyle name="Motif" xfId="65"/>
    <cellStyle name="Neutral" xfId="66"/>
    <cellStyle name="Neutre" xfId="67" builtinId="28" customBuiltin="1"/>
    <cellStyle name="Normal" xfId="0" builtinId="0"/>
    <cellStyle name="Normal 2" xfId="68"/>
    <cellStyle name="Normal 2 2" xfId="69"/>
    <cellStyle name="Normal 2 3" xfId="70"/>
    <cellStyle name="Normal 2_AccumulationEquation" xfId="71"/>
    <cellStyle name="Normal 3" xfId="72"/>
    <cellStyle name="Normal 4" xfId="73"/>
    <cellStyle name="Normal 6" xfId="74"/>
    <cellStyle name="Normal_DetailsForbes" xfId="75"/>
    <cellStyle name="Normal_France" xfId="76"/>
    <cellStyle name="Normal_MainTablesFigures" xfId="77"/>
    <cellStyle name="Normal_RatesofReturnsSovereignFunds&amp;USUniversities" xfId="78"/>
    <cellStyle name="Note" xfId="79"/>
    <cellStyle name="Output" xfId="80"/>
    <cellStyle name="Pourcentage 2" xfId="81"/>
    <cellStyle name="Pourcentage 3" xfId="82"/>
    <cellStyle name="Pourcentage 3 2" xfId="83"/>
    <cellStyle name="Pourcentage 4" xfId="84"/>
    <cellStyle name="Satisfaisant" xfId="85"/>
    <cellStyle name="Sortie" xfId="86" builtinId="21" customBuiltin="1"/>
    <cellStyle name="Standard 11" xfId="87"/>
    <cellStyle name="Standard_2 + 3" xfId="88"/>
    <cellStyle name="style_col_headings" xfId="89"/>
    <cellStyle name="Texte explicatif" xfId="90" builtinId="53" customBuiltin="1"/>
    <cellStyle name="Title" xfId="91"/>
    <cellStyle name="Titre 1" xfId="92"/>
    <cellStyle name="Titre 2" xfId="94"/>
    <cellStyle name="Titre 3" xfId="96"/>
    <cellStyle name="Titre 4" xfId="98"/>
    <cellStyle name="Titre 1" xfId="93"/>
    <cellStyle name="Titre 2" xfId="95"/>
    <cellStyle name="Titre 3" xfId="97"/>
    <cellStyle name="Titre 4" xfId="99"/>
    <cellStyle name="Total" xfId="100" builtinId="25" customBuiltin="1"/>
    <cellStyle name="Virgule fixe" xfId="101"/>
    <cellStyle name="Warning Text" xfId="10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4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12.1. The</a:t>
            </a:r>
            <a:r>
              <a:rPr lang="fr-FR" baseline="0"/>
              <a:t> world billionaires according to </a:t>
            </a:r>
            <a:r>
              <a:rPr lang="fr-FR"/>
              <a:t>Forbes, 1987-2013</a:t>
            </a:r>
          </a:p>
        </c:rich>
      </c:tx>
      <c:layout>
        <c:manualLayout>
          <c:xMode val="edge"/>
          <c:yMode val="edge"/>
          <c:x val="0.15151522784269505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718098415346118E-2"/>
          <c:y val="6.5128900949796495E-2"/>
          <c:w val="0.87322768974145093"/>
          <c:h val="0.79647218453188595"/>
        </c:manualLayout>
      </c:layout>
      <c:lineChart>
        <c:grouping val="standard"/>
        <c:ser>
          <c:idx val="1"/>
          <c:order val="0"/>
          <c:tx>
            <c:v>Total wealth of billionaires (billion of $) (left hand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'TS12.3'!$A$7:$A$33</c:f>
              <c:numCache>
                <c:formatCode>General</c:formatCode>
                <c:ptCount val="27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</c:numCache>
            </c:numRef>
          </c:cat>
          <c:val>
            <c:numRef>
              <c:f>'TS12.3'!$C$7:$C$33</c:f>
              <c:numCache>
                <c:formatCode>#,##0</c:formatCode>
                <c:ptCount val="27"/>
                <c:pt idx="0">
                  <c:v>295</c:v>
                </c:pt>
                <c:pt idx="1">
                  <c:v>338</c:v>
                </c:pt>
                <c:pt idx="2">
                  <c:v>459.9</c:v>
                </c:pt>
                <c:pt idx="3">
                  <c:v>570.20000000000005</c:v>
                </c:pt>
                <c:pt idx="4">
                  <c:v>592.4</c:v>
                </c:pt>
                <c:pt idx="5">
                  <c:v>600.5</c:v>
                </c:pt>
                <c:pt idx="6">
                  <c:v>398.6</c:v>
                </c:pt>
                <c:pt idx="7">
                  <c:v>765.4</c:v>
                </c:pt>
                <c:pt idx="8">
                  <c:v>885.1</c:v>
                </c:pt>
                <c:pt idx="9">
                  <c:v>1048.5</c:v>
                </c:pt>
                <c:pt idx="10">
                  <c:v>1205.287</c:v>
                </c:pt>
                <c:pt idx="11">
                  <c:v>1289.373</c:v>
                </c:pt>
                <c:pt idx="12">
                  <c:v>1351.46</c:v>
                </c:pt>
                <c:pt idx="13">
                  <c:v>1473.28</c:v>
                </c:pt>
                <c:pt idx="14">
                  <c:v>1728.6</c:v>
                </c:pt>
                <c:pt idx="15">
                  <c:v>1544.2</c:v>
                </c:pt>
                <c:pt idx="16">
                  <c:v>1403.3</c:v>
                </c:pt>
                <c:pt idx="17">
                  <c:v>1917.2</c:v>
                </c:pt>
                <c:pt idx="18">
                  <c:v>2236.1999999999998</c:v>
                </c:pt>
                <c:pt idx="19">
                  <c:v>2645.5</c:v>
                </c:pt>
                <c:pt idx="20">
                  <c:v>3452</c:v>
                </c:pt>
                <c:pt idx="21">
                  <c:v>4381</c:v>
                </c:pt>
                <c:pt idx="22">
                  <c:v>2414.6999999999998</c:v>
                </c:pt>
                <c:pt idx="23">
                  <c:v>3567.8</c:v>
                </c:pt>
                <c:pt idx="24">
                  <c:v>4500</c:v>
                </c:pt>
                <c:pt idx="25">
                  <c:v>4600</c:v>
                </c:pt>
                <c:pt idx="26">
                  <c:v>5400</c:v>
                </c:pt>
              </c:numCache>
            </c:numRef>
          </c:val>
        </c:ser>
        <c:dLbls/>
        <c:marker val="1"/>
        <c:axId val="35576448"/>
        <c:axId val="35669504"/>
      </c:lineChart>
      <c:lineChart>
        <c:grouping val="standard"/>
        <c:ser>
          <c:idx val="0"/>
          <c:order val="1"/>
          <c:tx>
            <c:v>Number of $ billionaires in the world (right hand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'TS12.3'!$B$7:$B$33</c:f>
              <c:numCache>
                <c:formatCode>#,##0</c:formatCode>
                <c:ptCount val="27"/>
                <c:pt idx="0">
                  <c:v>140</c:v>
                </c:pt>
                <c:pt idx="1">
                  <c:v>191</c:v>
                </c:pt>
                <c:pt idx="2">
                  <c:v>220</c:v>
                </c:pt>
                <c:pt idx="3">
                  <c:v>265</c:v>
                </c:pt>
                <c:pt idx="4">
                  <c:v>260</c:v>
                </c:pt>
                <c:pt idx="5">
                  <c:v>275</c:v>
                </c:pt>
                <c:pt idx="6">
                  <c:v>192</c:v>
                </c:pt>
                <c:pt idx="7">
                  <c:v>342</c:v>
                </c:pt>
                <c:pt idx="8">
                  <c:v>366</c:v>
                </c:pt>
                <c:pt idx="9">
                  <c:v>422</c:v>
                </c:pt>
                <c:pt idx="10">
                  <c:v>323</c:v>
                </c:pt>
                <c:pt idx="11">
                  <c:v>308</c:v>
                </c:pt>
                <c:pt idx="12">
                  <c:v>336</c:v>
                </c:pt>
                <c:pt idx="13">
                  <c:v>360</c:v>
                </c:pt>
                <c:pt idx="14">
                  <c:v>538</c:v>
                </c:pt>
                <c:pt idx="15">
                  <c:v>497</c:v>
                </c:pt>
                <c:pt idx="16">
                  <c:v>476</c:v>
                </c:pt>
                <c:pt idx="17">
                  <c:v>587</c:v>
                </c:pt>
                <c:pt idx="18">
                  <c:v>691</c:v>
                </c:pt>
                <c:pt idx="19">
                  <c:v>793</c:v>
                </c:pt>
                <c:pt idx="20">
                  <c:v>946</c:v>
                </c:pt>
                <c:pt idx="21">
                  <c:v>1125</c:v>
                </c:pt>
                <c:pt idx="22">
                  <c:v>793</c:v>
                </c:pt>
                <c:pt idx="23">
                  <c:v>1011</c:v>
                </c:pt>
                <c:pt idx="24">
                  <c:v>1206</c:v>
                </c:pt>
                <c:pt idx="25">
                  <c:v>1226</c:v>
                </c:pt>
                <c:pt idx="26">
                  <c:v>1426</c:v>
                </c:pt>
              </c:numCache>
            </c:numRef>
          </c:val>
        </c:ser>
        <c:dLbls/>
        <c:marker val="1"/>
        <c:axId val="35671040"/>
        <c:axId val="35906688"/>
      </c:lineChart>
      <c:catAx>
        <c:axId val="35576448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 sz="1100">
                    <a:latin typeface="Arial"/>
                    <a:cs typeface="Arial"/>
                  </a:rPr>
                  <a:t>Between 1987 and 2013, the number of $ billionaires rose according to Forbes from 140 to 1400, and their total wealth rose from 300 to 5 400 billion dollars.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3594657934795701"/>
              <c:y val="0.921302582109668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5669504"/>
        <c:crosses val="autoZero"/>
        <c:lblAlgn val="ctr"/>
        <c:lblOffset val="100"/>
        <c:tickLblSkip val="3"/>
        <c:tickMarkSkip val="3"/>
      </c:catAx>
      <c:valAx>
        <c:axId val="35669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5576448"/>
        <c:crosses val="autoZero"/>
        <c:crossBetween val="midCat"/>
      </c:valAx>
      <c:catAx>
        <c:axId val="35671040"/>
        <c:scaling>
          <c:orientation val="minMax"/>
        </c:scaling>
        <c:delete val="1"/>
        <c:axPos val="b"/>
        <c:tickLblPos val="none"/>
        <c:crossAx val="35906688"/>
        <c:crosses val="autoZero"/>
        <c:lblAlgn val="ctr"/>
        <c:lblOffset val="100"/>
      </c:catAx>
      <c:valAx>
        <c:axId val="35906688"/>
        <c:scaling>
          <c:orientation val="minMax"/>
          <c:max val="2400"/>
          <c:min val="0"/>
        </c:scaling>
        <c:axPos val="r"/>
        <c:numFmt formatCode="#,##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5671040"/>
        <c:crosses val="max"/>
        <c:crossBetween val="midCat"/>
        <c:majorUnit val="400"/>
        <c:min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88887672073"/>
          <c:y val="0.22573366673760401"/>
          <c:w val="0.49305553426127702"/>
          <c:h val="0.24830690927147603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12.2. Billionaires</a:t>
            </a:r>
            <a:r>
              <a:rPr lang="fr-FR" baseline="0"/>
              <a:t> as a fraction of global population and wealth</a:t>
            </a:r>
            <a:r>
              <a:rPr lang="fr-FR"/>
              <a:t> 1987-2013</a:t>
            </a:r>
          </a:p>
        </c:rich>
      </c:tx>
      <c:layout>
        <c:manualLayout>
          <c:xMode val="edge"/>
          <c:yMode val="edge"/>
          <c:x val="0.129830363694107"/>
          <c:y val="2.2614208696885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8381984987489588E-2"/>
          <c:y val="9.4979647218453214E-2"/>
          <c:w val="0.89991659716430394"/>
          <c:h val="0.76662143826322926"/>
        </c:manualLayout>
      </c:layout>
      <c:lineChart>
        <c:grouping val="standard"/>
        <c:ser>
          <c:idx val="1"/>
          <c:order val="0"/>
          <c:tx>
            <c:v>Total wealth of billionaires as a fraction of aggregate private wealth (left-hand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'TS12.3'!$A$7:$A$33</c:f>
              <c:numCache>
                <c:formatCode>General</c:formatCode>
                <c:ptCount val="27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</c:numCache>
            </c:numRef>
          </c:cat>
          <c:val>
            <c:numRef>
              <c:f>'TS12.3'!$D$7:$D$33</c:f>
              <c:numCache>
                <c:formatCode>0.0%</c:formatCode>
                <c:ptCount val="27"/>
                <c:pt idx="0">
                  <c:v>3.9700374265286588E-3</c:v>
                </c:pt>
                <c:pt idx="1">
                  <c:v>4.2627554322765427E-3</c:v>
                </c:pt>
                <c:pt idx="2">
                  <c:v>5.4371819331399179E-3</c:v>
                </c:pt>
                <c:pt idx="3">
                  <c:v>6.3212846491524591E-3</c:v>
                </c:pt>
                <c:pt idx="4">
                  <c:v>6.2035692638947497E-3</c:v>
                </c:pt>
                <c:pt idx="5">
                  <c:v>5.9876947455927195E-3</c:v>
                </c:pt>
                <c:pt idx="6">
                  <c:v>3.7862858171352634E-3</c:v>
                </c:pt>
                <c:pt idx="7">
                  <c:v>6.8446750854462522E-3</c:v>
                </c:pt>
                <c:pt idx="8">
                  <c:v>7.4360518164527361E-3</c:v>
                </c:pt>
                <c:pt idx="9">
                  <c:v>8.2696397661613207E-3</c:v>
                </c:pt>
                <c:pt idx="10">
                  <c:v>8.8888747155556943E-3</c:v>
                </c:pt>
                <c:pt idx="11">
                  <c:v>9.0457001263965931E-3</c:v>
                </c:pt>
                <c:pt idx="12">
                  <c:v>8.9588609309313588E-3</c:v>
                </c:pt>
                <c:pt idx="13">
                  <c:v>9.0249645082304177E-3</c:v>
                </c:pt>
                <c:pt idx="14">
                  <c:v>9.9513482195507878E-3</c:v>
                </c:pt>
                <c:pt idx="15">
                  <c:v>8.3628108452188966E-3</c:v>
                </c:pt>
                <c:pt idx="16">
                  <c:v>7.0858789280876262E-3</c:v>
                </c:pt>
                <c:pt idx="17">
                  <c:v>8.8506627370111834E-3</c:v>
                </c:pt>
                <c:pt idx="18">
                  <c:v>9.4311625318475173E-3</c:v>
                </c:pt>
                <c:pt idx="19">
                  <c:v>1.0047595071696105E-2</c:v>
                </c:pt>
                <c:pt idx="20">
                  <c:v>1.1936232059383448E-2</c:v>
                </c:pt>
                <c:pt idx="21">
                  <c:v>1.4121075657490762E-2</c:v>
                </c:pt>
                <c:pt idx="22">
                  <c:v>8.6559699917044281E-3</c:v>
                </c:pt>
                <c:pt idx="23">
                  <c:v>1.1791126958968902E-2</c:v>
                </c:pt>
                <c:pt idx="24">
                  <c:v>1.394091455504011E-2</c:v>
                </c:pt>
                <c:pt idx="25">
                  <c:v>1.3525831592523499E-2</c:v>
                </c:pt>
                <c:pt idx="26">
                  <c:v>1.5070615279271083E-2</c:v>
                </c:pt>
              </c:numCache>
            </c:numRef>
          </c:val>
        </c:ser>
        <c:dLbls/>
        <c:marker val="1"/>
        <c:axId val="36220288"/>
        <c:axId val="36582528"/>
      </c:lineChart>
      <c:lineChart>
        <c:grouping val="standard"/>
        <c:ser>
          <c:idx val="0"/>
          <c:order val="1"/>
          <c:tx>
            <c:v>Number of billionaires per 100 million adults (right hand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'TS12.3'!$E$7:$E$33</c:f>
              <c:numCache>
                <c:formatCode>#,##0.0</c:formatCode>
                <c:ptCount val="27"/>
                <c:pt idx="0">
                  <c:v>4.9108827556771129</c:v>
                </c:pt>
                <c:pt idx="1">
                  <c:v>6.5488315846152965</c:v>
                </c:pt>
                <c:pt idx="2">
                  <c:v>7.3749733261613812</c:v>
                </c:pt>
                <c:pt idx="3">
                  <c:v>8.6888540259277249</c:v>
                </c:pt>
                <c:pt idx="4">
                  <c:v>8.341405242140798</c:v>
                </c:pt>
                <c:pt idx="5">
                  <c:v>8.6360434672631072</c:v>
                </c:pt>
                <c:pt idx="6">
                  <c:v>5.9049358000551937</c:v>
                </c:pt>
                <c:pt idx="7">
                  <c:v>10.307220057861448</c:v>
                </c:pt>
                <c:pt idx="8">
                  <c:v>10.816638833706353</c:v>
                </c:pt>
                <c:pt idx="9">
                  <c:v>12.238496215501863</c:v>
                </c:pt>
                <c:pt idx="10">
                  <c:v>9.1978976411516449</c:v>
                </c:pt>
                <c:pt idx="11">
                  <c:v>8.6153447959007519</c:v>
                </c:pt>
                <c:pt idx="12">
                  <c:v>9.2328105263873841</c:v>
                </c:pt>
                <c:pt idx="13">
                  <c:v>9.7166758326948823</c:v>
                </c:pt>
                <c:pt idx="14">
                  <c:v>14.261182722374208</c:v>
                </c:pt>
                <c:pt idx="15">
                  <c:v>12.937480682023406</c:v>
                </c:pt>
                <c:pt idx="16">
                  <c:v>12.166855696778153</c:v>
                </c:pt>
                <c:pt idx="17">
                  <c:v>14.731586114410105</c:v>
                </c:pt>
                <c:pt idx="18">
                  <c:v>17.02566948583328</c:v>
                </c:pt>
                <c:pt idx="19">
                  <c:v>19.18155155098426</c:v>
                </c:pt>
                <c:pt idx="20">
                  <c:v>22.4636702522956</c:v>
                </c:pt>
                <c:pt idx="21">
                  <c:v>26.22971643025322</c:v>
                </c:pt>
                <c:pt idx="22">
                  <c:v>18.160781575814209</c:v>
                </c:pt>
                <c:pt idx="23">
                  <c:v>22.754535585786137</c:v>
                </c:pt>
                <c:pt idx="24">
                  <c:v>26.68032254982975</c:v>
                </c:pt>
                <c:pt idx="25">
                  <c:v>26.66452970083612</c:v>
                </c:pt>
                <c:pt idx="26">
                  <c:v>30.496108088127734</c:v>
                </c:pt>
              </c:numCache>
            </c:numRef>
          </c:val>
        </c:ser>
        <c:dLbls/>
        <c:marker val="1"/>
        <c:axId val="36584064"/>
        <c:axId val="37315328"/>
      </c:lineChart>
      <c:catAx>
        <c:axId val="36220288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 sz="1100">
                    <a:latin typeface="Arial"/>
                    <a:cs typeface="Arial"/>
                  </a:rPr>
                  <a:t>Between 1987 and 2013, the number of billionaires per 100 million adults rose from 5 to 30, and their share in aggregate private wealth rose from 0.4% to 1.5%.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4456495789208504"/>
              <c:y val="0.919945733134709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6582528"/>
        <c:crosses val="autoZero"/>
        <c:lblAlgn val="ctr"/>
        <c:lblOffset val="100"/>
        <c:tickLblSkip val="3"/>
        <c:tickMarkSkip val="3"/>
      </c:catAx>
      <c:valAx>
        <c:axId val="3658252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6220288"/>
        <c:crosses val="autoZero"/>
        <c:crossBetween val="midCat"/>
      </c:valAx>
      <c:catAx>
        <c:axId val="36584064"/>
        <c:scaling>
          <c:orientation val="minMax"/>
        </c:scaling>
        <c:delete val="1"/>
        <c:axPos val="b"/>
        <c:tickLblPos val="none"/>
        <c:crossAx val="37315328"/>
        <c:crosses val="autoZero"/>
        <c:lblAlgn val="ctr"/>
        <c:lblOffset val="100"/>
      </c:catAx>
      <c:valAx>
        <c:axId val="37315328"/>
        <c:scaling>
          <c:orientation val="minMax"/>
          <c:max val="40"/>
          <c:min val="0"/>
        </c:scaling>
        <c:axPos val="r"/>
        <c:numFmt formatCode="#,##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6584064"/>
        <c:crosses val="max"/>
        <c:crossBetween val="midCat"/>
        <c:majorUnit val="5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1666684918905339E-2"/>
          <c:y val="0.11963875292615403"/>
          <c:w val="0.44722219180182404"/>
          <c:h val="0.36794566219763108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12.3. The</a:t>
            </a:r>
            <a:r>
              <a:rPr lang="fr-FR" baseline="0"/>
              <a:t> share of top wealth fractiles in world wealth</a:t>
            </a:r>
            <a:r>
              <a:rPr lang="fr-FR"/>
              <a:t>, 1987-2013</a:t>
            </a:r>
          </a:p>
        </c:rich>
      </c:tx>
      <c:layout>
        <c:manualLayout>
          <c:xMode val="edge"/>
          <c:yMode val="edge"/>
          <c:x val="0.15068110236220503"/>
          <c:y val="2.03527346243882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398665554628807E-2"/>
          <c:y val="9.4979647218453214E-2"/>
          <c:w val="0.88824020016680605"/>
          <c:h val="0.76662143826322926"/>
        </c:manualLayout>
      </c:layout>
      <c:lineChart>
        <c:grouping val="standard"/>
        <c:ser>
          <c:idx val="1"/>
          <c:order val="0"/>
          <c:tx>
            <c:v>Wealth share of the 1/20 million fractile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'TS12.3'!$A$7:$A$33</c:f>
              <c:numCache>
                <c:formatCode>General</c:formatCode>
                <c:ptCount val="27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</c:numCache>
            </c:numRef>
          </c:cat>
          <c:val>
            <c:numRef>
              <c:f>'TS12.3'!$F$7:$F$33</c:f>
              <c:numCache>
                <c:formatCode>0.0%</c:formatCode>
                <c:ptCount val="27"/>
                <c:pt idx="0">
                  <c:v>3.0526082613882878E-3</c:v>
                </c:pt>
                <c:pt idx="1">
                  <c:v>3.782154026507042E-3</c:v>
                </c:pt>
                <c:pt idx="2">
                  <c:v>4.5691895758102506E-3</c:v>
                </c:pt>
                <c:pt idx="3">
                  <c:v>4.8737173223599266E-3</c:v>
                </c:pt>
                <c:pt idx="4">
                  <c:v>4.889842258308727E-3</c:v>
                </c:pt>
                <c:pt idx="5">
                  <c:v>4.6429103972274212E-3</c:v>
                </c:pt>
                <c:pt idx="6">
                  <c:v>3.5016809691598154E-3</c:v>
                </c:pt>
                <c:pt idx="7">
                  <c:v>4.8699852437561805E-3</c:v>
                </c:pt>
                <c:pt idx="8">
                  <c:v>5.1564816996095544E-3</c:v>
                </c:pt>
                <c:pt idx="9">
                  <c:v>5.4731637134954663E-3</c:v>
                </c:pt>
                <c:pt idx="10">
                  <c:v>6.9108574752234928E-3</c:v>
                </c:pt>
                <c:pt idx="11">
                  <c:v>7.1375237972139335E-3</c:v>
                </c:pt>
                <c:pt idx="12">
                  <c:v>7.2412707691842148E-3</c:v>
                </c:pt>
                <c:pt idx="13">
                  <c:v>7.228910377079352E-3</c:v>
                </c:pt>
                <c:pt idx="14">
                  <c:v>6.901982388990543E-3</c:v>
                </c:pt>
                <c:pt idx="15">
                  <c:v>6.01323275655E-3</c:v>
                </c:pt>
                <c:pt idx="16">
                  <c:v>5.1493404193353144E-3</c:v>
                </c:pt>
                <c:pt idx="17">
                  <c:v>6.0060672697984235E-3</c:v>
                </c:pt>
                <c:pt idx="18">
                  <c:v>6.0305918848150893E-3</c:v>
                </c:pt>
                <c:pt idx="19">
                  <c:v>6.1114860818376505E-3</c:v>
                </c:pt>
                <c:pt idx="20">
                  <c:v>6.9501959341642522E-3</c:v>
                </c:pt>
                <c:pt idx="21">
                  <c:v>7.920737660778155E-3</c:v>
                </c:pt>
                <c:pt idx="22">
                  <c:v>5.3499447098478061E-3</c:v>
                </c:pt>
                <c:pt idx="23">
                  <c:v>6.8385422664092041E-3</c:v>
                </c:pt>
                <c:pt idx="24">
                  <c:v>8.0519826134762707E-3</c:v>
                </c:pt>
                <c:pt idx="25">
                  <c:v>8.2604536063399965E-3</c:v>
                </c:pt>
                <c:pt idx="26">
                  <c:v>9.1611383734533265E-3</c:v>
                </c:pt>
              </c:numCache>
            </c:numRef>
          </c:val>
        </c:ser>
        <c:ser>
          <c:idx val="0"/>
          <c:order val="1"/>
          <c:tx>
            <c:v>Wealth share of the 1/100 million fractile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'TS12.3'!$G$7:$G$33</c:f>
              <c:numCache>
                <c:formatCode>0.0%</c:formatCode>
                <c:ptCount val="27"/>
                <c:pt idx="0">
                  <c:v>1.2904083329562733E-3</c:v>
                </c:pt>
                <c:pt idx="1">
                  <c:v>1.5988042534187499E-3</c:v>
                </c:pt>
                <c:pt idx="2">
                  <c:v>1.9315024394256886E-3</c:v>
                </c:pt>
                <c:pt idx="3">
                  <c:v>2.0602333829714495E-3</c:v>
                </c:pt>
                <c:pt idx="4">
                  <c:v>1.9426537322513849E-3</c:v>
                </c:pt>
                <c:pt idx="5">
                  <c:v>1.7616971825977702E-3</c:v>
                </c:pt>
                <c:pt idx="6">
                  <c:v>1.3821500329210708E-3</c:v>
                </c:pt>
                <c:pt idx="7">
                  <c:v>1.8180933057407342E-3</c:v>
                </c:pt>
                <c:pt idx="8">
                  <c:v>1.8960287910500713E-3</c:v>
                </c:pt>
                <c:pt idx="9">
                  <c:v>2.1188761127282855E-3</c:v>
                </c:pt>
                <c:pt idx="10">
                  <c:v>3.3697314591547064E-3</c:v>
                </c:pt>
                <c:pt idx="11">
                  <c:v>3.5836900004974715E-3</c:v>
                </c:pt>
                <c:pt idx="12">
                  <c:v>3.4531276147196531E-3</c:v>
                </c:pt>
                <c:pt idx="13">
                  <c:v>3.3957780027383962E-3</c:v>
                </c:pt>
                <c:pt idx="14">
                  <c:v>3.4454873823627085E-3</c:v>
                </c:pt>
                <c:pt idx="15">
                  <c:v>3.0587953984154846E-3</c:v>
                </c:pt>
                <c:pt idx="16">
                  <c:v>2.5017627918206484E-3</c:v>
                </c:pt>
                <c:pt idx="17">
                  <c:v>2.8384716569276095E-3</c:v>
                </c:pt>
                <c:pt idx="18">
                  <c:v>2.7977787043963922E-3</c:v>
                </c:pt>
                <c:pt idx="19">
                  <c:v>2.6849729996777931E-3</c:v>
                </c:pt>
                <c:pt idx="20">
                  <c:v>3.0229028850954406E-3</c:v>
                </c:pt>
                <c:pt idx="21">
                  <c:v>3.5058593007912956E-3</c:v>
                </c:pt>
                <c:pt idx="22">
                  <c:v>2.4330963565055981E-3</c:v>
                </c:pt>
                <c:pt idx="23">
                  <c:v>3.0689109023488191E-3</c:v>
                </c:pt>
                <c:pt idx="24">
                  <c:v>3.6184909692561196E-3</c:v>
                </c:pt>
                <c:pt idx="25">
                  <c:v>3.7313996650570197E-3</c:v>
                </c:pt>
                <c:pt idx="26">
                  <c:v>4.2203876780267892E-3</c:v>
                </c:pt>
              </c:numCache>
            </c:numRef>
          </c:val>
        </c:ser>
        <c:dLbls/>
        <c:marker val="1"/>
        <c:axId val="58680448"/>
        <c:axId val="58682368"/>
      </c:lineChart>
      <c:catAx>
        <c:axId val="58680448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Between 1987 and 2013, the share of the top 1/20 million fractile rose from 0.3% to 0.9% of world wealth, and the share of the top 1/100 million fractile rose from 0.1% to 0.4%. 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Sources and series: see piketty.pse.ens.fr/capital21c.  </a:t>
                </a:r>
              </a:p>
            </c:rich>
          </c:tx>
          <c:layout>
            <c:manualLayout>
              <c:xMode val="edge"/>
              <c:yMode val="edge"/>
              <c:x val="0.125938320209974"/>
              <c:y val="0.926729978009505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682368"/>
        <c:crosses val="autoZero"/>
        <c:lblAlgn val="ctr"/>
        <c:lblOffset val="100"/>
        <c:tickLblSkip val="3"/>
        <c:tickMarkSkip val="3"/>
      </c:catAx>
      <c:valAx>
        <c:axId val="5868236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Share in world private wealth</a:t>
                </a:r>
              </a:p>
            </c:rich>
          </c:tx>
          <c:layout>
            <c:manualLayout>
              <c:xMode val="edge"/>
              <c:yMode val="edge"/>
              <c:x val="0"/>
              <c:y val="0.28674806696460209"/>
            </c:manualLayout>
          </c:layout>
          <c:spPr>
            <a:noFill/>
            <a:ln w="25400">
              <a:noFill/>
            </a:ln>
          </c:spPr>
        </c:title>
        <c:numFmt formatCode="0.0%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680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1944444444444417E-2"/>
          <c:y val="0.11282099028162001"/>
          <c:w val="0.44305555555555598"/>
          <c:h val="0.302437220685252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12.4. The</a:t>
            </a:r>
            <a:r>
              <a:rPr lang="fr-FR" baseline="0"/>
              <a:t> world capital/income ratio</a:t>
            </a:r>
            <a:r>
              <a:rPr lang="fr-FR"/>
              <a:t>, 1870-2100</a:t>
            </a:r>
          </a:p>
        </c:rich>
      </c:tx>
      <c:layout>
        <c:manualLayout>
          <c:xMode val="edge"/>
          <c:yMode val="edge"/>
          <c:x val="0.202814553353245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820568476125905"/>
          <c:y val="6.5217391304347769E-2"/>
          <c:w val="0.86203090507726188"/>
          <c:h val="0.79076086956521696"/>
        </c:manualLayout>
      </c:layout>
      <c:scatterChart>
        <c:scatterStyle val="lineMarker"/>
        <c:ser>
          <c:idx val="0"/>
          <c:order val="0"/>
          <c:tx>
            <c:v>Scénario central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'TS12.4'!$A$8:$A$31</c:f>
              <c:numCache>
                <c:formatCode>General</c:formatCode>
                <c:ptCount val="2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  <c:pt idx="15">
                  <c:v>2020</c:v>
                </c:pt>
                <c:pt idx="16">
                  <c:v>2030</c:v>
                </c:pt>
                <c:pt idx="17">
                  <c:v>2040</c:v>
                </c:pt>
                <c:pt idx="18">
                  <c:v>2050</c:v>
                </c:pt>
                <c:pt idx="19">
                  <c:v>2060</c:v>
                </c:pt>
                <c:pt idx="20">
                  <c:v>2070</c:v>
                </c:pt>
                <c:pt idx="21">
                  <c:v>2080</c:v>
                </c:pt>
                <c:pt idx="22">
                  <c:v>2090</c:v>
                </c:pt>
                <c:pt idx="23">
                  <c:v>2100</c:v>
                </c:pt>
              </c:numCache>
            </c:numRef>
          </c:xVal>
          <c:yVal>
            <c:numRef>
              <c:f>'TS12.4'!$B$8:$B$31</c:f>
              <c:numCache>
                <c:formatCode>0%</c:formatCode>
                <c:ptCount val="24"/>
                <c:pt idx="0">
                  <c:v>4.4695293333891382</c:v>
                </c:pt>
                <c:pt idx="1">
                  <c:v>4.6449412278256448</c:v>
                </c:pt>
                <c:pt idx="2">
                  <c:v>4.7346276188001859</c:v>
                </c:pt>
                <c:pt idx="3">
                  <c:v>4.8877881889200472</c:v>
                </c:pt>
                <c:pt idx="4">
                  <c:v>5.0191970518583506</c:v>
                </c:pt>
                <c:pt idx="5">
                  <c:v>3.5763476995524139</c:v>
                </c:pt>
                <c:pt idx="6">
                  <c:v>3.6115868198132768</c:v>
                </c:pt>
                <c:pt idx="7">
                  <c:v>3.0097212643966422</c:v>
                </c:pt>
                <c:pt idx="8">
                  <c:v>2.6123202774644358</c:v>
                </c:pt>
                <c:pt idx="9">
                  <c:v>2.7540073873501356</c:v>
                </c:pt>
                <c:pt idx="10">
                  <c:v>3.0320237002705408</c:v>
                </c:pt>
                <c:pt idx="11">
                  <c:v>3.4014022093200929</c:v>
                </c:pt>
                <c:pt idx="12">
                  <c:v>3.934174381055243</c:v>
                </c:pt>
                <c:pt idx="13">
                  <c:v>4.269879558546112</c:v>
                </c:pt>
                <c:pt idx="14">
                  <c:v>4.398796337405904</c:v>
                </c:pt>
                <c:pt idx="15">
                  <c:v>4.4962588514181228</c:v>
                </c:pt>
                <c:pt idx="16">
                  <c:v>5.0187134483966771</c:v>
                </c:pt>
                <c:pt idx="17">
                  <c:v>5.1330976368792971</c:v>
                </c:pt>
                <c:pt idx="18">
                  <c:v>5.5712672108199266</c:v>
                </c:pt>
                <c:pt idx="19">
                  <c:v>6.0456084998934472</c:v>
                </c:pt>
                <c:pt idx="20">
                  <c:v>6.1419796480526152</c:v>
                </c:pt>
                <c:pt idx="21">
                  <c:v>6.2667112552780715</c:v>
                </c:pt>
                <c:pt idx="22">
                  <c:v>6.4315976047035903</c:v>
                </c:pt>
                <c:pt idx="23">
                  <c:v>6.6701131122732651</c:v>
                </c:pt>
              </c:numCache>
            </c:numRef>
          </c:yVal>
        </c:ser>
        <c:dLbls/>
        <c:axId val="81773696"/>
        <c:axId val="81776000"/>
      </c:scatterChart>
      <c:valAx>
        <c:axId val="81773696"/>
        <c:scaling>
          <c:orientation val="minMax"/>
          <c:max val="2100"/>
          <c:min val="1870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latin typeface="Arial"/>
                    <a:ea typeface="Calibri"/>
                    <a:cs typeface="Arial"/>
                  </a:rPr>
                  <a:t>According to the simulations (central scenario), the world capital/income ratio might be near to 700% by the end of the 21st century. 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 Narrow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245028509367401"/>
              <c:y val="0.925271689011846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1776000"/>
        <c:crosses val="autoZero"/>
        <c:crossBetween val="midCat"/>
        <c:majorUnit val="20"/>
      </c:valAx>
      <c:valAx>
        <c:axId val="81776000"/>
        <c:scaling>
          <c:orientation val="minMax"/>
          <c:max val="8"/>
          <c:min val="1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private capital (% world income)</a:t>
                </a:r>
              </a:p>
            </c:rich>
          </c:tx>
          <c:layout>
            <c:manualLayout>
              <c:xMode val="edge"/>
              <c:yMode val="edge"/>
              <c:x val="0"/>
              <c:y val="0.19565208909697102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1773696"/>
        <c:crossesAt val="181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12.5. The distribution of world capital 1870-2100 </a:t>
            </a:r>
          </a:p>
        </c:rich>
      </c:tx>
      <c:layout>
        <c:manualLayout>
          <c:xMode val="edge"/>
          <c:yMode val="edge"/>
          <c:x val="0.160826595106105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27403414196"/>
          <c:y val="7.3270013568521017E-2"/>
          <c:w val="0.86343216531895683"/>
          <c:h val="0.7706919945725923"/>
        </c:manualLayout>
      </c:layout>
      <c:areaChart>
        <c:grouping val="stacked"/>
        <c:ser>
          <c:idx val="1"/>
          <c:order val="0"/>
          <c:tx>
            <c:v>Europe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'TS12.4'!$A$81:$A$104</c:f>
              <c:numCache>
                <c:formatCode>General</c:formatCode>
                <c:ptCount val="2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  <c:pt idx="15">
                  <c:v>2020</c:v>
                </c:pt>
                <c:pt idx="16">
                  <c:v>2030</c:v>
                </c:pt>
                <c:pt idx="17">
                  <c:v>2040</c:v>
                </c:pt>
                <c:pt idx="18">
                  <c:v>2050</c:v>
                </c:pt>
                <c:pt idx="19">
                  <c:v>2060</c:v>
                </c:pt>
                <c:pt idx="20">
                  <c:v>2070</c:v>
                </c:pt>
                <c:pt idx="21">
                  <c:v>2080</c:v>
                </c:pt>
                <c:pt idx="22">
                  <c:v>2090</c:v>
                </c:pt>
                <c:pt idx="23">
                  <c:v>2100</c:v>
                </c:pt>
              </c:numCache>
            </c:numRef>
          </c:cat>
          <c:val>
            <c:numRef>
              <c:f>'TS12.4'!$C$81:$C$104</c:f>
              <c:numCache>
                <c:formatCode>0%</c:formatCode>
                <c:ptCount val="24"/>
                <c:pt idx="0">
                  <c:v>2.6651538344282288</c:v>
                </c:pt>
                <c:pt idx="1">
                  <c:v>2.6881177887484622</c:v>
                </c:pt>
                <c:pt idx="2">
                  <c:v>2.6203684153207476</c:v>
                </c:pt>
                <c:pt idx="3">
                  <c:v>2.718312118073074</c:v>
                </c:pt>
                <c:pt idx="4">
                  <c:v>2.7650927017152087</c:v>
                </c:pt>
                <c:pt idx="5">
                  <c:v>1.2283014756963249</c:v>
                </c:pt>
                <c:pt idx="6">
                  <c:v>1.3597353649737083</c:v>
                </c:pt>
                <c:pt idx="7">
                  <c:v>1.1792841901979121</c:v>
                </c:pt>
                <c:pt idx="8">
                  <c:v>0.75514259717654952</c:v>
                </c:pt>
                <c:pt idx="9">
                  <c:v>0.85422857552356268</c:v>
                </c:pt>
                <c:pt idx="10">
                  <c:v>0.90706142714936</c:v>
                </c:pt>
                <c:pt idx="11">
                  <c:v>0.96898107273723444</c:v>
                </c:pt>
                <c:pt idx="12">
                  <c:v>1.1710215347155055</c:v>
                </c:pt>
                <c:pt idx="13">
                  <c:v>1.2831864367565644</c:v>
                </c:pt>
                <c:pt idx="14">
                  <c:v>1.2580028380377057</c:v>
                </c:pt>
                <c:pt idx="15">
                  <c:v>1.0729004659793642</c:v>
                </c:pt>
                <c:pt idx="16">
                  <c:v>0.99956196823695653</c:v>
                </c:pt>
                <c:pt idx="17">
                  <c:v>0.85418270594447487</c:v>
                </c:pt>
                <c:pt idx="18">
                  <c:v>0.79250140931573598</c:v>
                </c:pt>
                <c:pt idx="19">
                  <c:v>0.77791705068346706</c:v>
                </c:pt>
                <c:pt idx="20">
                  <c:v>0.7780236799639052</c:v>
                </c:pt>
                <c:pt idx="21">
                  <c:v>0.77729586734765477</c:v>
                </c:pt>
                <c:pt idx="22">
                  <c:v>0.78912393729610864</c:v>
                </c:pt>
                <c:pt idx="23">
                  <c:v>0.80888279679624098</c:v>
                </c:pt>
              </c:numCache>
            </c:numRef>
          </c:val>
        </c:ser>
        <c:ser>
          <c:idx val="0"/>
          <c:order val="1"/>
          <c:tx>
            <c:v>Amérique</c:v>
          </c:tx>
          <c:spPr>
            <a:solidFill>
              <a:srgbClr val="808080"/>
            </a:solidFill>
            <a:ln w="38100">
              <a:solidFill>
                <a:srgbClr val="000000"/>
              </a:solidFill>
              <a:prstDash val="solid"/>
            </a:ln>
          </c:spPr>
          <c:cat>
            <c:numRef>
              <c:f>'TS12.4'!$A$81:$A$104</c:f>
              <c:numCache>
                <c:formatCode>General</c:formatCode>
                <c:ptCount val="2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  <c:pt idx="15">
                  <c:v>2020</c:v>
                </c:pt>
                <c:pt idx="16">
                  <c:v>2030</c:v>
                </c:pt>
                <c:pt idx="17">
                  <c:v>2040</c:v>
                </c:pt>
                <c:pt idx="18">
                  <c:v>2050</c:v>
                </c:pt>
                <c:pt idx="19">
                  <c:v>2060</c:v>
                </c:pt>
                <c:pt idx="20">
                  <c:v>2070</c:v>
                </c:pt>
                <c:pt idx="21">
                  <c:v>2080</c:v>
                </c:pt>
                <c:pt idx="22">
                  <c:v>2090</c:v>
                </c:pt>
                <c:pt idx="23">
                  <c:v>2100</c:v>
                </c:pt>
              </c:numCache>
            </c:numRef>
          </c:cat>
          <c:val>
            <c:numRef>
              <c:f>'TS12.4'!$D$81:$D$104</c:f>
              <c:numCache>
                <c:formatCode>0%</c:formatCode>
                <c:ptCount val="24"/>
                <c:pt idx="0">
                  <c:v>0.48112567920886384</c:v>
                </c:pt>
                <c:pt idx="1">
                  <c:v>0.73927320033507515</c:v>
                </c:pt>
                <c:pt idx="2">
                  <c:v>0.80647771084259512</c:v>
                </c:pt>
                <c:pt idx="3">
                  <c:v>0.77146332431539444</c:v>
                </c:pt>
                <c:pt idx="4">
                  <c:v>1.0378556860722996</c:v>
                </c:pt>
                <c:pt idx="5">
                  <c:v>1.2206465634201258</c:v>
                </c:pt>
                <c:pt idx="6">
                  <c:v>1.3516805815652009</c:v>
                </c:pt>
                <c:pt idx="7">
                  <c:v>0.9703743291565321</c:v>
                </c:pt>
                <c:pt idx="8">
                  <c:v>1.247723937835385</c:v>
                </c:pt>
                <c:pt idx="9">
                  <c:v>1.1909625349601529</c:v>
                </c:pt>
                <c:pt idx="10">
                  <c:v>1.1284706713275503</c:v>
                </c:pt>
                <c:pt idx="11">
                  <c:v>1.205890004679719</c:v>
                </c:pt>
                <c:pt idx="12">
                  <c:v>1.3094718045116858</c:v>
                </c:pt>
                <c:pt idx="13">
                  <c:v>1.3458940635211118</c:v>
                </c:pt>
                <c:pt idx="14">
                  <c:v>1.1748859539655188</c:v>
                </c:pt>
                <c:pt idx="15">
                  <c:v>1.1297523576830009</c:v>
                </c:pt>
                <c:pt idx="16">
                  <c:v>1.1745005352840781</c:v>
                </c:pt>
                <c:pt idx="17">
                  <c:v>1.1115362165255138</c:v>
                </c:pt>
                <c:pt idx="18">
                  <c:v>1.1329519282609692</c:v>
                </c:pt>
                <c:pt idx="19">
                  <c:v>1.2129815550806999</c:v>
                </c:pt>
                <c:pt idx="20">
                  <c:v>1.2292776757329129</c:v>
                </c:pt>
                <c:pt idx="21">
                  <c:v>1.2507069753515814</c:v>
                </c:pt>
                <c:pt idx="22">
                  <c:v>1.2931804118013757</c:v>
                </c:pt>
                <c:pt idx="23">
                  <c:v>1.3498828339825253</c:v>
                </c:pt>
              </c:numCache>
            </c:numRef>
          </c:val>
        </c:ser>
        <c:ser>
          <c:idx val="3"/>
          <c:order val="2"/>
          <c:tx>
            <c:v>Afrique</c:v>
          </c:tx>
          <c:spPr>
            <a:solidFill>
              <a:srgbClr val="FFFFFF"/>
            </a:solidFill>
            <a:ln w="38100">
              <a:solidFill>
                <a:srgbClr val="000000"/>
              </a:solidFill>
              <a:prstDash val="solid"/>
            </a:ln>
          </c:spPr>
          <c:cat>
            <c:numRef>
              <c:f>'TS12.4'!$A$81:$A$104</c:f>
              <c:numCache>
                <c:formatCode>General</c:formatCode>
                <c:ptCount val="2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  <c:pt idx="15">
                  <c:v>2020</c:v>
                </c:pt>
                <c:pt idx="16">
                  <c:v>2030</c:v>
                </c:pt>
                <c:pt idx="17">
                  <c:v>2040</c:v>
                </c:pt>
                <c:pt idx="18">
                  <c:v>2050</c:v>
                </c:pt>
                <c:pt idx="19">
                  <c:v>2060</c:v>
                </c:pt>
                <c:pt idx="20">
                  <c:v>2070</c:v>
                </c:pt>
                <c:pt idx="21">
                  <c:v>2080</c:v>
                </c:pt>
                <c:pt idx="22">
                  <c:v>2090</c:v>
                </c:pt>
                <c:pt idx="23">
                  <c:v>2100</c:v>
                </c:pt>
              </c:numCache>
            </c:numRef>
          </c:cat>
          <c:val>
            <c:numRef>
              <c:f>'TS12.4'!$E$81:$E$104</c:f>
              <c:numCache>
                <c:formatCode>0%</c:formatCode>
                <c:ptCount val="24"/>
                <c:pt idx="0">
                  <c:v>9.1190097703589046E-2</c:v>
                </c:pt>
                <c:pt idx="1">
                  <c:v>9.4450843692964803E-2</c:v>
                </c:pt>
                <c:pt idx="2">
                  <c:v>0.10990581133253788</c:v>
                </c:pt>
                <c:pt idx="3">
                  <c:v>0.12536077897211093</c:v>
                </c:pt>
                <c:pt idx="4">
                  <c:v>0.11726266682650428</c:v>
                </c:pt>
                <c:pt idx="5">
                  <c:v>0.13578674699833196</c:v>
                </c:pt>
                <c:pt idx="6">
                  <c:v>0.10184006024874898</c:v>
                </c:pt>
                <c:pt idx="7">
                  <c:v>0.10184006024874898</c:v>
                </c:pt>
                <c:pt idx="8">
                  <c:v>0.11573312037761971</c:v>
                </c:pt>
                <c:pt idx="9">
                  <c:v>0.11269686660381825</c:v>
                </c:pt>
                <c:pt idx="10">
                  <c:v>0.14621415044002237</c:v>
                </c:pt>
                <c:pt idx="11">
                  <c:v>0.14512869625320457</c:v>
                </c:pt>
                <c:pt idx="12">
                  <c:v>0.1440432420663868</c:v>
                </c:pt>
                <c:pt idx="13">
                  <c:v>0.15126146020606948</c:v>
                </c:pt>
                <c:pt idx="14">
                  <c:v>0.15847967834575219</c:v>
                </c:pt>
                <c:pt idx="15">
                  <c:v>0.19378165826321408</c:v>
                </c:pt>
                <c:pt idx="16">
                  <c:v>0.26320517675347332</c:v>
                </c:pt>
                <c:pt idx="17">
                  <c:v>0.3311030528119564</c:v>
                </c:pt>
                <c:pt idx="18">
                  <c:v>0.44503281946481432</c:v>
                </c:pt>
                <c:pt idx="19">
                  <c:v>0.59890466762397732</c:v>
                </c:pt>
                <c:pt idx="20">
                  <c:v>0.69680724196628019</c:v>
                </c:pt>
                <c:pt idx="21">
                  <c:v>0.80659527249342178</c:v>
                </c:pt>
                <c:pt idx="22">
                  <c:v>0.86975462931538206</c:v>
                </c:pt>
                <c:pt idx="23">
                  <c:v>0.95148870111109463</c:v>
                </c:pt>
              </c:numCache>
            </c:numRef>
          </c:val>
        </c:ser>
        <c:ser>
          <c:idx val="2"/>
          <c:order val="3"/>
          <c:tx>
            <c:v>Asie</c:v>
          </c:tx>
          <c:spPr>
            <a:solidFill>
              <a:srgbClr val="C0C0C0"/>
            </a:solidFill>
            <a:ln w="25400">
              <a:solidFill>
                <a:srgbClr val="000000"/>
              </a:solidFill>
              <a:prstDash val="solid"/>
            </a:ln>
          </c:spPr>
          <c:cat>
            <c:numRef>
              <c:f>'TS12.4'!$A$81:$A$104</c:f>
              <c:numCache>
                <c:formatCode>General</c:formatCode>
                <c:ptCount val="2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  <c:pt idx="15">
                  <c:v>2020</c:v>
                </c:pt>
                <c:pt idx="16">
                  <c:v>2030</c:v>
                </c:pt>
                <c:pt idx="17">
                  <c:v>2040</c:v>
                </c:pt>
                <c:pt idx="18">
                  <c:v>2050</c:v>
                </c:pt>
                <c:pt idx="19">
                  <c:v>2060</c:v>
                </c:pt>
                <c:pt idx="20">
                  <c:v>2070</c:v>
                </c:pt>
                <c:pt idx="21">
                  <c:v>2080</c:v>
                </c:pt>
                <c:pt idx="22">
                  <c:v>2090</c:v>
                </c:pt>
                <c:pt idx="23">
                  <c:v>2100</c:v>
                </c:pt>
              </c:numCache>
            </c:numRef>
          </c:cat>
          <c:val>
            <c:numRef>
              <c:f>'TS12.4'!$F$81:$F$104</c:f>
              <c:numCache>
                <c:formatCode>0%</c:formatCode>
                <c:ptCount val="24"/>
                <c:pt idx="0">
                  <c:v>1.232059722048457</c:v>
                </c:pt>
                <c:pt idx="1">
                  <c:v>1.1230993950491426</c:v>
                </c:pt>
                <c:pt idx="2">
                  <c:v>1.1978756813043054</c:v>
                </c:pt>
                <c:pt idx="3">
                  <c:v>1.2726519675594676</c:v>
                </c:pt>
                <c:pt idx="4">
                  <c:v>1.0989859972443379</c:v>
                </c:pt>
                <c:pt idx="5">
                  <c:v>0.99161291343763136</c:v>
                </c:pt>
                <c:pt idx="6">
                  <c:v>0.79833081302561881</c:v>
                </c:pt>
                <c:pt idx="7">
                  <c:v>0.75822268479344879</c:v>
                </c:pt>
                <c:pt idx="8">
                  <c:v>0.49372062207488204</c:v>
                </c:pt>
                <c:pt idx="9">
                  <c:v>0.59611941026260173</c:v>
                </c:pt>
                <c:pt idx="10">
                  <c:v>0.85027745135360866</c:v>
                </c:pt>
                <c:pt idx="11">
                  <c:v>1.081402435649935</c:v>
                </c:pt>
                <c:pt idx="12">
                  <c:v>1.3096377997616648</c:v>
                </c:pt>
                <c:pt idx="13">
                  <c:v>1.489537598062366</c:v>
                </c:pt>
                <c:pt idx="14">
                  <c:v>1.8074278670569273</c:v>
                </c:pt>
                <c:pt idx="15">
                  <c:v>2.0998243694925431</c:v>
                </c:pt>
                <c:pt idx="16">
                  <c:v>2.581445768122169</c:v>
                </c:pt>
                <c:pt idx="17">
                  <c:v>2.8362756615973526</c:v>
                </c:pt>
                <c:pt idx="18">
                  <c:v>3.2007810537784067</c:v>
                </c:pt>
                <c:pt idx="19">
                  <c:v>3.4558052265053036</c:v>
                </c:pt>
                <c:pt idx="20">
                  <c:v>3.4378710503895173</c:v>
                </c:pt>
                <c:pt idx="21">
                  <c:v>3.4321131400854132</c:v>
                </c:pt>
                <c:pt idx="22">
                  <c:v>3.4795386262907244</c:v>
                </c:pt>
                <c:pt idx="23">
                  <c:v>3.5598587803834043</c:v>
                </c:pt>
              </c:numCache>
            </c:numRef>
          </c:val>
        </c:ser>
        <c:dLbls/>
        <c:axId val="98158080"/>
        <c:axId val="35377152"/>
      </c:areaChart>
      <c:catAx>
        <c:axId val="98158080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According to the central scenario, Asian countries should own about half of world capital by the end of the 21st century. </a:t>
                </a:r>
                <a:r>
                  <a:rPr lang="en-US" sz="1100" b="0" i="0" u="none" strike="noStrike" baseline="0">
                    <a:latin typeface="Arial"/>
                    <a:ea typeface="Calibri"/>
                    <a:cs typeface="Arial"/>
                  </a:rPr>
                  <a:t>Sources and series: see piketty.pse.ens.fr/capital21c.   </a:t>
                </a:r>
              </a:p>
            </c:rich>
          </c:tx>
          <c:layout>
            <c:manualLayout>
              <c:xMode val="edge"/>
              <c:yMode val="edge"/>
              <c:x val="0.12039534856349202"/>
              <c:y val="0.9145182502946349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5377152"/>
        <c:crossesAt val="0"/>
        <c:auto val="1"/>
        <c:lblAlgn val="ctr"/>
        <c:lblOffset val="100"/>
        <c:tickLblSkip val="2"/>
        <c:tickMarkSkip val="1"/>
      </c:catAx>
      <c:valAx>
        <c:axId val="35377152"/>
        <c:scaling>
          <c:orientation val="minMax"/>
          <c:max val="8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private capital (% national income)</a:t>
                </a:r>
              </a:p>
            </c:rich>
          </c:tx>
          <c:layout>
            <c:manualLayout>
              <c:xMode val="edge"/>
              <c:yMode val="edge"/>
              <c:x val="0"/>
              <c:y val="0.20081404683416704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58080"/>
        <c:crosses val="autoZero"/>
        <c:crossBetween val="midCat"/>
        <c:majorUnit val="1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12.6. The</a:t>
            </a:r>
            <a:r>
              <a:rPr lang="fr-FR" baseline="0"/>
              <a:t> net foreign asset position of rich countries</a:t>
            </a:r>
            <a:endParaRPr lang="fr-FR"/>
          </a:p>
        </c:rich>
      </c:tx>
      <c:layout>
        <c:manualLayout>
          <c:xMode val="edge"/>
          <c:yMode val="edge"/>
          <c:x val="0.18181813210848605"/>
          <c:y val="2.98912889267220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5062552126772319E-2"/>
          <c:y val="0.110054347826087"/>
          <c:w val="0.89157631359466194"/>
          <c:h val="0.747282608695652"/>
        </c:manualLayout>
      </c:layout>
      <c:lineChart>
        <c:grouping val="standard"/>
        <c:ser>
          <c:idx val="0"/>
          <c:order val="0"/>
          <c:tx>
            <c:strRef>
              <c:f>'TS12.5'!$D$4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'TS12.5'!$A$5:$A$28</c:f>
              <c:numCache>
                <c:formatCode>General</c:formatCode>
                <c:ptCount val="2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'TS12.5'!$D$5:$D$28</c:f>
              <c:numCache>
                <c:formatCode>0.0%</c:formatCode>
                <c:ptCount val="24"/>
                <c:pt idx="0">
                  <c:v>1.0442152820767658E-2</c:v>
                </c:pt>
                <c:pt idx="1">
                  <c:v>1.2259608008380241E-2</c:v>
                </c:pt>
                <c:pt idx="2">
                  <c:v>1.4404596248145423E-2</c:v>
                </c:pt>
                <c:pt idx="3">
                  <c:v>1.5606267619854461E-2</c:v>
                </c:pt>
                <c:pt idx="4">
                  <c:v>1.4948773364686573E-2</c:v>
                </c:pt>
                <c:pt idx="5">
                  <c:v>1.4976607545893691E-2</c:v>
                </c:pt>
                <c:pt idx="6">
                  <c:v>1.6667806680679294E-2</c:v>
                </c:pt>
                <c:pt idx="7">
                  <c:v>2.0923045780163158E-2</c:v>
                </c:pt>
                <c:pt idx="8">
                  <c:v>2.4522033771866042E-2</c:v>
                </c:pt>
                <c:pt idx="9">
                  <c:v>2.5750400298520545E-2</c:v>
                </c:pt>
                <c:pt idx="10">
                  <c:v>2.7534683890597468E-2</c:v>
                </c:pt>
                <c:pt idx="11">
                  <c:v>2.9393775159325446E-2</c:v>
                </c:pt>
                <c:pt idx="12">
                  <c:v>3.1730387743865981E-2</c:v>
                </c:pt>
                <c:pt idx="13">
                  <c:v>3.8332006457663076E-2</c:v>
                </c:pt>
                <c:pt idx="14">
                  <c:v>2.6570453302355482E-2</c:v>
                </c:pt>
                <c:pt idx="15">
                  <c:v>3.5949948306175025E-2</c:v>
                </c:pt>
                <c:pt idx="16">
                  <c:v>4.2490553515754079E-2</c:v>
                </c:pt>
                <c:pt idx="17">
                  <c:v>4.3941872328157654E-2</c:v>
                </c:pt>
                <c:pt idx="18">
                  <c:v>4.3090182558137499E-2</c:v>
                </c:pt>
                <c:pt idx="19">
                  <c:v>4.2289229790249988E-2</c:v>
                </c:pt>
                <c:pt idx="20">
                  <c:v>3.3568061629098422E-2</c:v>
                </c:pt>
                <c:pt idx="21">
                  <c:v>3.6558106311125306E-2</c:v>
                </c:pt>
                <c:pt idx="22">
                  <c:v>3.929797393827008E-2</c:v>
                </c:pt>
                <c:pt idx="23">
                  <c:v>4.0484726714061524E-2</c:v>
                </c:pt>
              </c:numCache>
            </c:numRef>
          </c:val>
        </c:ser>
        <c:ser>
          <c:idx val="2"/>
          <c:order val="1"/>
          <c:tx>
            <c:strRef>
              <c:f>'TS12.5'!$C$4</c:f>
              <c:strCache>
                <c:ptCount val="1"/>
                <c:pt idx="0">
                  <c:v>USA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'TS12.5'!$A$5:$A$28</c:f>
              <c:numCache>
                <c:formatCode>General</c:formatCode>
                <c:ptCount val="2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'TS12.5'!$C$5:$C$28</c:f>
              <c:numCache>
                <c:formatCode>0.0%</c:formatCode>
                <c:ptCount val="24"/>
                <c:pt idx="0">
                  <c:v>4.9659767911306683E-3</c:v>
                </c:pt>
                <c:pt idx="1">
                  <c:v>-1.8869563168744678E-3</c:v>
                </c:pt>
                <c:pt idx="2">
                  <c:v>-4.2433438063761725E-3</c:v>
                </c:pt>
                <c:pt idx="3">
                  <c:v>-8.9577727306821286E-3</c:v>
                </c:pt>
                <c:pt idx="4">
                  <c:v>-1.2553472240961426E-2</c:v>
                </c:pt>
                <c:pt idx="5">
                  <c:v>-1.0517120284416093E-2</c:v>
                </c:pt>
                <c:pt idx="6">
                  <c:v>-1.2694478506168311E-2</c:v>
                </c:pt>
                <c:pt idx="7">
                  <c:v>-1.6743561277149873E-2</c:v>
                </c:pt>
                <c:pt idx="8">
                  <c:v>-1.1420012420651379E-2</c:v>
                </c:pt>
                <c:pt idx="9">
                  <c:v>-1.115486647144282E-2</c:v>
                </c:pt>
                <c:pt idx="10">
                  <c:v>-1.4488148897157037E-2</c:v>
                </c:pt>
                <c:pt idx="11">
                  <c:v>-1.5284913238261767E-2</c:v>
                </c:pt>
                <c:pt idx="12">
                  <c:v>-2.6019420009682267E-2</c:v>
                </c:pt>
                <c:pt idx="13">
                  <c:v>-2.8539621021681828E-2</c:v>
                </c:pt>
                <c:pt idx="14">
                  <c:v>-2.3428517064085722E-2</c:v>
                </c:pt>
                <c:pt idx="15">
                  <c:v>-4.1509659164161911E-2</c:v>
                </c:pt>
                <c:pt idx="16">
                  <c:v>-5.857878490513193E-2</c:v>
                </c:pt>
                <c:pt idx="17">
                  <c:v>-6.144845204889212E-2</c:v>
                </c:pt>
                <c:pt idx="18">
                  <c:v>-5.5912998219960527E-2</c:v>
                </c:pt>
                <c:pt idx="19">
                  <c:v>-5.3393875083014776E-2</c:v>
                </c:pt>
                <c:pt idx="20">
                  <c:v>-4.234310569905559E-2</c:v>
                </c:pt>
                <c:pt idx="21">
                  <c:v>-4.4311646249515078E-2</c:v>
                </c:pt>
                <c:pt idx="22">
                  <c:v>-3.2155761410362499E-2</c:v>
                </c:pt>
                <c:pt idx="23">
                  <c:v>-5.3114676485869775E-2</c:v>
                </c:pt>
              </c:numCache>
            </c:numRef>
          </c:val>
        </c:ser>
        <c:ser>
          <c:idx val="3"/>
          <c:order val="2"/>
          <c:tx>
            <c:strRef>
              <c:f>'TS12.5'!$E$4</c:f>
              <c:strCache>
                <c:ptCount val="1"/>
                <c:pt idx="0">
                  <c:v>Rich countries (Europe + USA + Japan)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'TS12.5'!$A$5:$A$28</c:f>
              <c:numCache>
                <c:formatCode>General</c:formatCode>
                <c:ptCount val="2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'TS12.5'!$E$5:$E$28</c:f>
              <c:numCache>
                <c:formatCode>0.0%</c:formatCode>
                <c:ptCount val="24"/>
                <c:pt idx="0">
                  <c:v>3.4033236221990802E-3</c:v>
                </c:pt>
                <c:pt idx="1">
                  <c:v>3.8720967032994727E-4</c:v>
                </c:pt>
                <c:pt idx="2">
                  <c:v>3.8438066173910549E-3</c:v>
                </c:pt>
                <c:pt idx="3">
                  <c:v>-1.2398405189193752E-4</c:v>
                </c:pt>
                <c:pt idx="4">
                  <c:v>-7.4062172698945369E-3</c:v>
                </c:pt>
                <c:pt idx="5">
                  <c:v>-1.0318268757543802E-2</c:v>
                </c:pt>
                <c:pt idx="6">
                  <c:v>-1.517520959748412E-2</c:v>
                </c:pt>
                <c:pt idx="7">
                  <c:v>-1.4694739607492378E-2</c:v>
                </c:pt>
                <c:pt idx="8">
                  <c:v>-7.7437363475104243E-3</c:v>
                </c:pt>
                <c:pt idx="9">
                  <c:v>-4.6840507570952306E-3</c:v>
                </c:pt>
                <c:pt idx="10">
                  <c:v>-9.3826797083610049E-3</c:v>
                </c:pt>
                <c:pt idx="11">
                  <c:v>-7.31125559419025E-3</c:v>
                </c:pt>
                <c:pt idx="12">
                  <c:v>-9.6400507383509679E-3</c:v>
                </c:pt>
                <c:pt idx="13">
                  <c:v>-2.0750816415221838E-2</c:v>
                </c:pt>
                <c:pt idx="14">
                  <c:v>-2.5207531144196101E-2</c:v>
                </c:pt>
                <c:pt idx="15">
                  <c:v>-2.8681059687305034E-2</c:v>
                </c:pt>
                <c:pt idx="16">
                  <c:v>-3.3323718532889561E-2</c:v>
                </c:pt>
                <c:pt idx="17">
                  <c:v>-4.6363773264445726E-2</c:v>
                </c:pt>
                <c:pt idx="18">
                  <c:v>-4.6044749458654527E-2</c:v>
                </c:pt>
                <c:pt idx="19">
                  <c:v>-5.1009306450847731E-2</c:v>
                </c:pt>
                <c:pt idx="20">
                  <c:v>-3.687045790607852E-2</c:v>
                </c:pt>
                <c:pt idx="21">
                  <c:v>-4.7707235515848156E-2</c:v>
                </c:pt>
                <c:pt idx="22">
                  <c:v>-3.4915171648089778E-2</c:v>
                </c:pt>
                <c:pt idx="23">
                  <c:v>-5.0350239166858546E-2</c:v>
                </c:pt>
              </c:numCache>
            </c:numRef>
          </c:val>
        </c:ser>
        <c:ser>
          <c:idx val="5"/>
          <c:order val="3"/>
          <c:tx>
            <c:strRef>
              <c:f>'TS12.5'!$B$4</c:f>
              <c:strCache>
                <c:ptCount val="1"/>
                <c:pt idx="0">
                  <c:v>Europe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'TS12.5'!$A$5:$A$28</c:f>
              <c:numCache>
                <c:formatCode>General</c:formatCode>
                <c:ptCount val="2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'TS12.5'!$B$5:$B$28</c:f>
              <c:numCache>
                <c:formatCode>0.0%</c:formatCode>
                <c:ptCount val="24"/>
                <c:pt idx="0">
                  <c:v>-1.2004805989699247E-2</c:v>
                </c:pt>
                <c:pt idx="1">
                  <c:v>-9.9854420211758256E-3</c:v>
                </c:pt>
                <c:pt idx="2">
                  <c:v>-6.3174458243781956E-3</c:v>
                </c:pt>
                <c:pt idx="3">
                  <c:v>-6.7724789410642701E-3</c:v>
                </c:pt>
                <c:pt idx="4">
                  <c:v>-9.8015183936196841E-3</c:v>
                </c:pt>
                <c:pt idx="5">
                  <c:v>-1.47777560190214E-2</c:v>
                </c:pt>
                <c:pt idx="6">
                  <c:v>-1.9148537771995103E-2</c:v>
                </c:pt>
                <c:pt idx="7">
                  <c:v>-1.8874224110505662E-2</c:v>
                </c:pt>
                <c:pt idx="8">
                  <c:v>-2.0845757698725088E-2</c:v>
                </c:pt>
                <c:pt idx="9">
                  <c:v>-1.9279584584172955E-2</c:v>
                </c:pt>
                <c:pt idx="10">
                  <c:v>-2.2429214701801436E-2</c:v>
                </c:pt>
                <c:pt idx="11">
                  <c:v>-2.1420117515253929E-2</c:v>
                </c:pt>
                <c:pt idx="12">
                  <c:v>-1.5351018472534683E-2</c:v>
                </c:pt>
                <c:pt idx="13">
                  <c:v>-3.0543201851203086E-2</c:v>
                </c:pt>
                <c:pt idx="14">
                  <c:v>-2.8349467382465861E-2</c:v>
                </c:pt>
                <c:pt idx="15">
                  <c:v>-2.3121348829318149E-2</c:v>
                </c:pt>
                <c:pt idx="16">
                  <c:v>-1.723548714351171E-2</c:v>
                </c:pt>
                <c:pt idx="17">
                  <c:v>-2.885719354371126E-2</c:v>
                </c:pt>
                <c:pt idx="18">
                  <c:v>-3.3221933796831499E-2</c:v>
                </c:pt>
                <c:pt idx="19">
                  <c:v>-3.9904661158082944E-2</c:v>
                </c:pt>
                <c:pt idx="20">
                  <c:v>-2.8095413836121352E-2</c:v>
                </c:pt>
                <c:pt idx="21">
                  <c:v>-3.9953695577458384E-2</c:v>
                </c:pt>
                <c:pt idx="22">
                  <c:v>-4.2057384175997359E-2</c:v>
                </c:pt>
                <c:pt idx="23">
                  <c:v>-3.7720289395050295E-2</c:v>
                </c:pt>
              </c:numCache>
            </c:numRef>
          </c:val>
        </c:ser>
        <c:ser>
          <c:idx val="1"/>
          <c:order val="4"/>
          <c:tx>
            <c:strRef>
              <c:f>'TS12.5'!$F$4</c:f>
              <c:strCache>
                <c:ptCount val="1"/>
                <c:pt idx="0">
                  <c:v>Tax havens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'TS12.5'!$A$5:$A$28</c:f>
              <c:numCache>
                <c:formatCode>General</c:formatCode>
                <c:ptCount val="2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'TS12.5'!$F$5:$F$28</c:f>
              <c:numCache>
                <c:formatCode>0.0%</c:formatCode>
                <c:ptCount val="24"/>
                <c:pt idx="16">
                  <c:v>7.9102530750153791E-2</c:v>
                </c:pt>
                <c:pt idx="17">
                  <c:v>7.1888548512927031E-2</c:v>
                </c:pt>
                <c:pt idx="18">
                  <c:v>7.6311969037810554E-2</c:v>
                </c:pt>
                <c:pt idx="19">
                  <c:v>7.8585623735660901E-2</c:v>
                </c:pt>
                <c:pt idx="20">
                  <c:v>8.0551710839556978E-2</c:v>
                </c:pt>
                <c:pt idx="21">
                  <c:v>7.6021126287704702E-2</c:v>
                </c:pt>
                <c:pt idx="22">
                  <c:v>9.1871500388364752E-2</c:v>
                </c:pt>
                <c:pt idx="23">
                  <c:v>7.3150965586511491E-2</c:v>
                </c:pt>
              </c:numCache>
            </c:numRef>
          </c:val>
        </c:ser>
        <c:dLbls/>
        <c:marker val="1"/>
        <c:axId val="35567104"/>
        <c:axId val="35569024"/>
      </c:lineChart>
      <c:catAx>
        <c:axId val="35567104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Unregistered financial assets held in tax havens are higher than the official net foreign debt of rich countries.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5066262029746302"/>
              <c:y val="0.9198737319997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5569024"/>
        <c:crosses val="autoZero"/>
        <c:auto val="1"/>
        <c:lblAlgn val="ctr"/>
        <c:lblOffset val="100"/>
        <c:tickLblSkip val="5"/>
        <c:tickMarkSkip val="5"/>
      </c:catAx>
      <c:valAx>
        <c:axId val="35569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Net foreign assets (% world output)</a:t>
                </a:r>
              </a:p>
            </c:rich>
          </c:tx>
          <c:layout>
            <c:manualLayout>
              <c:xMode val="edge"/>
              <c:yMode val="edge"/>
              <c:x val="1.3900918635170604E-3"/>
              <c:y val="0.25093104915939596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556710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8740157499999996" right="0.78740157499999996" top="0.984251969" bottom="0.984251969" header="0.5" footer="0.5"/>
  <pageSetup paperSize="9"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0.75825</cdr:x>
      <cdr:y>0.479</cdr:y>
    </cdr:from>
    <cdr:to>
      <cdr:x>0.8485</cdr:x>
      <cdr:y>0.52575</cdr:y>
    </cdr:to>
    <cdr:sp macro="" textlink="">
      <cdr:nvSpPr>
        <cdr:cNvPr id="614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35128" y="2803284"/>
          <a:ext cx="816547" cy="2611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Asia</a:t>
          </a:r>
        </a:p>
      </cdr:txBody>
    </cdr:sp>
  </cdr:relSizeAnchor>
  <cdr:relSizeAnchor xmlns:cdr="http://schemas.openxmlformats.org/drawingml/2006/chartDrawing">
    <cdr:from>
      <cdr:x>0.76625</cdr:x>
      <cdr:y>0.787</cdr:y>
    </cdr:from>
    <cdr:to>
      <cdr:x>0.865</cdr:x>
      <cdr:y>0.83475</cdr:y>
    </cdr:to>
    <cdr:sp macro="" textlink="">
      <cdr:nvSpPr>
        <cdr:cNvPr id="6146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3602" y="4641669"/>
          <a:ext cx="869569" cy="2800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Europe</a:t>
          </a:r>
        </a:p>
      </cdr:txBody>
    </cdr:sp>
  </cdr:relSizeAnchor>
  <cdr:relSizeAnchor xmlns:cdr="http://schemas.openxmlformats.org/drawingml/2006/chartDrawing">
    <cdr:from>
      <cdr:x>0.78125</cdr:x>
      <cdr:y>0.711</cdr:y>
    </cdr:from>
    <cdr:to>
      <cdr:x>0.89575</cdr:x>
      <cdr:y>0.76225</cdr:y>
    </cdr:to>
    <cdr:sp macro="" textlink="">
      <cdr:nvSpPr>
        <cdr:cNvPr id="6147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5405" y="4190416"/>
          <a:ext cx="990460" cy="29890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America</a:t>
          </a:r>
        </a:p>
      </cdr:txBody>
    </cdr:sp>
  </cdr:relSizeAnchor>
  <cdr:relSizeAnchor xmlns:cdr="http://schemas.openxmlformats.org/drawingml/2006/chartDrawing">
    <cdr:from>
      <cdr:x>0.861</cdr:x>
      <cdr:y>0.582</cdr:y>
    </cdr:from>
    <cdr:to>
      <cdr:x>0.9625</cdr:x>
      <cdr:y>0.6245</cdr:y>
    </cdr:to>
    <cdr:sp macro="" textlink="">
      <cdr:nvSpPr>
        <cdr:cNvPr id="6148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3785" y="3625987"/>
          <a:ext cx="875932" cy="2379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Africa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0.75318</cdr:x>
      <cdr:y>0.60956</cdr:y>
    </cdr:from>
    <cdr:to>
      <cdr:x>0.77679</cdr:x>
      <cdr:y>0.64263</cdr:y>
    </cdr:to>
    <cdr:sp macro="" textlink="">
      <cdr:nvSpPr>
        <cdr:cNvPr id="10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794499" y="3378200"/>
          <a:ext cx="330199" cy="3302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0.80246</cdr:x>
      <cdr:y>0.75451</cdr:y>
    </cdr:from>
    <cdr:to>
      <cdr:x>0.83135</cdr:x>
      <cdr:y>0.80374</cdr:y>
    </cdr:to>
    <cdr:sp macro="" textlink="">
      <cdr:nvSpPr>
        <cdr:cNvPr id="10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70716" y="4610075"/>
          <a:ext cx="406419" cy="2286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0.167</cdr:x>
      <cdr:y>0.371</cdr:y>
    </cdr:from>
    <cdr:to>
      <cdr:x>0.26175</cdr:x>
      <cdr:y>0.42775</cdr:y>
    </cdr:to>
    <cdr:sp macro="" textlink="">
      <cdr:nvSpPr>
        <cdr:cNvPr id="2457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3491" y="2180234"/>
          <a:ext cx="863388" cy="305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Japan</a:t>
          </a:r>
        </a:p>
      </cdr:txBody>
    </cdr:sp>
  </cdr:relSizeAnchor>
  <cdr:relSizeAnchor xmlns:cdr="http://schemas.openxmlformats.org/drawingml/2006/chartDrawing">
    <cdr:from>
      <cdr:x>0.75375</cdr:x>
      <cdr:y>0.55775</cdr:y>
    </cdr:from>
    <cdr:to>
      <cdr:x>0.84025</cdr:x>
      <cdr:y>0.60925</cdr:y>
    </cdr:to>
    <cdr:sp macro="" textlink="">
      <cdr:nvSpPr>
        <cdr:cNvPr id="2458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5126" y="3185526"/>
          <a:ext cx="790297" cy="2776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Europe</a:t>
          </a:r>
        </a:p>
      </cdr:txBody>
    </cdr:sp>
  </cdr:relSizeAnchor>
  <cdr:relSizeAnchor xmlns:cdr="http://schemas.openxmlformats.org/drawingml/2006/chartDrawing">
    <cdr:from>
      <cdr:x>0.83125</cdr:x>
      <cdr:y>0.785</cdr:y>
    </cdr:from>
    <cdr:to>
      <cdr:x>0.92775</cdr:x>
      <cdr:y>0.84725</cdr:y>
    </cdr:to>
    <cdr:sp macro="" textlink="">
      <cdr:nvSpPr>
        <cdr:cNvPr id="2458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3195" y="4405335"/>
          <a:ext cx="881661" cy="3350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635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 U.S.</a:t>
          </a:r>
        </a:p>
      </cdr:txBody>
    </cdr:sp>
  </cdr:relSizeAnchor>
  <cdr:relSizeAnchor xmlns:cdr="http://schemas.openxmlformats.org/drawingml/2006/chartDrawing">
    <cdr:from>
      <cdr:x>0.26152</cdr:x>
      <cdr:y>0.38116</cdr:y>
    </cdr:from>
    <cdr:to>
      <cdr:x>0.30127</cdr:x>
      <cdr:y>0.44416</cdr:y>
    </cdr:to>
    <cdr:sp macro="" textlink="">
      <cdr:nvSpPr>
        <cdr:cNvPr id="1032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870597" y="1839278"/>
          <a:ext cx="356791" cy="4083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0.49076</cdr:x>
      <cdr:y>0.69512</cdr:y>
    </cdr:from>
    <cdr:to>
      <cdr:x>0.70803</cdr:x>
      <cdr:y>0.74754</cdr:y>
    </cdr:to>
    <cdr:sp macro="" textlink="">
      <cdr:nvSpPr>
        <cdr:cNvPr id="1033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708412" y="3949699"/>
          <a:ext cx="2654287" cy="4317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0.15725</cdr:x>
      <cdr:y>0.739</cdr:y>
    </cdr:from>
    <cdr:to>
      <cdr:x>0.49125</cdr:x>
      <cdr:y>0.84025</cdr:y>
    </cdr:to>
    <cdr:sp macro="" textlink="">
      <cdr:nvSpPr>
        <cdr:cNvPr id="24584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4412" y="4158569"/>
          <a:ext cx="3046982" cy="54400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635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Rich countries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(Japan + Europe + U.S.)</a:t>
          </a:r>
        </a:p>
      </cdr:txBody>
    </cdr:sp>
  </cdr:relSizeAnchor>
  <cdr:relSizeAnchor xmlns:cdr="http://schemas.openxmlformats.org/drawingml/2006/chartDrawing">
    <cdr:from>
      <cdr:x>0.13225</cdr:x>
      <cdr:y>0.13525</cdr:y>
    </cdr:from>
    <cdr:to>
      <cdr:x>0.54825</cdr:x>
      <cdr:y>0.2325</cdr:y>
    </cdr:to>
    <cdr:sp macro="" textlink="">
      <cdr:nvSpPr>
        <cdr:cNvPr id="2458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06002" y="909950"/>
          <a:ext cx="3796166" cy="52437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635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Unregistered financial assets held in tax havens (lower bound) </a:t>
          </a:r>
        </a:p>
      </cdr:txBody>
    </cdr:sp>
  </cdr:relSizeAnchor>
  <cdr:relSizeAnchor xmlns:cdr="http://schemas.openxmlformats.org/drawingml/2006/chartDrawing">
    <cdr:from>
      <cdr:x>0.54798</cdr:x>
      <cdr:y>0.16546</cdr:y>
    </cdr:from>
    <cdr:to>
      <cdr:x>0.70201</cdr:x>
      <cdr:y>0.1947</cdr:y>
    </cdr:to>
    <cdr:sp macro="" textlink="">
      <cdr:nvSpPr>
        <cdr:cNvPr id="11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05400" y="469900"/>
          <a:ext cx="1181100" cy="2413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0.5125</cdr:x>
      <cdr:y>0.49725</cdr:y>
    </cdr:from>
    <cdr:to>
      <cdr:x>0.52475</cdr:x>
      <cdr:y>0.5305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3258" y="2816394"/>
          <a:ext cx="111921" cy="183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13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0.50725</cdr:x>
      <cdr:y>0.50275</cdr:y>
    </cdr:from>
    <cdr:to>
      <cdr:x>0.52075</cdr:x>
      <cdr:y>0.53575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6713" y="2814990"/>
          <a:ext cx="123341" cy="185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0.5255</cdr:x>
      <cdr:y>0.49325</cdr:y>
    </cdr:from>
    <cdr:to>
      <cdr:x>0.539</cdr:x>
      <cdr:y>0.52725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8020" y="2814990"/>
          <a:ext cx="121057" cy="185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0.44275</cdr:x>
      <cdr:y>0.25325</cdr:y>
    </cdr:from>
    <cdr:to>
      <cdr:x>0.548</cdr:x>
      <cdr:y>0.3475</cdr:y>
    </cdr:to>
    <cdr:sp macro="" textlink="">
      <cdr:nvSpPr>
        <cdr:cNvPr id="1025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5496" y="1479194"/>
          <a:ext cx="973425" cy="518770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Observed series</a:t>
          </a:r>
        </a:p>
      </cdr:txBody>
    </cdr:sp>
  </cdr:relSizeAnchor>
  <cdr:relSizeAnchor xmlns:cdr="http://schemas.openxmlformats.org/drawingml/2006/chartDrawing">
    <cdr:from>
      <cdr:x>0.5435</cdr:x>
      <cdr:y>0.3475</cdr:y>
    </cdr:from>
    <cdr:to>
      <cdr:x>0.62025</cdr:x>
      <cdr:y>0.4555</cdr:y>
    </cdr:to>
    <cdr:sp macro="" textlink="">
      <cdr:nvSpPr>
        <cdr:cNvPr id="1026" name="AutoShap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00595" y="1997964"/>
          <a:ext cx="704179" cy="594482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0.45875</cdr:x>
      <cdr:y>0.3475</cdr:y>
    </cdr:from>
    <cdr:to>
      <cdr:x>0.495</cdr:x>
      <cdr:y>0.61275</cdr:y>
    </cdr:to>
    <cdr:sp macro="" textlink="">
      <cdr:nvSpPr>
        <cdr:cNvPr id="1027" name="AutoShap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229679" y="1997964"/>
          <a:ext cx="333680" cy="145956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0.6475</cdr:x>
      <cdr:y>0.118</cdr:y>
    </cdr:from>
    <cdr:to>
      <cdr:x>0.76075</cdr:x>
      <cdr:y>0.24525</cdr:y>
    </cdr:to>
    <cdr:sp macro="" textlink="">
      <cdr:nvSpPr>
        <cdr:cNvPr id="1028" name="AutoShap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55609" y="734690"/>
          <a:ext cx="1037859" cy="699638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Projections (central scenario)</a:t>
          </a:r>
        </a:p>
      </cdr:txBody>
    </cdr:sp>
  </cdr:relSizeAnchor>
  <cdr:relSizeAnchor xmlns:cdr="http://schemas.openxmlformats.org/drawingml/2006/chartDrawing">
    <cdr:from>
      <cdr:x>0.66775</cdr:x>
      <cdr:y>0.24525</cdr:y>
    </cdr:from>
    <cdr:to>
      <cdr:x>0.68</cdr:x>
      <cdr:y>0.4185</cdr:y>
    </cdr:to>
    <cdr:sp macro="" textlink="">
      <cdr:nvSpPr>
        <cdr:cNvPr id="1029" name="AutoShap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142010" y="1434328"/>
          <a:ext cx="112760" cy="953414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0.76075</cdr:x>
      <cdr:y>0.18175</cdr:y>
    </cdr:from>
    <cdr:to>
      <cdr:x>0.83275</cdr:x>
      <cdr:y>0.24525</cdr:y>
    </cdr:to>
    <cdr:sp macro="" textlink="">
      <cdr:nvSpPr>
        <cdr:cNvPr id="1030" name="AutoShap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993468" y="1083808"/>
          <a:ext cx="662757" cy="350520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4963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/joint%20income%20dist/All%20couples%201970%20to%202004%20MFTTAWE%20compari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orldWealth/Work/CapitalIsBack/German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4a"/>
      <sheetName val="TableDE15a"/>
      <sheetName val="G-Beta (2)"/>
      <sheetName val="G-Beta (5)"/>
      <sheetName val="G-Beta (6)"/>
      <sheetName val="G-Beta (7)"/>
      <sheetName val="G-Beta (8)"/>
      <sheetName val="G-Beta (9)"/>
      <sheetName val="G-Beta (10)"/>
      <sheetName val="G-Beta (11)"/>
      <sheetName val="DataDE1"/>
      <sheetName val="DateDE1b"/>
      <sheetName val="DataDE1c"/>
      <sheetName val="DataDE2"/>
      <sheetName val="DataDE2b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155"/>
  <sheetViews>
    <sheetView workbookViewId="0">
      <pane xSplit="1" ySplit="6" topLeftCell="B9" activePane="bottomRight" state="frozen"/>
      <selection pane="topRight" activeCell="B1" sqref="B1"/>
      <selection pane="bottomLeft" activeCell="A9" sqref="A9"/>
      <selection pane="bottomRight" activeCell="A3" sqref="A3:B19"/>
    </sheetView>
  </sheetViews>
  <sheetFormatPr baseColWidth="10" defaultColWidth="11.296875" defaultRowHeight="13.2"/>
  <cols>
    <col min="1" max="1" width="35.69921875" style="1" customWidth="1"/>
    <col min="2" max="2" width="30.69921875" style="1" customWidth="1"/>
    <col min="3" max="16384" width="11.296875" style="1"/>
  </cols>
  <sheetData>
    <row r="1" spans="1:2" ht="15.6">
      <c r="A1"/>
    </row>
    <row r="2" spans="1:2" ht="13.8" thickBot="1"/>
    <row r="3" spans="1:2" ht="49.8" customHeight="1" thickTop="1">
      <c r="A3" s="140" t="s">
        <v>79</v>
      </c>
      <c r="B3" s="141"/>
    </row>
    <row r="4" spans="1:2" ht="23.4" thickBot="1">
      <c r="A4" s="68"/>
      <c r="B4" s="69"/>
    </row>
    <row r="5" spans="1:2" ht="70.05" customHeight="1">
      <c r="A5" s="142" t="s">
        <v>81</v>
      </c>
      <c r="B5" s="144" t="s">
        <v>80</v>
      </c>
    </row>
    <row r="6" spans="1:2" ht="30" customHeight="1" thickBot="1">
      <c r="A6" s="143"/>
      <c r="B6" s="145"/>
    </row>
    <row r="7" spans="1:2" ht="70.05" customHeight="1" thickBot="1">
      <c r="A7" s="59" t="s">
        <v>82</v>
      </c>
      <c r="B7" s="33">
        <f>TS12.3!Z37</f>
        <v>6.7714305136901798E-2</v>
      </c>
    </row>
    <row r="8" spans="1:2" ht="70.05" customHeight="1" thickBot="1">
      <c r="A8" s="59" t="s">
        <v>83</v>
      </c>
      <c r="B8" s="33">
        <f>TS12.3!U37</f>
        <v>6.4188705295627146E-2</v>
      </c>
    </row>
    <row r="9" spans="1:2" ht="49.8" customHeight="1" thickBot="1">
      <c r="A9" s="59" t="s">
        <v>84</v>
      </c>
      <c r="B9" s="33">
        <f>0.001+TS12.3!AP37</f>
        <v>2.1144717283565595E-2</v>
      </c>
    </row>
    <row r="10" spans="1:2" ht="49.8" customHeight="1" thickBot="1">
      <c r="A10" s="59" t="s">
        <v>85</v>
      </c>
      <c r="B10" s="33">
        <f>0.0004+TS12.3!AO37</f>
        <v>1.3781736362194862E-2</v>
      </c>
    </row>
    <row r="11" spans="1:2" s="5" customFormat="1" ht="49.8" customHeight="1" thickBot="1">
      <c r="A11" s="59" t="s">
        <v>86</v>
      </c>
      <c r="B11" s="33">
        <f>TS12.3!R36</f>
        <v>1.9214608681880296E-2</v>
      </c>
    </row>
    <row r="12" spans="1:2" ht="49.8" customHeight="1" thickBot="1">
      <c r="A12" s="61" t="s">
        <v>87</v>
      </c>
      <c r="B12" s="34">
        <f>TS12.3!AD37</f>
        <v>3.2853469871758856E-2</v>
      </c>
    </row>
    <row r="13" spans="1:2" ht="18.600000000000001" thickTop="1" thickBot="1">
      <c r="A13" s="35"/>
      <c r="B13" s="36"/>
    </row>
    <row r="14" spans="1:2" ht="13.05" customHeight="1" thickTop="1">
      <c r="A14" s="134" t="s">
        <v>141</v>
      </c>
      <c r="B14" s="135"/>
    </row>
    <row r="15" spans="1:2" ht="13.05" customHeight="1">
      <c r="A15" s="136"/>
      <c r="B15" s="137"/>
    </row>
    <row r="16" spans="1:2" ht="13.05" customHeight="1">
      <c r="A16" s="136"/>
      <c r="B16" s="137"/>
    </row>
    <row r="17" spans="1:2" ht="13.05" customHeight="1">
      <c r="A17" s="136"/>
      <c r="B17" s="137"/>
    </row>
    <row r="18" spans="1:2" ht="12" customHeight="1">
      <c r="A18" s="136"/>
      <c r="B18" s="137"/>
    </row>
    <row r="19" spans="1:2" ht="13.05" customHeight="1" thickBot="1">
      <c r="A19" s="138"/>
      <c r="B19" s="139"/>
    </row>
    <row r="20" spans="1:2" ht="13.8" thickTop="1">
      <c r="A20" s="6"/>
      <c r="B20" s="7"/>
    </row>
    <row r="21" spans="1:2">
      <c r="A21" s="31"/>
      <c r="B21" s="7"/>
    </row>
    <row r="22" spans="1:2">
      <c r="A22" s="6"/>
      <c r="B22" s="7"/>
    </row>
    <row r="23" spans="1:2">
      <c r="A23" s="6"/>
      <c r="B23" s="7"/>
    </row>
    <row r="24" spans="1:2">
      <c r="A24" s="6"/>
      <c r="B24" s="7"/>
    </row>
    <row r="25" spans="1:2">
      <c r="A25" s="6"/>
      <c r="B25" s="7"/>
    </row>
    <row r="26" spans="1:2">
      <c r="A26" s="6"/>
      <c r="B26" s="7"/>
    </row>
    <row r="27" spans="1:2">
      <c r="A27" s="6"/>
      <c r="B27" s="7"/>
    </row>
    <row r="28" spans="1:2">
      <c r="A28" s="6"/>
      <c r="B28" s="7"/>
    </row>
    <row r="29" spans="1:2">
      <c r="A29" s="6"/>
      <c r="B29" s="7"/>
    </row>
    <row r="30" spans="1:2">
      <c r="A30" s="6"/>
      <c r="B30" s="7"/>
    </row>
    <row r="31" spans="1:2">
      <c r="A31" s="6"/>
      <c r="B31" s="7"/>
    </row>
    <row r="32" spans="1:2">
      <c r="A32" s="6"/>
      <c r="B32" s="7"/>
    </row>
    <row r="33" spans="1:2">
      <c r="A33" s="6"/>
      <c r="B33" s="7"/>
    </row>
    <row r="34" spans="1:2">
      <c r="A34" s="6"/>
      <c r="B34" s="7"/>
    </row>
    <row r="35" spans="1:2">
      <c r="A35" s="6"/>
      <c r="B35" s="7"/>
    </row>
    <row r="36" spans="1:2">
      <c r="A36" s="6"/>
      <c r="B36" s="7"/>
    </row>
    <row r="37" spans="1:2">
      <c r="A37" s="6"/>
      <c r="B37" s="7"/>
    </row>
    <row r="38" spans="1:2">
      <c r="A38" s="6"/>
      <c r="B38" s="7"/>
    </row>
    <row r="39" spans="1:2">
      <c r="A39" s="6"/>
      <c r="B39" s="7"/>
    </row>
    <row r="40" spans="1:2">
      <c r="A40" s="6"/>
      <c r="B40" s="7"/>
    </row>
    <row r="41" spans="1:2">
      <c r="A41" s="6"/>
      <c r="B41" s="7"/>
    </row>
    <row r="42" spans="1:2">
      <c r="A42" s="6"/>
      <c r="B42" s="7"/>
    </row>
    <row r="43" spans="1:2">
      <c r="A43" s="6"/>
      <c r="B43" s="7"/>
    </row>
    <row r="44" spans="1:2">
      <c r="A44" s="6"/>
      <c r="B44" s="7"/>
    </row>
    <row r="45" spans="1:2">
      <c r="A45" s="6"/>
      <c r="B45" s="7"/>
    </row>
    <row r="46" spans="1:2">
      <c r="B46" s="8"/>
    </row>
    <row r="47" spans="1:2">
      <c r="B47" s="8"/>
    </row>
    <row r="48" spans="1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</sheetData>
  <mergeCells count="4">
    <mergeCell ref="A14:B19"/>
    <mergeCell ref="A3:B3"/>
    <mergeCell ref="A5:A6"/>
    <mergeCell ref="B5:B6"/>
  </mergeCells>
  <phoneticPr fontId="24" type="noConversion"/>
  <printOptions horizontalCentered="1" verticalCentered="1"/>
  <pageMargins left="0.19685039370078741" right="0.19685039370078741" top="0.98425196850393704" bottom="0.98425196850393704" header="0.51181102362204722" footer="0.5118110236220472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155"/>
  <sheetViews>
    <sheetView workbookViewId="0">
      <pane xSplit="1" ySplit="6" topLeftCell="B11" activePane="bottomRight" state="frozen"/>
      <selection pane="topRight" activeCell="B1" sqref="B1"/>
      <selection pane="bottomLeft" activeCell="A9" sqref="A9"/>
      <selection pane="bottomRight" activeCell="A3" sqref="A3:B19"/>
    </sheetView>
  </sheetViews>
  <sheetFormatPr baseColWidth="10" defaultColWidth="11.296875" defaultRowHeight="13.2"/>
  <cols>
    <col min="1" max="1" width="35.69921875" style="1" customWidth="1"/>
    <col min="2" max="2" width="30.69921875" style="1" customWidth="1"/>
    <col min="3" max="16384" width="11.296875" style="1"/>
  </cols>
  <sheetData>
    <row r="1" spans="1:2" ht="15.6">
      <c r="A1"/>
    </row>
    <row r="2" spans="1:2" ht="13.8" thickBot="1"/>
    <row r="3" spans="1:2" ht="49.8" customHeight="1" thickTop="1">
      <c r="A3" s="140" t="s">
        <v>88</v>
      </c>
      <c r="B3" s="141"/>
    </row>
    <row r="4" spans="1:2" ht="23.4" thickBot="1">
      <c r="A4" s="68"/>
      <c r="B4" s="69"/>
    </row>
    <row r="5" spans="1:2" ht="70.05" customHeight="1">
      <c r="A5" s="142" t="s">
        <v>93</v>
      </c>
      <c r="B5" s="144" t="s">
        <v>47</v>
      </c>
    </row>
    <row r="6" spans="1:2" ht="30" customHeight="1" thickBot="1">
      <c r="A6" s="146"/>
      <c r="B6" s="145"/>
    </row>
    <row r="7" spans="1:2" ht="70.05" customHeight="1" thickBot="1">
      <c r="A7" s="59" t="s">
        <v>89</v>
      </c>
      <c r="B7" s="33">
        <f>DetailsTS12.2!E10</f>
        <v>8.1908112879579331E-2</v>
      </c>
    </row>
    <row r="8" spans="1:2" ht="49.8" customHeight="1" thickBot="1">
      <c r="A8" s="32" t="s">
        <v>90</v>
      </c>
      <c r="B8" s="33">
        <f>AVERAGE(DetailsTS12.2!E31:E33)</f>
        <v>0.10219467057511518</v>
      </c>
    </row>
    <row r="9" spans="1:2" ht="49.8" customHeight="1" thickBot="1">
      <c r="A9" s="59" t="s">
        <v>92</v>
      </c>
      <c r="B9" s="33">
        <f>DetailsTS12.2!E20</f>
        <v>8.8375167133302179E-2</v>
      </c>
    </row>
    <row r="10" spans="1:2" ht="49.8" customHeight="1" thickBot="1">
      <c r="A10" s="59" t="s">
        <v>91</v>
      </c>
      <c r="B10" s="33">
        <f>DetailsTS12.2!E21</f>
        <v>7.7560359311300786E-2</v>
      </c>
    </row>
    <row r="11" spans="1:2" s="5" customFormat="1" ht="49.8" customHeight="1" thickBot="1">
      <c r="A11" s="59" t="s">
        <v>142</v>
      </c>
      <c r="B11" s="33">
        <f>DetailsTS12.2!E22</f>
        <v>7.0571292834245902E-2</v>
      </c>
    </row>
    <row r="12" spans="1:2" ht="49.8" customHeight="1" thickBot="1">
      <c r="A12" s="61" t="s">
        <v>143</v>
      </c>
      <c r="B12" s="34">
        <f>DetailsTS12.2!E23</f>
        <v>6.1653376975331797E-2</v>
      </c>
    </row>
    <row r="13" spans="1:2" ht="18.600000000000001" thickTop="1" thickBot="1">
      <c r="A13" s="35"/>
      <c r="B13" s="36"/>
    </row>
    <row r="14" spans="1:2" ht="13.05" customHeight="1" thickTop="1">
      <c r="A14" s="134" t="s">
        <v>140</v>
      </c>
      <c r="B14" s="135"/>
    </row>
    <row r="15" spans="1:2" ht="13.05" customHeight="1">
      <c r="A15" s="136"/>
      <c r="B15" s="137"/>
    </row>
    <row r="16" spans="1:2" ht="13.05" customHeight="1">
      <c r="A16" s="136"/>
      <c r="B16" s="137"/>
    </row>
    <row r="17" spans="1:2" ht="13.05" customHeight="1">
      <c r="A17" s="136"/>
      <c r="B17" s="137"/>
    </row>
    <row r="18" spans="1:2" ht="12" customHeight="1">
      <c r="A18" s="136"/>
      <c r="B18" s="137"/>
    </row>
    <row r="19" spans="1:2" ht="13.05" customHeight="1" thickBot="1">
      <c r="A19" s="138"/>
      <c r="B19" s="139"/>
    </row>
    <row r="20" spans="1:2" ht="13.8" thickTop="1">
      <c r="A20" s="6"/>
      <c r="B20" s="7"/>
    </row>
    <row r="21" spans="1:2">
      <c r="A21" s="31"/>
      <c r="B21" s="7"/>
    </row>
    <row r="22" spans="1:2">
      <c r="A22" s="6"/>
      <c r="B22" s="7"/>
    </row>
    <row r="23" spans="1:2">
      <c r="A23" s="6"/>
      <c r="B23" s="7"/>
    </row>
    <row r="24" spans="1:2">
      <c r="A24" s="6"/>
      <c r="B24" s="7"/>
    </row>
    <row r="25" spans="1:2">
      <c r="A25" s="6"/>
      <c r="B25" s="7"/>
    </row>
    <row r="26" spans="1:2">
      <c r="A26" s="6"/>
      <c r="B26" s="7"/>
    </row>
    <row r="27" spans="1:2">
      <c r="A27" s="6"/>
      <c r="B27" s="7"/>
    </row>
    <row r="28" spans="1:2">
      <c r="A28" s="6"/>
      <c r="B28" s="7"/>
    </row>
    <row r="29" spans="1:2">
      <c r="A29" s="6"/>
      <c r="B29" s="7"/>
    </row>
    <row r="30" spans="1:2">
      <c r="A30" s="6"/>
      <c r="B30" s="7"/>
    </row>
    <row r="31" spans="1:2">
      <c r="A31" s="6"/>
      <c r="B31" s="7"/>
    </row>
    <row r="32" spans="1:2">
      <c r="A32" s="6"/>
      <c r="B32" s="7"/>
    </row>
    <row r="33" spans="1:2">
      <c r="A33" s="6"/>
      <c r="B33" s="7"/>
    </row>
    <row r="34" spans="1:2">
      <c r="A34" s="6"/>
      <c r="B34" s="7"/>
    </row>
    <row r="35" spans="1:2">
      <c r="A35" s="6"/>
      <c r="B35" s="7"/>
    </row>
    <row r="36" spans="1:2">
      <c r="A36" s="6"/>
      <c r="B36" s="7"/>
    </row>
    <row r="37" spans="1:2">
      <c r="A37" s="6"/>
      <c r="B37" s="7"/>
    </row>
    <row r="38" spans="1:2">
      <c r="A38" s="6"/>
      <c r="B38" s="7"/>
    </row>
    <row r="39" spans="1:2">
      <c r="A39" s="6"/>
      <c r="B39" s="7"/>
    </row>
    <row r="40" spans="1:2">
      <c r="A40" s="6"/>
      <c r="B40" s="7"/>
    </row>
    <row r="41" spans="1:2">
      <c r="A41" s="6"/>
      <c r="B41" s="7"/>
    </row>
    <row r="42" spans="1:2">
      <c r="A42" s="6"/>
      <c r="B42" s="7"/>
    </row>
    <row r="43" spans="1:2">
      <c r="A43" s="6"/>
      <c r="B43" s="7"/>
    </row>
    <row r="44" spans="1:2">
      <c r="A44" s="6"/>
      <c r="B44" s="7"/>
    </row>
    <row r="45" spans="1:2">
      <c r="A45" s="6"/>
      <c r="B45" s="7"/>
    </row>
    <row r="46" spans="1:2">
      <c r="B46" s="8"/>
    </row>
    <row r="47" spans="1:2">
      <c r="B47" s="8"/>
    </row>
    <row r="48" spans="1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</sheetData>
  <mergeCells count="4">
    <mergeCell ref="A14:B19"/>
    <mergeCell ref="A3:B3"/>
    <mergeCell ref="A5:A6"/>
    <mergeCell ref="B5:B6"/>
  </mergeCells>
  <phoneticPr fontId="24" type="noConversion"/>
  <printOptions horizontalCentered="1" verticalCentered="1"/>
  <pageMargins left="0.19685039370078741" right="0.19685039370078741" top="0.98425196850393704" bottom="0.98425196850393704" header="0.51181102362204722" footer="0.5118110236220472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155"/>
  <sheetViews>
    <sheetView workbookViewId="0">
      <pane xSplit="1" ySplit="6" topLeftCell="B10" activePane="bottomRight" state="frozen"/>
      <selection pane="topRight" activeCell="B1" sqref="B1"/>
      <selection pane="bottomLeft" activeCell="A9" sqref="A9"/>
      <selection pane="bottomRight"/>
    </sheetView>
  </sheetViews>
  <sheetFormatPr baseColWidth="10" defaultColWidth="11.296875" defaultRowHeight="13.2"/>
  <cols>
    <col min="1" max="1" width="35.69921875" style="1" customWidth="1"/>
    <col min="2" max="3" width="25.69921875" style="1" customWidth="1"/>
    <col min="4" max="16384" width="11.296875" style="1"/>
  </cols>
  <sheetData>
    <row r="1" spans="1:3" ht="15.6">
      <c r="A1"/>
    </row>
    <row r="2" spans="1:3" ht="13.8" thickBot="1"/>
    <row r="3" spans="1:3" ht="49.8" customHeight="1" thickTop="1">
      <c r="A3" s="140" t="s">
        <v>133</v>
      </c>
      <c r="B3" s="150"/>
      <c r="C3" s="141"/>
    </row>
    <row r="4" spans="1:3" ht="23.4" thickBot="1">
      <c r="A4" s="2"/>
      <c r="B4" s="3"/>
      <c r="C4" s="4"/>
    </row>
    <row r="5" spans="1:3" ht="70.05" customHeight="1">
      <c r="A5" s="142" t="s">
        <v>81</v>
      </c>
      <c r="B5" s="144" t="s">
        <v>97</v>
      </c>
      <c r="C5" s="151" t="s">
        <v>96</v>
      </c>
    </row>
    <row r="6" spans="1:3" ht="30" customHeight="1" thickBot="1">
      <c r="A6" s="143"/>
      <c r="B6" s="145"/>
      <c r="C6" s="152"/>
    </row>
    <row r="7" spans="1:3" ht="70.05" customHeight="1" thickBot="1">
      <c r="A7" s="59" t="s">
        <v>82</v>
      </c>
      <c r="B7" s="33">
        <f>TS12.3!Z37</f>
        <v>6.7714305136901798E-2</v>
      </c>
      <c r="C7" s="60">
        <f>TS12.3!Z40</f>
        <v>4.0961693604074423E-2</v>
      </c>
    </row>
    <row r="8" spans="1:3" ht="70.05" customHeight="1" thickBot="1">
      <c r="A8" s="59" t="s">
        <v>83</v>
      </c>
      <c r="B8" s="33">
        <f>TS12.3!U37</f>
        <v>6.4188705295627146E-2</v>
      </c>
      <c r="C8" s="60">
        <f>TS12.3!U40</f>
        <v>3.7854601399181842E-2</v>
      </c>
    </row>
    <row r="9" spans="1:3" ht="49.8" customHeight="1" thickBot="1">
      <c r="A9" s="59" t="s">
        <v>84</v>
      </c>
      <c r="B9" s="33">
        <f>0.001+TS12.3!AP37</f>
        <v>2.1144717283565595E-2</v>
      </c>
      <c r="C9" s="60">
        <f>TS12.3!AP40</f>
        <v>2.042562281867899E-2</v>
      </c>
    </row>
    <row r="10" spans="1:3" ht="49.8" customHeight="1" thickBot="1">
      <c r="A10" s="59" t="s">
        <v>85</v>
      </c>
      <c r="B10" s="33">
        <f>0.0004+TS12.3!AO37</f>
        <v>1.3781736362194862E-2</v>
      </c>
      <c r="C10" s="60">
        <f>TS12.3!AO40</f>
        <v>1.4745987572277741E-2</v>
      </c>
    </row>
    <row r="11" spans="1:3" s="5" customFormat="1" ht="49.8" customHeight="1" thickBot="1">
      <c r="A11" s="59" t="s">
        <v>86</v>
      </c>
      <c r="B11" s="33">
        <f>TS12.3!R36</f>
        <v>1.9214608681880296E-2</v>
      </c>
      <c r="C11" s="60">
        <f>TS12.3!R39</f>
        <v>1.8990160284631408E-2</v>
      </c>
    </row>
    <row r="12" spans="1:3" ht="49.8" customHeight="1" thickBot="1">
      <c r="A12" s="61" t="s">
        <v>87</v>
      </c>
      <c r="B12" s="34">
        <f>TS12.3!AD37</f>
        <v>3.2853469871758856E-2</v>
      </c>
      <c r="C12" s="62">
        <f>TS12.3!AD40</f>
        <v>3.4016176524461983E-2</v>
      </c>
    </row>
    <row r="13" spans="1:3" ht="18.600000000000001" thickTop="1" thickBot="1">
      <c r="A13" s="35"/>
      <c r="B13" s="36"/>
      <c r="C13" s="36"/>
    </row>
    <row r="14" spans="1:3" ht="13.05" customHeight="1" thickTop="1">
      <c r="A14" s="134" t="s">
        <v>134</v>
      </c>
      <c r="B14" s="147"/>
      <c r="C14" s="135"/>
    </row>
    <row r="15" spans="1:3" ht="13.05" customHeight="1">
      <c r="A15" s="136"/>
      <c r="B15" s="148"/>
      <c r="C15" s="137"/>
    </row>
    <row r="16" spans="1:3" ht="13.05" customHeight="1">
      <c r="A16" s="136"/>
      <c r="B16" s="148"/>
      <c r="C16" s="137"/>
    </row>
    <row r="17" spans="1:3" ht="13.05" customHeight="1">
      <c r="A17" s="136"/>
      <c r="B17" s="148"/>
      <c r="C17" s="137"/>
    </row>
    <row r="18" spans="1:3" ht="12" customHeight="1">
      <c r="A18" s="136"/>
      <c r="B18" s="148"/>
      <c r="C18" s="137"/>
    </row>
    <row r="19" spans="1:3" ht="13.05" customHeight="1" thickBot="1">
      <c r="A19" s="138"/>
      <c r="B19" s="149"/>
      <c r="C19" s="139"/>
    </row>
    <row r="20" spans="1:3" ht="13.8" thickTop="1">
      <c r="A20" s="6"/>
      <c r="B20" s="7"/>
      <c r="C20" s="7"/>
    </row>
    <row r="21" spans="1:3">
      <c r="A21" s="31"/>
      <c r="B21" s="7"/>
      <c r="C21" s="7"/>
    </row>
    <row r="22" spans="1:3">
      <c r="A22" s="6"/>
      <c r="B22" s="7"/>
      <c r="C22" s="7"/>
    </row>
    <row r="23" spans="1:3">
      <c r="A23" s="6"/>
      <c r="B23" s="7"/>
      <c r="C23" s="7"/>
    </row>
    <row r="24" spans="1:3">
      <c r="A24" s="6"/>
      <c r="B24" s="7"/>
      <c r="C24" s="7"/>
    </row>
    <row r="25" spans="1:3">
      <c r="A25" s="6"/>
      <c r="B25" s="7"/>
      <c r="C25" s="7"/>
    </row>
    <row r="26" spans="1:3">
      <c r="A26" s="6"/>
      <c r="B26" s="7"/>
      <c r="C26" s="7"/>
    </row>
    <row r="27" spans="1:3">
      <c r="A27" s="6"/>
      <c r="B27" s="7"/>
      <c r="C27" s="7"/>
    </row>
    <row r="28" spans="1:3">
      <c r="A28" s="6"/>
      <c r="B28" s="7"/>
      <c r="C28" s="7"/>
    </row>
    <row r="29" spans="1:3">
      <c r="A29" s="6"/>
      <c r="B29" s="7"/>
      <c r="C29" s="7"/>
    </row>
    <row r="30" spans="1:3">
      <c r="A30" s="6"/>
      <c r="B30" s="7"/>
      <c r="C30" s="7"/>
    </row>
    <row r="31" spans="1:3">
      <c r="A31" s="6"/>
      <c r="B31" s="7"/>
      <c r="C31" s="7"/>
    </row>
    <row r="32" spans="1:3">
      <c r="A32" s="6"/>
      <c r="B32" s="7"/>
      <c r="C32" s="7"/>
    </row>
    <row r="33" spans="1:3">
      <c r="A33" s="6"/>
      <c r="B33" s="7"/>
      <c r="C33" s="7"/>
    </row>
    <row r="34" spans="1:3">
      <c r="A34" s="6"/>
      <c r="B34" s="7"/>
      <c r="C34" s="7"/>
    </row>
    <row r="35" spans="1:3">
      <c r="A35" s="6"/>
      <c r="B35" s="7"/>
      <c r="C35" s="7"/>
    </row>
    <row r="36" spans="1:3">
      <c r="A36" s="6"/>
      <c r="B36" s="7"/>
      <c r="C36" s="7"/>
    </row>
    <row r="37" spans="1:3">
      <c r="A37" s="6"/>
      <c r="B37" s="7"/>
      <c r="C37" s="7"/>
    </row>
    <row r="38" spans="1:3">
      <c r="A38" s="6"/>
      <c r="B38" s="7"/>
      <c r="C38" s="7"/>
    </row>
    <row r="39" spans="1:3">
      <c r="A39" s="6"/>
      <c r="B39" s="7"/>
      <c r="C39" s="7"/>
    </row>
    <row r="40" spans="1:3">
      <c r="A40" s="6"/>
      <c r="B40" s="7"/>
      <c r="C40" s="7"/>
    </row>
    <row r="41" spans="1:3">
      <c r="A41" s="6"/>
      <c r="B41" s="7"/>
      <c r="C41" s="7"/>
    </row>
    <row r="42" spans="1:3">
      <c r="A42" s="6"/>
      <c r="B42" s="7"/>
      <c r="C42" s="7"/>
    </row>
    <row r="43" spans="1:3">
      <c r="A43" s="6"/>
      <c r="B43" s="7"/>
      <c r="C43" s="7"/>
    </row>
    <row r="44" spans="1:3">
      <c r="A44" s="6"/>
      <c r="B44" s="7"/>
      <c r="C44" s="7"/>
    </row>
    <row r="45" spans="1:3">
      <c r="A45" s="6"/>
      <c r="B45" s="7"/>
      <c r="C45" s="7"/>
    </row>
    <row r="46" spans="1:3">
      <c r="B46" s="8"/>
      <c r="C46" s="8"/>
    </row>
    <row r="47" spans="1:3">
      <c r="B47" s="8"/>
      <c r="C47" s="8"/>
    </row>
    <row r="48" spans="1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  <row r="54" spans="2:3">
      <c r="B54" s="8"/>
      <c r="C54" s="8"/>
    </row>
    <row r="55" spans="2:3">
      <c r="B55" s="8"/>
      <c r="C55" s="8"/>
    </row>
    <row r="56" spans="2:3">
      <c r="B56" s="8"/>
      <c r="C56" s="8"/>
    </row>
    <row r="57" spans="2:3">
      <c r="B57" s="8"/>
      <c r="C57" s="8"/>
    </row>
    <row r="58" spans="2:3">
      <c r="B58" s="8"/>
      <c r="C58" s="8"/>
    </row>
    <row r="59" spans="2:3">
      <c r="B59" s="8"/>
      <c r="C59" s="8"/>
    </row>
    <row r="60" spans="2:3">
      <c r="B60" s="8"/>
      <c r="C60" s="8"/>
    </row>
    <row r="61" spans="2:3">
      <c r="B61" s="8"/>
      <c r="C61" s="8"/>
    </row>
    <row r="62" spans="2:3">
      <c r="B62" s="8"/>
      <c r="C62" s="8"/>
    </row>
    <row r="63" spans="2:3">
      <c r="B63" s="8"/>
      <c r="C63" s="8"/>
    </row>
    <row r="64" spans="2:3">
      <c r="B64" s="8"/>
      <c r="C64" s="8"/>
    </row>
    <row r="65" spans="2:3">
      <c r="B65" s="8"/>
      <c r="C65" s="8"/>
    </row>
    <row r="66" spans="2:3">
      <c r="B66" s="8"/>
      <c r="C66" s="8"/>
    </row>
    <row r="67" spans="2:3">
      <c r="B67" s="8"/>
      <c r="C67" s="8"/>
    </row>
    <row r="68" spans="2:3">
      <c r="B68" s="8"/>
      <c r="C68" s="8"/>
    </row>
    <row r="69" spans="2:3">
      <c r="B69" s="8"/>
      <c r="C69" s="8"/>
    </row>
    <row r="70" spans="2:3">
      <c r="B70" s="8"/>
      <c r="C70" s="8"/>
    </row>
    <row r="71" spans="2:3">
      <c r="B71" s="8"/>
      <c r="C71" s="8"/>
    </row>
    <row r="72" spans="2:3">
      <c r="B72" s="8"/>
      <c r="C72" s="8"/>
    </row>
    <row r="73" spans="2:3">
      <c r="B73" s="8"/>
      <c r="C73" s="8"/>
    </row>
    <row r="74" spans="2:3">
      <c r="B74" s="8"/>
      <c r="C74" s="8"/>
    </row>
    <row r="75" spans="2:3">
      <c r="B75" s="8"/>
      <c r="C75" s="8"/>
    </row>
    <row r="76" spans="2:3">
      <c r="B76" s="8"/>
      <c r="C76" s="8"/>
    </row>
    <row r="77" spans="2:3">
      <c r="B77" s="8"/>
      <c r="C77" s="8"/>
    </row>
    <row r="78" spans="2:3">
      <c r="B78" s="8"/>
      <c r="C78" s="8"/>
    </row>
    <row r="79" spans="2:3">
      <c r="B79" s="8"/>
      <c r="C79" s="8"/>
    </row>
    <row r="80" spans="2:3">
      <c r="B80" s="8"/>
      <c r="C80" s="8"/>
    </row>
    <row r="81" spans="2:3">
      <c r="B81" s="8"/>
      <c r="C81" s="8"/>
    </row>
    <row r="82" spans="2:3">
      <c r="B82" s="8"/>
      <c r="C82" s="8"/>
    </row>
    <row r="83" spans="2:3">
      <c r="B83" s="8"/>
      <c r="C83" s="8"/>
    </row>
    <row r="84" spans="2:3">
      <c r="B84" s="8"/>
      <c r="C84" s="8"/>
    </row>
    <row r="85" spans="2:3">
      <c r="B85" s="8"/>
      <c r="C85" s="8"/>
    </row>
    <row r="86" spans="2:3">
      <c r="B86" s="8"/>
      <c r="C86" s="8"/>
    </row>
    <row r="87" spans="2:3">
      <c r="B87" s="8"/>
      <c r="C87" s="8"/>
    </row>
    <row r="88" spans="2:3">
      <c r="B88" s="8"/>
      <c r="C88" s="8"/>
    </row>
    <row r="89" spans="2:3">
      <c r="B89" s="8"/>
      <c r="C89" s="8"/>
    </row>
    <row r="90" spans="2:3">
      <c r="B90" s="8"/>
      <c r="C90" s="8"/>
    </row>
    <row r="91" spans="2:3">
      <c r="B91" s="8"/>
      <c r="C91" s="8"/>
    </row>
    <row r="92" spans="2:3">
      <c r="B92" s="8"/>
      <c r="C92" s="8"/>
    </row>
    <row r="93" spans="2:3">
      <c r="B93" s="8"/>
      <c r="C93" s="8"/>
    </row>
    <row r="94" spans="2:3">
      <c r="B94" s="8"/>
      <c r="C94" s="8"/>
    </row>
    <row r="95" spans="2:3">
      <c r="B95" s="8"/>
      <c r="C95" s="8"/>
    </row>
    <row r="96" spans="2:3">
      <c r="B96" s="8"/>
      <c r="C96" s="8"/>
    </row>
    <row r="97" spans="2:3">
      <c r="B97" s="8"/>
      <c r="C97" s="8"/>
    </row>
    <row r="98" spans="2:3">
      <c r="B98" s="8"/>
      <c r="C98" s="8"/>
    </row>
    <row r="99" spans="2:3">
      <c r="B99" s="8"/>
      <c r="C99" s="8"/>
    </row>
    <row r="100" spans="2:3">
      <c r="B100" s="8"/>
      <c r="C100" s="8"/>
    </row>
    <row r="101" spans="2:3">
      <c r="B101" s="8"/>
      <c r="C101" s="8"/>
    </row>
    <row r="102" spans="2:3">
      <c r="B102" s="8"/>
      <c r="C102" s="8"/>
    </row>
    <row r="103" spans="2:3">
      <c r="B103" s="8"/>
      <c r="C103" s="8"/>
    </row>
    <row r="104" spans="2:3">
      <c r="B104" s="8"/>
      <c r="C104" s="8"/>
    </row>
    <row r="105" spans="2:3">
      <c r="B105" s="8"/>
      <c r="C105" s="8"/>
    </row>
    <row r="106" spans="2:3">
      <c r="B106" s="8"/>
      <c r="C106" s="8"/>
    </row>
    <row r="107" spans="2:3">
      <c r="B107" s="8"/>
      <c r="C107" s="8"/>
    </row>
    <row r="108" spans="2:3">
      <c r="B108" s="8"/>
      <c r="C108" s="8"/>
    </row>
    <row r="109" spans="2:3">
      <c r="B109" s="8"/>
      <c r="C109" s="8"/>
    </row>
    <row r="110" spans="2:3">
      <c r="B110" s="8"/>
      <c r="C110" s="8"/>
    </row>
    <row r="111" spans="2:3">
      <c r="B111" s="8"/>
      <c r="C111" s="8"/>
    </row>
    <row r="112" spans="2:3">
      <c r="B112" s="8"/>
      <c r="C112" s="8"/>
    </row>
    <row r="113" spans="2:3">
      <c r="B113" s="8"/>
      <c r="C113" s="8"/>
    </row>
    <row r="114" spans="2:3">
      <c r="B114" s="8"/>
      <c r="C114" s="8"/>
    </row>
    <row r="115" spans="2:3">
      <c r="B115" s="8"/>
      <c r="C115" s="8"/>
    </row>
    <row r="116" spans="2:3">
      <c r="B116" s="8"/>
      <c r="C116" s="8"/>
    </row>
    <row r="117" spans="2:3">
      <c r="B117" s="8"/>
      <c r="C117" s="8"/>
    </row>
    <row r="118" spans="2:3">
      <c r="B118" s="8"/>
      <c r="C118" s="8"/>
    </row>
    <row r="119" spans="2:3">
      <c r="B119" s="8"/>
      <c r="C119" s="8"/>
    </row>
    <row r="120" spans="2:3">
      <c r="B120" s="8"/>
      <c r="C120" s="8"/>
    </row>
    <row r="121" spans="2:3">
      <c r="B121" s="8"/>
      <c r="C121" s="8"/>
    </row>
    <row r="122" spans="2:3">
      <c r="B122" s="8"/>
      <c r="C122" s="8"/>
    </row>
    <row r="123" spans="2:3">
      <c r="B123" s="8"/>
      <c r="C123" s="8"/>
    </row>
    <row r="124" spans="2:3">
      <c r="B124" s="8"/>
      <c r="C124" s="8"/>
    </row>
    <row r="125" spans="2:3">
      <c r="B125" s="8"/>
      <c r="C125" s="8"/>
    </row>
    <row r="126" spans="2:3">
      <c r="B126" s="8"/>
      <c r="C126" s="8"/>
    </row>
    <row r="127" spans="2:3">
      <c r="B127" s="8"/>
      <c r="C127" s="8"/>
    </row>
    <row r="128" spans="2:3">
      <c r="B128" s="8"/>
      <c r="C128" s="8"/>
    </row>
    <row r="129" spans="2:3">
      <c r="B129" s="8"/>
      <c r="C129" s="8"/>
    </row>
    <row r="130" spans="2:3">
      <c r="B130" s="8"/>
      <c r="C130" s="8"/>
    </row>
    <row r="131" spans="2:3">
      <c r="B131" s="8"/>
      <c r="C131" s="8"/>
    </row>
    <row r="132" spans="2:3">
      <c r="B132" s="8"/>
      <c r="C132" s="8"/>
    </row>
    <row r="133" spans="2:3">
      <c r="B133" s="8"/>
      <c r="C133" s="8"/>
    </row>
    <row r="134" spans="2:3">
      <c r="B134" s="8"/>
      <c r="C134" s="8"/>
    </row>
    <row r="135" spans="2:3">
      <c r="B135" s="8"/>
      <c r="C135" s="8"/>
    </row>
    <row r="136" spans="2:3">
      <c r="B136" s="8"/>
      <c r="C136" s="8"/>
    </row>
    <row r="137" spans="2:3">
      <c r="B137" s="8"/>
      <c r="C137" s="8"/>
    </row>
    <row r="138" spans="2:3">
      <c r="B138" s="8"/>
      <c r="C138" s="8"/>
    </row>
    <row r="139" spans="2:3">
      <c r="B139" s="8"/>
      <c r="C139" s="8"/>
    </row>
    <row r="140" spans="2:3">
      <c r="B140" s="8"/>
      <c r="C140" s="8"/>
    </row>
    <row r="141" spans="2:3">
      <c r="B141" s="8"/>
      <c r="C141" s="8"/>
    </row>
    <row r="142" spans="2:3">
      <c r="B142" s="8"/>
      <c r="C142" s="8"/>
    </row>
    <row r="143" spans="2:3">
      <c r="B143" s="8"/>
      <c r="C143" s="8"/>
    </row>
    <row r="144" spans="2:3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</sheetData>
  <mergeCells count="5">
    <mergeCell ref="A14:C19"/>
    <mergeCell ref="A3:C3"/>
    <mergeCell ref="A5:A6"/>
    <mergeCell ref="B5:B6"/>
    <mergeCell ref="C5:C6"/>
  </mergeCells>
  <phoneticPr fontId="24" type="noConversion"/>
  <printOptions horizontalCentered="1" verticalCentered="1"/>
  <pageMargins left="0.19685039370078741" right="0.19685039370078741" top="0.98425196850393704" bottom="0.98425196850393704" header="0.51181102362204722" footer="0.5118110236220472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157"/>
  <sheetViews>
    <sheetView workbookViewId="0">
      <pane xSplit="1" ySplit="6" topLeftCell="B10" activePane="bottomRight" state="frozen"/>
      <selection pane="topRight" activeCell="B1" sqref="B1"/>
      <selection pane="bottomLeft" activeCell="A9" sqref="A9"/>
      <selection pane="bottomRight" activeCell="E12" sqref="E12"/>
    </sheetView>
  </sheetViews>
  <sheetFormatPr baseColWidth="10" defaultColWidth="11.296875" defaultRowHeight="13.2"/>
  <cols>
    <col min="1" max="1" width="35.69921875" style="1" customWidth="1"/>
    <col min="2" max="3" width="25.69921875" style="1" customWidth="1"/>
    <col min="4" max="16384" width="11.296875" style="1"/>
  </cols>
  <sheetData>
    <row r="1" spans="1:3" ht="15.6">
      <c r="A1"/>
    </row>
    <row r="2" spans="1:3" ht="13.8" thickBot="1"/>
    <row r="3" spans="1:3" ht="49.8" customHeight="1" thickTop="1">
      <c r="A3" s="140" t="s">
        <v>94</v>
      </c>
      <c r="B3" s="150"/>
      <c r="C3" s="141"/>
    </row>
    <row r="4" spans="1:3" ht="23.4" thickBot="1">
      <c r="A4" s="2"/>
      <c r="B4" s="3"/>
      <c r="C4" s="4"/>
    </row>
    <row r="5" spans="1:3" ht="70.05" customHeight="1">
      <c r="A5" s="142" t="s">
        <v>93</v>
      </c>
      <c r="B5" s="144" t="s">
        <v>95</v>
      </c>
      <c r="C5" s="151" t="s">
        <v>96</v>
      </c>
    </row>
    <row r="6" spans="1:3" ht="30" customHeight="1" thickBot="1">
      <c r="A6" s="146"/>
      <c r="B6" s="145"/>
      <c r="C6" s="152"/>
    </row>
    <row r="7" spans="1:3" ht="70.05" customHeight="1" thickBot="1">
      <c r="A7" s="59" t="s">
        <v>89</v>
      </c>
      <c r="B7" s="33">
        <f>DetailsTS12.2!E10</f>
        <v>8.1908112879579331E-2</v>
      </c>
      <c r="C7" s="60">
        <f>DetailsTS12.2!F10</f>
        <v>7.2132550481207591E-2</v>
      </c>
    </row>
    <row r="8" spans="1:3" ht="49.8" customHeight="1" thickBot="1">
      <c r="A8" s="32" t="s">
        <v>90</v>
      </c>
      <c r="B8" s="33">
        <f>AVERAGE(DetailsTS12.2!E31:E33)</f>
        <v>0.10219467057511518</v>
      </c>
      <c r="C8" s="60">
        <f>AVERAGE(DetailsTS12.2!F31:F33)</f>
        <v>0.10008779820515394</v>
      </c>
    </row>
    <row r="9" spans="1:3" ht="49.8" customHeight="1" thickBot="1">
      <c r="A9" s="59" t="s">
        <v>92</v>
      </c>
      <c r="B9" s="33">
        <f>DetailsTS12.2!E20</f>
        <v>8.8375167133302179E-2</v>
      </c>
      <c r="C9" s="60">
        <f>DetailsTS12.2!F20</f>
        <v>7.8010221263917323E-2</v>
      </c>
    </row>
    <row r="10" spans="1:3" ht="49.8" customHeight="1" thickBot="1">
      <c r="A10" s="59" t="s">
        <v>91</v>
      </c>
      <c r="B10" s="33">
        <f>DetailsTS12.2!E21</f>
        <v>7.7560359311300786E-2</v>
      </c>
      <c r="C10" s="60">
        <f>DetailsTS12.2!F21</f>
        <v>6.3363172923960542E-2</v>
      </c>
    </row>
    <row r="11" spans="1:3" s="5" customFormat="1" ht="49.8" customHeight="1" thickBot="1">
      <c r="A11" s="59" t="s">
        <v>142</v>
      </c>
      <c r="B11" s="33">
        <f>DetailsTS12.2!E22</f>
        <v>7.0571292834245902E-2</v>
      </c>
      <c r="C11" s="60">
        <f>DetailsTS12.2!F22</f>
        <v>5.8557437274433077E-2</v>
      </c>
    </row>
    <row r="12" spans="1:3" ht="49.8" customHeight="1" thickBot="1">
      <c r="A12" s="61" t="s">
        <v>143</v>
      </c>
      <c r="B12" s="34">
        <f>DetailsTS12.2!E23</f>
        <v>6.1653376975331797E-2</v>
      </c>
      <c r="C12" s="62">
        <f>DetailsTS12.2!F23</f>
        <v>5.1364788674760131E-2</v>
      </c>
    </row>
    <row r="13" spans="1:3" ht="18.600000000000001" thickTop="1" thickBot="1">
      <c r="A13" s="35"/>
      <c r="B13" s="36"/>
      <c r="C13" s="36"/>
    </row>
    <row r="14" spans="1:3" ht="13.05" customHeight="1" thickTop="1">
      <c r="A14" s="134" t="s">
        <v>131</v>
      </c>
      <c r="B14" s="147"/>
      <c r="C14" s="135"/>
    </row>
    <row r="15" spans="1:3" ht="13.05" customHeight="1">
      <c r="A15" s="136"/>
      <c r="B15" s="148"/>
      <c r="C15" s="137"/>
    </row>
    <row r="16" spans="1:3" ht="13.05" customHeight="1">
      <c r="A16" s="136"/>
      <c r="B16" s="148"/>
      <c r="C16" s="137"/>
    </row>
    <row r="17" spans="1:3" ht="13.05" customHeight="1">
      <c r="A17" s="136"/>
      <c r="B17" s="148"/>
      <c r="C17" s="137"/>
    </row>
    <row r="18" spans="1:3" ht="13.05" customHeight="1">
      <c r="A18" s="136"/>
      <c r="B18" s="148"/>
      <c r="C18" s="137"/>
    </row>
    <row r="19" spans="1:3" ht="13.05" customHeight="1">
      <c r="A19" s="136"/>
      <c r="B19" s="148"/>
      <c r="C19" s="137"/>
    </row>
    <row r="20" spans="1:3" ht="12" customHeight="1">
      <c r="A20" s="136"/>
      <c r="B20" s="148"/>
      <c r="C20" s="137"/>
    </row>
    <row r="21" spans="1:3" ht="13.05" customHeight="1" thickBot="1">
      <c r="A21" s="138"/>
      <c r="B21" s="149"/>
      <c r="C21" s="139"/>
    </row>
    <row r="22" spans="1:3" ht="13.8" thickTop="1">
      <c r="A22" s="6"/>
      <c r="B22" s="7"/>
      <c r="C22" s="7"/>
    </row>
    <row r="23" spans="1:3">
      <c r="A23" s="31"/>
      <c r="B23" s="7"/>
      <c r="C23" s="7"/>
    </row>
    <row r="24" spans="1:3">
      <c r="A24" s="6"/>
      <c r="B24" s="7"/>
      <c r="C24" s="7"/>
    </row>
    <row r="25" spans="1:3">
      <c r="A25" s="6"/>
      <c r="B25" s="7"/>
      <c r="C25" s="7"/>
    </row>
    <row r="26" spans="1:3">
      <c r="A26" s="6"/>
      <c r="B26" s="7"/>
      <c r="C26" s="7"/>
    </row>
    <row r="27" spans="1:3">
      <c r="A27" s="6"/>
      <c r="B27" s="7"/>
      <c r="C27" s="7"/>
    </row>
    <row r="28" spans="1:3">
      <c r="A28" s="6"/>
      <c r="B28" s="7"/>
      <c r="C28" s="7"/>
    </row>
    <row r="29" spans="1:3">
      <c r="A29" s="6"/>
      <c r="B29" s="7"/>
      <c r="C29" s="7"/>
    </row>
    <row r="30" spans="1:3">
      <c r="A30" s="6"/>
      <c r="B30" s="7"/>
      <c r="C30" s="7"/>
    </row>
    <row r="31" spans="1:3">
      <c r="A31" s="6"/>
      <c r="B31" s="7"/>
      <c r="C31" s="7"/>
    </row>
    <row r="32" spans="1:3">
      <c r="A32" s="6"/>
      <c r="B32" s="7"/>
      <c r="C32" s="7"/>
    </row>
    <row r="33" spans="1:3">
      <c r="A33" s="6"/>
      <c r="B33" s="7"/>
      <c r="C33" s="7"/>
    </row>
    <row r="34" spans="1:3">
      <c r="A34" s="6"/>
      <c r="B34" s="7"/>
      <c r="C34" s="7"/>
    </row>
    <row r="35" spans="1:3">
      <c r="A35" s="6"/>
      <c r="B35" s="7"/>
      <c r="C35" s="7"/>
    </row>
    <row r="36" spans="1:3">
      <c r="A36" s="6"/>
      <c r="B36" s="7"/>
      <c r="C36" s="7"/>
    </row>
    <row r="37" spans="1:3">
      <c r="A37" s="6"/>
      <c r="B37" s="7"/>
      <c r="C37" s="7"/>
    </row>
    <row r="38" spans="1:3">
      <c r="A38" s="6"/>
      <c r="B38" s="7"/>
      <c r="C38" s="7"/>
    </row>
    <row r="39" spans="1:3">
      <c r="A39" s="6"/>
      <c r="B39" s="7"/>
      <c r="C39" s="7"/>
    </row>
    <row r="40" spans="1:3">
      <c r="A40" s="6"/>
      <c r="B40" s="7"/>
      <c r="C40" s="7"/>
    </row>
    <row r="41" spans="1:3">
      <c r="A41" s="6"/>
      <c r="B41" s="7"/>
      <c r="C41" s="7"/>
    </row>
    <row r="42" spans="1:3">
      <c r="A42" s="6"/>
      <c r="B42" s="7"/>
      <c r="C42" s="7"/>
    </row>
    <row r="43" spans="1:3">
      <c r="A43" s="6"/>
      <c r="B43" s="7"/>
      <c r="C43" s="7"/>
    </row>
    <row r="44" spans="1:3">
      <c r="A44" s="6"/>
      <c r="B44" s="7"/>
      <c r="C44" s="7"/>
    </row>
    <row r="45" spans="1:3">
      <c r="A45" s="6"/>
      <c r="B45" s="7"/>
      <c r="C45" s="7"/>
    </row>
    <row r="46" spans="1:3">
      <c r="A46" s="6"/>
      <c r="B46" s="7"/>
      <c r="C46" s="7"/>
    </row>
    <row r="47" spans="1:3">
      <c r="A47" s="6"/>
      <c r="B47" s="7"/>
      <c r="C47" s="7"/>
    </row>
    <row r="48" spans="1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  <row r="54" spans="2:3">
      <c r="B54" s="8"/>
      <c r="C54" s="8"/>
    </row>
    <row r="55" spans="2:3">
      <c r="B55" s="8"/>
      <c r="C55" s="8"/>
    </row>
    <row r="56" spans="2:3">
      <c r="B56" s="8"/>
      <c r="C56" s="8"/>
    </row>
    <row r="57" spans="2:3">
      <c r="B57" s="8"/>
      <c r="C57" s="8"/>
    </row>
    <row r="58" spans="2:3">
      <c r="B58" s="8"/>
      <c r="C58" s="8"/>
    </row>
    <row r="59" spans="2:3">
      <c r="B59" s="8"/>
      <c r="C59" s="8"/>
    </row>
    <row r="60" spans="2:3">
      <c r="B60" s="8"/>
      <c r="C60" s="8"/>
    </row>
    <row r="61" spans="2:3">
      <c r="B61" s="8"/>
      <c r="C61" s="8"/>
    </row>
    <row r="62" spans="2:3">
      <c r="B62" s="8"/>
      <c r="C62" s="8"/>
    </row>
    <row r="63" spans="2:3">
      <c r="B63" s="8"/>
      <c r="C63" s="8"/>
    </row>
    <row r="64" spans="2:3">
      <c r="B64" s="8"/>
      <c r="C64" s="8"/>
    </row>
    <row r="65" spans="2:3">
      <c r="B65" s="8"/>
      <c r="C65" s="8"/>
    </row>
    <row r="66" spans="2:3">
      <c r="B66" s="8"/>
      <c r="C66" s="8"/>
    </row>
    <row r="67" spans="2:3">
      <c r="B67" s="8"/>
      <c r="C67" s="8"/>
    </row>
    <row r="68" spans="2:3">
      <c r="B68" s="8"/>
      <c r="C68" s="8"/>
    </row>
    <row r="69" spans="2:3">
      <c r="B69" s="8"/>
      <c r="C69" s="8"/>
    </row>
    <row r="70" spans="2:3">
      <c r="B70" s="8"/>
      <c r="C70" s="8"/>
    </row>
    <row r="71" spans="2:3">
      <c r="B71" s="8"/>
      <c r="C71" s="8"/>
    </row>
    <row r="72" spans="2:3">
      <c r="B72" s="8"/>
      <c r="C72" s="8"/>
    </row>
    <row r="73" spans="2:3">
      <c r="B73" s="8"/>
      <c r="C73" s="8"/>
    </row>
    <row r="74" spans="2:3">
      <c r="B74" s="8"/>
      <c r="C74" s="8"/>
    </row>
    <row r="75" spans="2:3">
      <c r="B75" s="8"/>
      <c r="C75" s="8"/>
    </row>
    <row r="76" spans="2:3">
      <c r="B76" s="8"/>
      <c r="C76" s="8"/>
    </row>
    <row r="77" spans="2:3">
      <c r="B77" s="8"/>
      <c r="C77" s="8"/>
    </row>
    <row r="78" spans="2:3">
      <c r="B78" s="8"/>
      <c r="C78" s="8"/>
    </row>
    <row r="79" spans="2:3">
      <c r="B79" s="8"/>
      <c r="C79" s="8"/>
    </row>
    <row r="80" spans="2:3">
      <c r="B80" s="8"/>
      <c r="C80" s="8"/>
    </row>
    <row r="81" spans="2:3">
      <c r="B81" s="8"/>
      <c r="C81" s="8"/>
    </row>
    <row r="82" spans="2:3">
      <c r="B82" s="8"/>
      <c r="C82" s="8"/>
    </row>
    <row r="83" spans="2:3">
      <c r="B83" s="8"/>
      <c r="C83" s="8"/>
    </row>
    <row r="84" spans="2:3">
      <c r="B84" s="8"/>
      <c r="C84" s="8"/>
    </row>
    <row r="85" spans="2:3">
      <c r="B85" s="8"/>
      <c r="C85" s="8"/>
    </row>
    <row r="86" spans="2:3">
      <c r="B86" s="8"/>
      <c r="C86" s="8"/>
    </row>
    <row r="87" spans="2:3">
      <c r="B87" s="8"/>
      <c r="C87" s="8"/>
    </row>
    <row r="88" spans="2:3">
      <c r="B88" s="8"/>
      <c r="C88" s="8"/>
    </row>
    <row r="89" spans="2:3">
      <c r="B89" s="8"/>
      <c r="C89" s="8"/>
    </row>
    <row r="90" spans="2:3">
      <c r="B90" s="8"/>
      <c r="C90" s="8"/>
    </row>
    <row r="91" spans="2:3">
      <c r="B91" s="8"/>
      <c r="C91" s="8"/>
    </row>
    <row r="92" spans="2:3">
      <c r="B92" s="8"/>
      <c r="C92" s="8"/>
    </row>
    <row r="93" spans="2:3">
      <c r="B93" s="8"/>
      <c r="C93" s="8"/>
    </row>
    <row r="94" spans="2:3">
      <c r="B94" s="8"/>
      <c r="C94" s="8"/>
    </row>
    <row r="95" spans="2:3">
      <c r="B95" s="8"/>
      <c r="C95" s="8"/>
    </row>
    <row r="96" spans="2:3">
      <c r="B96" s="8"/>
      <c r="C96" s="8"/>
    </row>
    <row r="97" spans="2:3">
      <c r="B97" s="8"/>
      <c r="C97" s="8"/>
    </row>
    <row r="98" spans="2:3">
      <c r="B98" s="8"/>
      <c r="C98" s="8"/>
    </row>
    <row r="99" spans="2:3">
      <c r="B99" s="8"/>
      <c r="C99" s="8"/>
    </row>
    <row r="100" spans="2:3">
      <c r="B100" s="8"/>
      <c r="C100" s="8"/>
    </row>
    <row r="101" spans="2:3">
      <c r="B101" s="8"/>
      <c r="C101" s="8"/>
    </row>
    <row r="102" spans="2:3">
      <c r="B102" s="8"/>
      <c r="C102" s="8"/>
    </row>
    <row r="103" spans="2:3">
      <c r="B103" s="8"/>
      <c r="C103" s="8"/>
    </row>
    <row r="104" spans="2:3">
      <c r="B104" s="8"/>
      <c r="C104" s="8"/>
    </row>
    <row r="105" spans="2:3">
      <c r="B105" s="8"/>
      <c r="C105" s="8"/>
    </row>
    <row r="106" spans="2:3">
      <c r="B106" s="8"/>
      <c r="C106" s="8"/>
    </row>
    <row r="107" spans="2:3">
      <c r="B107" s="8"/>
      <c r="C107" s="8"/>
    </row>
    <row r="108" spans="2:3">
      <c r="B108" s="8"/>
      <c r="C108" s="8"/>
    </row>
    <row r="109" spans="2:3">
      <c r="B109" s="8"/>
      <c r="C109" s="8"/>
    </row>
    <row r="110" spans="2:3">
      <c r="B110" s="8"/>
      <c r="C110" s="8"/>
    </row>
    <row r="111" spans="2:3">
      <c r="B111" s="8"/>
      <c r="C111" s="8"/>
    </row>
    <row r="112" spans="2:3">
      <c r="B112" s="8"/>
      <c r="C112" s="8"/>
    </row>
    <row r="113" spans="2:3">
      <c r="B113" s="8"/>
      <c r="C113" s="8"/>
    </row>
    <row r="114" spans="2:3">
      <c r="B114" s="8"/>
      <c r="C114" s="8"/>
    </row>
    <row r="115" spans="2:3">
      <c r="B115" s="8"/>
      <c r="C115" s="8"/>
    </row>
    <row r="116" spans="2:3">
      <c r="B116" s="8"/>
      <c r="C116" s="8"/>
    </row>
    <row r="117" spans="2:3">
      <c r="B117" s="8"/>
      <c r="C117" s="8"/>
    </row>
    <row r="118" spans="2:3">
      <c r="B118" s="8"/>
      <c r="C118" s="8"/>
    </row>
    <row r="119" spans="2:3">
      <c r="B119" s="8"/>
      <c r="C119" s="8"/>
    </row>
    <row r="120" spans="2:3">
      <c r="B120" s="8"/>
      <c r="C120" s="8"/>
    </row>
    <row r="121" spans="2:3">
      <c r="B121" s="8"/>
      <c r="C121" s="8"/>
    </row>
    <row r="122" spans="2:3">
      <c r="B122" s="8"/>
      <c r="C122" s="8"/>
    </row>
    <row r="123" spans="2:3">
      <c r="B123" s="8"/>
      <c r="C123" s="8"/>
    </row>
    <row r="124" spans="2:3">
      <c r="B124" s="8"/>
      <c r="C124" s="8"/>
    </row>
    <row r="125" spans="2:3">
      <c r="B125" s="8"/>
      <c r="C125" s="8"/>
    </row>
    <row r="126" spans="2:3">
      <c r="B126" s="8"/>
      <c r="C126" s="8"/>
    </row>
    <row r="127" spans="2:3">
      <c r="B127" s="8"/>
      <c r="C127" s="8"/>
    </row>
    <row r="128" spans="2:3">
      <c r="B128" s="8"/>
      <c r="C128" s="8"/>
    </row>
    <row r="129" spans="2:3">
      <c r="B129" s="8"/>
      <c r="C129" s="8"/>
    </row>
    <row r="130" spans="2:3">
      <c r="B130" s="8"/>
      <c r="C130" s="8"/>
    </row>
    <row r="131" spans="2:3">
      <c r="B131" s="8"/>
      <c r="C131" s="8"/>
    </row>
    <row r="132" spans="2:3">
      <c r="B132" s="8"/>
      <c r="C132" s="8"/>
    </row>
    <row r="133" spans="2:3">
      <c r="B133" s="8"/>
      <c r="C133" s="8"/>
    </row>
    <row r="134" spans="2:3">
      <c r="B134" s="8"/>
      <c r="C134" s="8"/>
    </row>
    <row r="135" spans="2:3">
      <c r="B135" s="8"/>
      <c r="C135" s="8"/>
    </row>
    <row r="136" spans="2:3">
      <c r="B136" s="8"/>
      <c r="C136" s="8"/>
    </row>
    <row r="137" spans="2:3">
      <c r="B137" s="8"/>
      <c r="C137" s="8"/>
    </row>
    <row r="138" spans="2:3">
      <c r="B138" s="8"/>
      <c r="C138" s="8"/>
    </row>
    <row r="139" spans="2:3">
      <c r="B139" s="8"/>
      <c r="C139" s="8"/>
    </row>
    <row r="140" spans="2:3">
      <c r="B140" s="8"/>
      <c r="C140" s="8"/>
    </row>
    <row r="141" spans="2:3">
      <c r="B141" s="8"/>
      <c r="C141" s="8"/>
    </row>
    <row r="142" spans="2:3">
      <c r="B142" s="8"/>
      <c r="C142" s="8"/>
    </row>
    <row r="143" spans="2:3">
      <c r="B143" s="8"/>
      <c r="C143" s="8"/>
    </row>
    <row r="144" spans="2:3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</sheetData>
  <mergeCells count="5">
    <mergeCell ref="A14:C21"/>
    <mergeCell ref="A3:C3"/>
    <mergeCell ref="A5:A6"/>
    <mergeCell ref="B5:B6"/>
    <mergeCell ref="C5:C6"/>
  </mergeCells>
  <phoneticPr fontId="24" type="noConversion"/>
  <printOptions horizontalCentered="1" verticalCentered="1"/>
  <pageMargins left="0.19685039370078741" right="0.19685039370078741" top="0.98425196850393704" bottom="0.98425196850393704" header="0.51181102362204722" footer="0.5118110236220472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S97"/>
  <sheetViews>
    <sheetView workbookViewId="0">
      <pane xSplit="1" ySplit="6" topLeftCell="B10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.6"/>
  <cols>
    <col min="1" max="7" width="15.69921875" customWidth="1"/>
  </cols>
  <sheetData>
    <row r="1" spans="1:45" ht="16.2" thickBot="1"/>
    <row r="2" spans="1:45" ht="16.2" thickTop="1">
      <c r="A2" s="153" t="s">
        <v>132</v>
      </c>
      <c r="B2" s="154"/>
      <c r="C2" s="154"/>
      <c r="D2" s="154"/>
      <c r="E2" s="154"/>
      <c r="F2" s="154"/>
      <c r="G2" s="155"/>
    </row>
    <row r="3" spans="1:45">
      <c r="A3" s="156"/>
      <c r="B3" s="157"/>
      <c r="C3" s="157"/>
      <c r="D3" s="157"/>
      <c r="E3" s="157"/>
      <c r="F3" s="157"/>
      <c r="G3" s="158"/>
    </row>
    <row r="4" spans="1:45" ht="16.2" thickBot="1">
      <c r="A4" s="159"/>
      <c r="B4" s="160"/>
      <c r="C4" s="160"/>
      <c r="D4" s="160"/>
      <c r="E4" s="160"/>
      <c r="F4" s="160"/>
      <c r="G4" s="161"/>
      <c r="H4" s="127"/>
      <c r="I4" s="57" t="s">
        <v>77</v>
      </c>
    </row>
    <row r="5" spans="1:45" ht="16.8" thickTop="1" thickBot="1">
      <c r="A5" s="127"/>
      <c r="B5" s="127"/>
      <c r="C5" s="127"/>
      <c r="D5" s="127"/>
      <c r="E5" s="127"/>
      <c r="F5" s="127"/>
      <c r="G5" s="127"/>
      <c r="H5" s="127"/>
      <c r="AL5" t="s">
        <v>54</v>
      </c>
    </row>
    <row r="6" spans="1:45" ht="75" customHeight="1" thickTop="1" thickBot="1">
      <c r="A6" s="129"/>
      <c r="B6" s="126" t="s">
        <v>144</v>
      </c>
      <c r="C6" s="126" t="s">
        <v>145</v>
      </c>
      <c r="D6" s="126" t="s">
        <v>98</v>
      </c>
      <c r="E6" s="126" t="s">
        <v>146</v>
      </c>
      <c r="F6" s="126" t="s">
        <v>99</v>
      </c>
      <c r="G6" s="126" t="s">
        <v>100</v>
      </c>
      <c r="H6" s="128"/>
      <c r="I6" s="102" t="s">
        <v>29</v>
      </c>
      <c r="J6" s="102" t="s">
        <v>30</v>
      </c>
      <c r="K6" s="102" t="s">
        <v>31</v>
      </c>
      <c r="L6" s="102" t="s">
        <v>32</v>
      </c>
      <c r="M6" s="102" t="s">
        <v>33</v>
      </c>
      <c r="N6" s="102" t="s">
        <v>34</v>
      </c>
      <c r="O6" s="102" t="s">
        <v>35</v>
      </c>
      <c r="P6" s="102" t="s">
        <v>101</v>
      </c>
      <c r="Q6" s="102" t="s">
        <v>102</v>
      </c>
      <c r="R6" s="102" t="s">
        <v>103</v>
      </c>
      <c r="S6" s="102" t="s">
        <v>36</v>
      </c>
      <c r="T6" s="102" t="s">
        <v>37</v>
      </c>
      <c r="U6" s="102" t="s">
        <v>38</v>
      </c>
      <c r="V6" s="102" t="s">
        <v>35</v>
      </c>
      <c r="X6" s="102" t="s">
        <v>45</v>
      </c>
      <c r="Y6" s="102" t="s">
        <v>46</v>
      </c>
      <c r="Z6" s="102" t="s">
        <v>38</v>
      </c>
      <c r="AA6" s="102" t="s">
        <v>35</v>
      </c>
      <c r="AB6" s="102"/>
      <c r="AC6" s="102" t="s">
        <v>39</v>
      </c>
      <c r="AD6" s="102" t="s">
        <v>40</v>
      </c>
      <c r="AE6" s="102" t="s">
        <v>55</v>
      </c>
      <c r="AF6" s="102" t="s">
        <v>56</v>
      </c>
      <c r="AG6" s="102" t="s">
        <v>50</v>
      </c>
      <c r="AH6" s="102" t="s">
        <v>51</v>
      </c>
      <c r="AI6" s="102" t="s">
        <v>41</v>
      </c>
      <c r="AJ6" s="102" t="s">
        <v>57</v>
      </c>
      <c r="AK6" s="102" t="s">
        <v>62</v>
      </c>
      <c r="AL6" s="102" t="s">
        <v>61</v>
      </c>
      <c r="AM6" s="102" t="s">
        <v>44</v>
      </c>
      <c r="AN6" s="102"/>
      <c r="AO6" s="102" t="s">
        <v>48</v>
      </c>
      <c r="AP6" s="102" t="s">
        <v>49</v>
      </c>
      <c r="AQ6" s="102" t="s">
        <v>60</v>
      </c>
      <c r="AR6" s="102" t="s">
        <v>58</v>
      </c>
      <c r="AS6" s="103" t="s">
        <v>59</v>
      </c>
    </row>
    <row r="7" spans="1:45" ht="16.2" thickTop="1">
      <c r="A7" s="104">
        <v>1987</v>
      </c>
      <c r="B7" s="106">
        <v>140</v>
      </c>
      <c r="C7" s="106">
        <v>295</v>
      </c>
      <c r="D7" s="112">
        <f t="shared" ref="D7:D33" si="0">C7/AM7</f>
        <v>3.9700374265286588E-3</v>
      </c>
      <c r="E7" s="111">
        <f t="shared" ref="E7:E33" si="1">100*B7/R7</f>
        <v>4.9108827556771129</v>
      </c>
      <c r="F7" s="112">
        <f t="shared" ref="F7:F33" si="2">S7*U7/$AM7</f>
        <v>3.0526082613882878E-3</v>
      </c>
      <c r="G7" s="112">
        <f t="shared" ref="G7:G33" si="3">X7*Z7/$AM7</f>
        <v>1.2904083329562733E-3</v>
      </c>
      <c r="H7" s="115"/>
      <c r="I7" s="107"/>
      <c r="J7" s="108">
        <v>1</v>
      </c>
      <c r="K7" s="107">
        <v>20</v>
      </c>
      <c r="L7" s="109">
        <f>C7/B7</f>
        <v>2.1071428571428572</v>
      </c>
      <c r="M7" s="109">
        <v>1.3</v>
      </c>
      <c r="N7" s="109">
        <f>M7*O7</f>
        <v>2.7300000000000004</v>
      </c>
      <c r="O7" s="109">
        <v>2.1</v>
      </c>
      <c r="P7" s="106">
        <v>5039.4780000000001</v>
      </c>
      <c r="Q7" s="110">
        <v>0.5656957504797645</v>
      </c>
      <c r="R7" s="106">
        <f>Q7*P7</f>
        <v>2850.8112892362628</v>
      </c>
      <c r="S7" s="107">
        <f t="shared" ref="S7:S33" si="4">0.00000005*1000000*R7</f>
        <v>142.54056446181312</v>
      </c>
      <c r="T7" s="109">
        <f>U7/V7</f>
        <v>0.75777578167983006</v>
      </c>
      <c r="U7" s="109">
        <f>U8*N7/N$10</f>
        <v>1.5913291415276432</v>
      </c>
      <c r="V7" s="108">
        <v>2.1</v>
      </c>
      <c r="X7" s="107">
        <f>S7/5</f>
        <v>28.508112892362625</v>
      </c>
      <c r="Y7" s="109">
        <f>Z7/AA7</f>
        <v>1.978505138662608</v>
      </c>
      <c r="Z7" s="109">
        <f>Z8*N7/N$10</f>
        <v>3.3634587357264336</v>
      </c>
      <c r="AA7" s="108">
        <v>1.7</v>
      </c>
      <c r="AB7" s="108"/>
      <c r="AC7" s="106">
        <f t="shared" ref="AC7:AJ9" si="5">AC8/((AC$15/AC$10)^(1/5))</f>
        <v>18287.981446814367</v>
      </c>
      <c r="AD7" s="106">
        <f t="shared" si="5"/>
        <v>22118.509261189676</v>
      </c>
      <c r="AE7" s="106">
        <f t="shared" si="5"/>
        <v>31506.080603075261</v>
      </c>
      <c r="AF7" s="106">
        <f t="shared" si="5"/>
        <v>38105.218863522961</v>
      </c>
      <c r="AG7" s="106">
        <f>100*AD7/AF7</f>
        <v>58.045879070814351</v>
      </c>
      <c r="AH7" s="106">
        <f>100*AC7/AE7</f>
        <v>58.045879070814365</v>
      </c>
      <c r="AI7" s="106">
        <f t="shared" si="5"/>
        <v>16116.213921702391</v>
      </c>
      <c r="AJ7" s="106">
        <f t="shared" si="5"/>
        <v>31754.349052935791</v>
      </c>
      <c r="AK7" s="113">
        <f>AK8-2*(AK$20-AK$10)/10</f>
        <v>3.7327512745607221</v>
      </c>
      <c r="AL7" s="106">
        <f>0.9*AK7*AC7</f>
        <v>61438.037449265255</v>
      </c>
      <c r="AM7" s="106">
        <f>0.9*AK7*AD7</f>
        <v>74306.604272480021</v>
      </c>
      <c r="AN7" s="114"/>
      <c r="AO7" s="106">
        <f t="shared" ref="AO7:AO33" si="6">1000*AD7/R7</f>
        <v>7758.6718365757779</v>
      </c>
      <c r="AP7" s="106">
        <f t="shared" ref="AP7:AP33" si="7">1000*AM7/R7</f>
        <v>26065.072968188957</v>
      </c>
      <c r="AQ7" s="106">
        <f>0.9*AK7*AJ7</f>
        <v>106677.97821017292</v>
      </c>
      <c r="AR7" s="106">
        <f>1000*AJ7/$R7</f>
        <v>11138.706084415302</v>
      </c>
      <c r="AS7" s="105">
        <f>1000*AQ7/$R7</f>
        <v>37420.217400202637</v>
      </c>
    </row>
    <row r="8" spans="1:45">
      <c r="A8" s="20">
        <v>1988</v>
      </c>
      <c r="B8" s="115">
        <v>191</v>
      </c>
      <c r="C8" s="115">
        <v>338</v>
      </c>
      <c r="D8" s="120">
        <f t="shared" si="0"/>
        <v>4.2627554322765427E-3</v>
      </c>
      <c r="E8" s="119">
        <f t="shared" si="1"/>
        <v>6.5488315846152965</v>
      </c>
      <c r="F8" s="120">
        <f t="shared" si="2"/>
        <v>3.782154026507042E-3</v>
      </c>
      <c r="G8" s="120">
        <f t="shared" si="3"/>
        <v>1.5988042534187499E-3</v>
      </c>
      <c r="H8" s="115"/>
      <c r="I8" s="116">
        <v>64.472999999999999</v>
      </c>
      <c r="J8" s="86">
        <v>1</v>
      </c>
      <c r="K8" s="116">
        <v>18.899999999999999</v>
      </c>
      <c r="L8" s="117">
        <f>C8/B8</f>
        <v>1.7696335078534031</v>
      </c>
      <c r="M8" s="117">
        <v>1.4</v>
      </c>
      <c r="N8" s="117">
        <v>2.8</v>
      </c>
      <c r="O8" s="117">
        <f t="shared" ref="O8:O30" si="8">N8/M8</f>
        <v>2</v>
      </c>
      <c r="P8" s="115">
        <v>5129.1125729999994</v>
      </c>
      <c r="Q8" s="118">
        <v>0.56862678658766364</v>
      </c>
      <c r="R8" s="115">
        <f t="shared" ref="R8:R33" si="9">Q8*P8</f>
        <v>2916.5508004313729</v>
      </c>
      <c r="S8" s="116">
        <f t="shared" si="4"/>
        <v>145.82754002156864</v>
      </c>
      <c r="T8" s="117">
        <f>U8/V8</f>
        <v>0.97927947170931862</v>
      </c>
      <c r="U8" s="117">
        <f>U9*N8/N$10</f>
        <v>2.0564868905895692</v>
      </c>
      <c r="V8" s="86">
        <v>2.1</v>
      </c>
      <c r="X8" s="116">
        <f t="shared" ref="X8:X33" si="10">S8/5</f>
        <v>29.165508004313729</v>
      </c>
      <c r="Y8" s="117">
        <f>Z8/AA8</f>
        <v>2.5568374099639852</v>
      </c>
      <c r="Z8" s="117">
        <f>Z9*N8/N$10</f>
        <v>4.346623596938775</v>
      </c>
      <c r="AA8" s="86">
        <v>1.7</v>
      </c>
      <c r="AB8" s="86"/>
      <c r="AC8" s="115">
        <f t="shared" si="5"/>
        <v>19434.832832981072</v>
      </c>
      <c r="AD8" s="115">
        <f t="shared" si="5"/>
        <v>23185.287499257651</v>
      </c>
      <c r="AE8" s="115">
        <f t="shared" si="5"/>
        <v>32693.706389891784</v>
      </c>
      <c r="AF8" s="115">
        <f t="shared" si="5"/>
        <v>39002.80432459413</v>
      </c>
      <c r="AG8" s="115">
        <f t="shared" ref="AG8:AG33" si="11">100*AD8/AF8</f>
        <v>59.445180675476784</v>
      </c>
      <c r="AH8" s="115">
        <f t="shared" ref="AH8:AH33" si="12">100*AC8/AE8</f>
        <v>59.445180675476792</v>
      </c>
      <c r="AI8" s="115">
        <f t="shared" si="5"/>
        <v>16775.50128621062</v>
      </c>
      <c r="AJ8" s="115">
        <f t="shared" si="5"/>
        <v>32502.336937161766</v>
      </c>
      <c r="AK8" s="121">
        <f>AK9-2*(AK$20-AK$10)/10</f>
        <v>3.7998923100588957</v>
      </c>
      <c r="AL8" s="115">
        <f t="shared" ref="AL8:AL33" si="13">0.9*AK8*AC8</f>
        <v>66465.244646392428</v>
      </c>
      <c r="AM8" s="115">
        <f t="shared" ref="AM8:AM33" si="14">0.9*AK8*AD8</f>
        <v>79291.436107440415</v>
      </c>
      <c r="AN8" s="122"/>
      <c r="AO8" s="115">
        <f t="shared" si="6"/>
        <v>7949.5572289803513</v>
      </c>
      <c r="AP8" s="115">
        <f t="shared" si="7"/>
        <v>27186.715244497987</v>
      </c>
      <c r="AQ8" s="115">
        <f t="shared" ref="AQ8:AQ33" si="15">0.9*AK8*AJ8</f>
        <v>111154.84216781777</v>
      </c>
      <c r="AR8" s="115">
        <f t="shared" ref="AR8:AR33" si="16">1000*AJ8/$R8</f>
        <v>11144.101084182899</v>
      </c>
      <c r="AS8" s="96">
        <f t="shared" ref="AS8:AS33" si="17">1000*AQ8/$R8</f>
        <v>38111.745611075043</v>
      </c>
    </row>
    <row r="9" spans="1:45">
      <c r="A9" s="20">
        <v>1989</v>
      </c>
      <c r="B9" s="115">
        <v>220</v>
      </c>
      <c r="C9" s="115">
        <v>459.9</v>
      </c>
      <c r="D9" s="120">
        <f t="shared" si="0"/>
        <v>5.4371819331399179E-3</v>
      </c>
      <c r="E9" s="119">
        <f t="shared" si="1"/>
        <v>7.3749733261613812</v>
      </c>
      <c r="F9" s="120">
        <f t="shared" si="2"/>
        <v>4.5691895758102506E-3</v>
      </c>
      <c r="G9" s="120">
        <f t="shared" si="3"/>
        <v>1.9315024394256886E-3</v>
      </c>
      <c r="H9" s="115"/>
      <c r="I9" s="116">
        <v>63.695300000000003</v>
      </c>
      <c r="J9" s="86">
        <v>1</v>
      </c>
      <c r="K9" s="116">
        <v>15</v>
      </c>
      <c r="L9" s="117">
        <v>2.090455</v>
      </c>
      <c r="M9" s="117">
        <v>1.6</v>
      </c>
      <c r="N9" s="117">
        <v>3.1709999999999998</v>
      </c>
      <c r="O9" s="117">
        <f t="shared" si="8"/>
        <v>1.9818749999999998</v>
      </c>
      <c r="P9" s="115">
        <v>5218.3745080000008</v>
      </c>
      <c r="Q9" s="118">
        <v>0.57164575520537286</v>
      </c>
      <c r="R9" s="115">
        <f t="shared" si="9"/>
        <v>2983.0616365701267</v>
      </c>
      <c r="S9" s="116">
        <f t="shared" si="4"/>
        <v>149.15308182850632</v>
      </c>
      <c r="T9" s="117">
        <f>U9/V9</f>
        <v>1.2338921343537415</v>
      </c>
      <c r="U9" s="117">
        <f>U10*N9/N$10</f>
        <v>2.5911734821428571</v>
      </c>
      <c r="V9" s="86">
        <v>2.1</v>
      </c>
      <c r="X9" s="116">
        <f t="shared" si="10"/>
        <v>29.830616365701264</v>
      </c>
      <c r="Y9" s="117">
        <f>Z9/AA9</f>
        <v>3.2216151365546217</v>
      </c>
      <c r="Z9" s="117">
        <f>Z10*N9/N$10</f>
        <v>5.4767457321428568</v>
      </c>
      <c r="AA9" s="86">
        <v>1.7</v>
      </c>
      <c r="AB9" s="86"/>
      <c r="AC9" s="115">
        <f t="shared" si="5"/>
        <v>20653.604026469191</v>
      </c>
      <c r="AD9" s="115">
        <f t="shared" si="5"/>
        <v>24303.516574078545</v>
      </c>
      <c r="AE9" s="115">
        <f t="shared" si="5"/>
        <v>33926.099884481322</v>
      </c>
      <c r="AF9" s="115">
        <f t="shared" si="5"/>
        <v>39921.532812367543</v>
      </c>
      <c r="AG9" s="115">
        <f t="shared" si="11"/>
        <v>60.878214993161301</v>
      </c>
      <c r="AH9" s="115">
        <f t="shared" si="12"/>
        <v>60.878214993161308</v>
      </c>
      <c r="AI9" s="115">
        <f t="shared" si="5"/>
        <v>17461.758994442996</v>
      </c>
      <c r="AJ9" s="115">
        <f t="shared" si="5"/>
        <v>33267.944010306281</v>
      </c>
      <c r="AK9" s="121">
        <f>AK10-2*(AK$20-AK$10)/10</f>
        <v>3.8670333455570693</v>
      </c>
      <c r="AL9" s="115">
        <f t="shared" si="13"/>
        <v>71881.357928659301</v>
      </c>
      <c r="AM9" s="115">
        <f t="shared" si="14"/>
        <v>84584.258105634581</v>
      </c>
      <c r="AN9" s="122"/>
      <c r="AO9" s="115">
        <f t="shared" si="6"/>
        <v>8147.1721120795592</v>
      </c>
      <c r="AP9" s="115">
        <f t="shared" si="7"/>
        <v>28354.847606463849</v>
      </c>
      <c r="AQ9" s="115">
        <f t="shared" si="15"/>
        <v>115783.42394338196</v>
      </c>
      <c r="AR9" s="115">
        <f t="shared" si="16"/>
        <v>11152.281804192686</v>
      </c>
      <c r="AS9" s="96">
        <f t="shared" si="17"/>
        <v>38813.621054276227</v>
      </c>
    </row>
    <row r="10" spans="1:45">
      <c r="A10" s="20">
        <v>1990</v>
      </c>
      <c r="B10" s="115">
        <v>265</v>
      </c>
      <c r="C10" s="115">
        <v>570.20000000000005</v>
      </c>
      <c r="D10" s="120">
        <f t="shared" si="0"/>
        <v>6.3212846491524591E-3</v>
      </c>
      <c r="E10" s="119">
        <f t="shared" si="1"/>
        <v>8.6888540259277249</v>
      </c>
      <c r="F10" s="120">
        <f t="shared" si="2"/>
        <v>4.8737173223599266E-3</v>
      </c>
      <c r="G10" s="120">
        <f t="shared" si="3"/>
        <v>2.0602333829714495E-3</v>
      </c>
      <c r="H10" s="115"/>
      <c r="I10" s="116">
        <v>64.9392</v>
      </c>
      <c r="J10" s="86">
        <v>1</v>
      </c>
      <c r="K10" s="116">
        <v>16</v>
      </c>
      <c r="L10" s="117">
        <v>2.1516980000000001</v>
      </c>
      <c r="M10" s="117">
        <v>1.9</v>
      </c>
      <c r="N10" s="117">
        <v>3.528</v>
      </c>
      <c r="O10" s="117">
        <f t="shared" si="8"/>
        <v>1.8568421052631581</v>
      </c>
      <c r="P10" s="115">
        <v>5306.4251540000005</v>
      </c>
      <c r="Q10" s="118">
        <v>0.57475310995406892</v>
      </c>
      <c r="R10" s="115">
        <f t="shared" si="9"/>
        <v>3049.8843599999996</v>
      </c>
      <c r="S10" s="116">
        <f t="shared" si="4"/>
        <v>152.49421799999996</v>
      </c>
      <c r="T10" s="117">
        <v>1.5</v>
      </c>
      <c r="U10" s="117">
        <v>2.882895</v>
      </c>
      <c r="V10" s="117">
        <f t="shared" ref="V10:V30" si="18">U10/T10</f>
        <v>1.9219299999999999</v>
      </c>
      <c r="X10" s="116">
        <f t="shared" si="10"/>
        <v>30.498843599999994</v>
      </c>
      <c r="Y10" s="117">
        <v>3.6</v>
      </c>
      <c r="Z10" s="117">
        <v>6.0933330000000003</v>
      </c>
      <c r="AA10" s="117">
        <f t="shared" ref="AA10:AA30" si="19">Z10/Y10</f>
        <v>1.6925924999999999</v>
      </c>
      <c r="AB10" s="117"/>
      <c r="AC10" s="123">
        <v>21948.805165861228</v>
      </c>
      <c r="AD10" s="123">
        <v>25475.677965408988</v>
      </c>
      <c r="AE10" s="123">
        <v>35204.948611383588</v>
      </c>
      <c r="AF10" s="123">
        <v>40861.902360286833</v>
      </c>
      <c r="AG10" s="115">
        <f t="shared" si="11"/>
        <v>62.34579521233568</v>
      </c>
      <c r="AH10" s="115">
        <f t="shared" si="12"/>
        <v>62.34579521233568</v>
      </c>
      <c r="AI10" s="123">
        <v>18176.090358065656</v>
      </c>
      <c r="AJ10" s="123">
        <v>34051.585300239029</v>
      </c>
      <c r="AK10" s="72">
        <v>3.934174381055243</v>
      </c>
      <c r="AL10" s="115">
        <f t="shared" si="13"/>
        <v>77715.384280473794</v>
      </c>
      <c r="AM10" s="115">
        <f t="shared" si="14"/>
        <v>90203.183632373039</v>
      </c>
      <c r="AN10" s="122"/>
      <c r="AO10" s="115">
        <f t="shared" si="6"/>
        <v>8352.9980019993254</v>
      </c>
      <c r="AP10" s="115">
        <f t="shared" si="7"/>
        <v>29575.935670024239</v>
      </c>
      <c r="AQ10" s="115">
        <f t="shared" si="15"/>
        <v>120568.38707026592</v>
      </c>
      <c r="AR10" s="115">
        <f t="shared" si="16"/>
        <v>11164.877510385028</v>
      </c>
      <c r="AS10" s="96">
        <f t="shared" si="17"/>
        <v>39532.117562078958</v>
      </c>
    </row>
    <row r="11" spans="1:45">
      <c r="A11" s="20">
        <v>1991</v>
      </c>
      <c r="B11" s="115">
        <v>260</v>
      </c>
      <c r="C11" s="115">
        <v>592.4</v>
      </c>
      <c r="D11" s="120">
        <f t="shared" si="0"/>
        <v>6.2035692638947497E-3</v>
      </c>
      <c r="E11" s="119">
        <f t="shared" si="1"/>
        <v>8.341405242140798</v>
      </c>
      <c r="F11" s="120">
        <f t="shared" si="2"/>
        <v>4.889842258308727E-3</v>
      </c>
      <c r="G11" s="120">
        <f t="shared" si="3"/>
        <v>1.9426537322513849E-3</v>
      </c>
      <c r="H11" s="115"/>
      <c r="I11" s="116">
        <v>64.744500000000002</v>
      </c>
      <c r="J11" s="86">
        <v>1</v>
      </c>
      <c r="K11" s="116">
        <v>15</v>
      </c>
      <c r="L11" s="117">
        <v>2.2784620000000002</v>
      </c>
      <c r="M11" s="117">
        <v>2</v>
      </c>
      <c r="N11" s="117">
        <v>3.698</v>
      </c>
      <c r="O11" s="117">
        <f t="shared" si="8"/>
        <v>1.849</v>
      </c>
      <c r="P11" s="115">
        <v>5392.9387409999999</v>
      </c>
      <c r="Q11" s="118">
        <v>0.57797444983541413</v>
      </c>
      <c r="R11" s="115">
        <f t="shared" si="9"/>
        <v>3116.9808018255658</v>
      </c>
      <c r="S11" s="116">
        <f t="shared" si="4"/>
        <v>155.84904009127828</v>
      </c>
      <c r="T11" s="117">
        <v>1.5</v>
      </c>
      <c r="U11" s="117">
        <v>2.9961540000000002</v>
      </c>
      <c r="V11" s="117">
        <f t="shared" si="18"/>
        <v>1.9974360000000002</v>
      </c>
      <c r="X11" s="116">
        <f t="shared" si="10"/>
        <v>31.169808018255658</v>
      </c>
      <c r="Y11" s="117">
        <v>4</v>
      </c>
      <c r="Z11" s="117">
        <v>5.951613</v>
      </c>
      <c r="AA11" s="117">
        <f t="shared" si="19"/>
        <v>1.48790325</v>
      </c>
      <c r="AB11" s="117"/>
      <c r="AC11" s="123">
        <v>23024.327762691006</v>
      </c>
      <c r="AD11" s="123">
        <v>26741.586116934115</v>
      </c>
      <c r="AE11" s="123">
        <v>35716.273888643569</v>
      </c>
      <c r="AF11" s="123">
        <v>41482.63627122451</v>
      </c>
      <c r="AG11" s="115">
        <f t="shared" si="11"/>
        <v>64.464529067271698</v>
      </c>
      <c r="AH11" s="115">
        <f t="shared" si="12"/>
        <v>64.464529067271698</v>
      </c>
      <c r="AI11" s="123">
        <v>19669.290267652068</v>
      </c>
      <c r="AJ11" s="123">
        <v>34568.863559353762</v>
      </c>
      <c r="AK11" s="121">
        <f>AK10+(AK$20-AK$10)/10</f>
        <v>3.9677448988043298</v>
      </c>
      <c r="AL11" s="115">
        <f t="shared" si="13"/>
        <v>82219.193125934529</v>
      </c>
      <c r="AM11" s="115">
        <f t="shared" si="14"/>
        <v>95493.412711261815</v>
      </c>
      <c r="AN11" s="122"/>
      <c r="AO11" s="115">
        <f t="shared" si="6"/>
        <v>8579.3233314982226</v>
      </c>
      <c r="AP11" s="115">
        <f t="shared" si="7"/>
        <v>30636.509745370535</v>
      </c>
      <c r="AQ11" s="115">
        <f t="shared" si="15"/>
        <v>123444.38884057991</v>
      </c>
      <c r="AR11" s="115">
        <f t="shared" si="16"/>
        <v>11090.496142647824</v>
      </c>
      <c r="AS11" s="96">
        <f t="shared" si="17"/>
        <v>39603.833545680005</v>
      </c>
    </row>
    <row r="12" spans="1:45">
      <c r="A12" s="20">
        <v>1992</v>
      </c>
      <c r="B12" s="115">
        <v>275</v>
      </c>
      <c r="C12" s="115">
        <v>600.5</v>
      </c>
      <c r="D12" s="120">
        <f t="shared" si="0"/>
        <v>5.9876947455927195E-3</v>
      </c>
      <c r="E12" s="119">
        <f t="shared" si="1"/>
        <v>8.6360434672631072</v>
      </c>
      <c r="F12" s="120">
        <f t="shared" si="2"/>
        <v>4.6429103972274212E-3</v>
      </c>
      <c r="G12" s="120">
        <f t="shared" si="3"/>
        <v>1.7616971825977702E-3</v>
      </c>
      <c r="H12" s="115"/>
      <c r="I12" s="116">
        <v>64.261200000000002</v>
      </c>
      <c r="J12" s="86">
        <v>1</v>
      </c>
      <c r="K12" s="116">
        <v>13</v>
      </c>
      <c r="L12" s="117">
        <v>2.1836359999999999</v>
      </c>
      <c r="M12" s="117">
        <v>2</v>
      </c>
      <c r="N12" s="117">
        <v>3.59</v>
      </c>
      <c r="O12" s="117">
        <f t="shared" si="8"/>
        <v>1.7949999999999999</v>
      </c>
      <c r="P12" s="115">
        <v>5478.009489</v>
      </c>
      <c r="Q12" s="118">
        <v>0.58129300119193472</v>
      </c>
      <c r="R12" s="115">
        <f t="shared" si="9"/>
        <v>3184.3285764187067</v>
      </c>
      <c r="S12" s="116">
        <f t="shared" si="4"/>
        <v>159.21642882093533</v>
      </c>
      <c r="T12" s="117">
        <v>1.5</v>
      </c>
      <c r="U12" s="117">
        <v>2.924528</v>
      </c>
      <c r="V12" s="117">
        <f t="shared" si="18"/>
        <v>1.9496853333333333</v>
      </c>
      <c r="X12" s="116">
        <f t="shared" si="10"/>
        <v>31.843285764187065</v>
      </c>
      <c r="Y12" s="117">
        <v>3.7</v>
      </c>
      <c r="Z12" s="117">
        <v>5.548387</v>
      </c>
      <c r="AA12" s="117">
        <f t="shared" si="19"/>
        <v>1.499564054054054</v>
      </c>
      <c r="AB12" s="117"/>
      <c r="AC12" s="123">
        <v>24626.989612014142</v>
      </c>
      <c r="AD12" s="123">
        <v>27848.901117464688</v>
      </c>
      <c r="AE12" s="123">
        <v>37414.319311500614</v>
      </c>
      <c r="AF12" s="123">
        <v>42309.177666397416</v>
      </c>
      <c r="AG12" s="115">
        <f t="shared" si="11"/>
        <v>65.822364445486969</v>
      </c>
      <c r="AH12" s="115">
        <f t="shared" si="12"/>
        <v>65.822364445486954</v>
      </c>
      <c r="AI12" s="123">
        <v>19768.709889747093</v>
      </c>
      <c r="AJ12" s="123">
        <v>35257.648055331185</v>
      </c>
      <c r="AK12" s="121">
        <f t="shared" ref="AK12:AK19" si="20">AK11+(AK$20-AK$10)/10</f>
        <v>4.0013154165534166</v>
      </c>
      <c r="AL12" s="115">
        <f t="shared" si="13"/>
        <v>88686.317878067726</v>
      </c>
      <c r="AM12" s="115">
        <f t="shared" si="14"/>
        <v>100289.01363784482</v>
      </c>
      <c r="AN12" s="122"/>
      <c r="AO12" s="115">
        <f t="shared" si="6"/>
        <v>8745.6116569431688</v>
      </c>
      <c r="AP12" s="115">
        <f t="shared" si="7"/>
        <v>31494.555675104377</v>
      </c>
      <c r="AQ12" s="115">
        <f t="shared" si="15"/>
        <v>126969.27364369013</v>
      </c>
      <c r="AR12" s="115">
        <f t="shared" si="16"/>
        <v>11072.239314883805</v>
      </c>
      <c r="AS12" s="96">
        <f t="shared" si="17"/>
        <v>39873.169679772072</v>
      </c>
    </row>
    <row r="13" spans="1:45">
      <c r="A13" s="20">
        <v>1993</v>
      </c>
      <c r="B13" s="115">
        <v>192</v>
      </c>
      <c r="C13" s="115">
        <v>398.6</v>
      </c>
      <c r="D13" s="120">
        <f t="shared" si="0"/>
        <v>3.7862858171352634E-3</v>
      </c>
      <c r="E13" s="119">
        <f t="shared" si="1"/>
        <v>5.9049358000551937</v>
      </c>
      <c r="F13" s="120">
        <f t="shared" si="2"/>
        <v>3.5016809691598154E-3</v>
      </c>
      <c r="G13" s="120">
        <f t="shared" si="3"/>
        <v>1.3821500329210708E-3</v>
      </c>
      <c r="H13" s="115"/>
      <c r="I13" s="116">
        <v>64.862099999999998</v>
      </c>
      <c r="J13" s="86">
        <v>1</v>
      </c>
      <c r="K13" s="116">
        <v>9</v>
      </c>
      <c r="L13" s="117">
        <v>2.0760420000000002</v>
      </c>
      <c r="M13" s="117">
        <v>1.6</v>
      </c>
      <c r="N13" s="117">
        <v>2.8929999999999998</v>
      </c>
      <c r="O13" s="117">
        <f t="shared" si="8"/>
        <v>1.8081249999999998</v>
      </c>
      <c r="P13" s="115">
        <v>5561.7439420000001</v>
      </c>
      <c r="Q13" s="118">
        <v>0.58462187039236824</v>
      </c>
      <c r="R13" s="115">
        <f t="shared" si="9"/>
        <v>3251.5171460154634</v>
      </c>
      <c r="S13" s="116">
        <f t="shared" si="4"/>
        <v>162.57585730077315</v>
      </c>
      <c r="T13" s="117">
        <v>1</v>
      </c>
      <c r="U13" s="117">
        <v>2.2674850000000002</v>
      </c>
      <c r="V13" s="117">
        <f t="shared" si="18"/>
        <v>2.2674850000000002</v>
      </c>
      <c r="X13" s="116">
        <f t="shared" si="10"/>
        <v>32.515171460154633</v>
      </c>
      <c r="Y13" s="117">
        <v>3.1</v>
      </c>
      <c r="Z13" s="117">
        <v>4.4749999999999996</v>
      </c>
      <c r="AA13" s="117">
        <f t="shared" si="19"/>
        <v>1.443548387096774</v>
      </c>
      <c r="AB13" s="117"/>
      <c r="AC13" s="123">
        <v>24965.738668644328</v>
      </c>
      <c r="AD13" s="123">
        <v>28990.127705424602</v>
      </c>
      <c r="AE13" s="123">
        <v>37115.25119034636</v>
      </c>
      <c r="AF13" s="123">
        <v>43098.098802837478</v>
      </c>
      <c r="AG13" s="115">
        <f t="shared" si="11"/>
        <v>67.265444441173258</v>
      </c>
      <c r="AH13" s="115">
        <f t="shared" si="12"/>
        <v>67.265444441173258</v>
      </c>
      <c r="AI13" s="123">
        <v>21326.892371818099</v>
      </c>
      <c r="AJ13" s="123">
        <v>35915.082335697902</v>
      </c>
      <c r="AK13" s="121">
        <f t="shared" si="20"/>
        <v>4.0348859343025039</v>
      </c>
      <c r="AL13" s="115">
        <f t="shared" si="13"/>
        <v>90660.517014226614</v>
      </c>
      <c r="AM13" s="115">
        <f t="shared" si="14"/>
        <v>105274.67266102595</v>
      </c>
      <c r="AN13" s="122"/>
      <c r="AO13" s="115">
        <f t="shared" si="6"/>
        <v>8915.8772362465443</v>
      </c>
      <c r="AP13" s="115">
        <f t="shared" si="7"/>
        <v>32377.092887249164</v>
      </c>
      <c r="AQ13" s="115">
        <f t="shared" si="15"/>
        <v>130421.93449106142</v>
      </c>
      <c r="AR13" s="115">
        <f t="shared" si="16"/>
        <v>11045.638304478774</v>
      </c>
      <c r="AS13" s="96">
        <f t="shared" si="17"/>
        <v>40111.101567120924</v>
      </c>
    </row>
    <row r="14" spans="1:45">
      <c r="A14" s="20">
        <v>1994</v>
      </c>
      <c r="B14" s="115">
        <v>342</v>
      </c>
      <c r="C14" s="115">
        <v>765.4</v>
      </c>
      <c r="D14" s="120">
        <f t="shared" si="0"/>
        <v>6.8446750854462522E-3</v>
      </c>
      <c r="E14" s="119">
        <f t="shared" si="1"/>
        <v>10.307220057861448</v>
      </c>
      <c r="F14" s="120">
        <f t="shared" si="2"/>
        <v>4.8699852437561805E-3</v>
      </c>
      <c r="G14" s="120">
        <f t="shared" si="3"/>
        <v>1.8180933057407342E-3</v>
      </c>
      <c r="H14" s="115"/>
      <c r="I14" s="116">
        <v>64.685199999999995</v>
      </c>
      <c r="J14" s="86">
        <v>1</v>
      </c>
      <c r="K14" s="116">
        <v>9</v>
      </c>
      <c r="L14" s="117">
        <v>2.2380119999999999</v>
      </c>
      <c r="M14" s="117">
        <v>2.4</v>
      </c>
      <c r="N14" s="117">
        <v>4.085</v>
      </c>
      <c r="O14" s="117">
        <f t="shared" si="8"/>
        <v>1.7020833333333334</v>
      </c>
      <c r="P14" s="115">
        <v>5644.4160760000004</v>
      </c>
      <c r="Q14" s="118">
        <v>0.58784866690417259</v>
      </c>
      <c r="R14" s="115">
        <f t="shared" si="9"/>
        <v>3318.0624657290814</v>
      </c>
      <c r="S14" s="116">
        <f t="shared" si="4"/>
        <v>165.90312328645405</v>
      </c>
      <c r="T14" s="117">
        <v>1.7</v>
      </c>
      <c r="U14" s="117">
        <v>3.2825299999999999</v>
      </c>
      <c r="V14" s="117">
        <f t="shared" si="18"/>
        <v>1.9309000000000001</v>
      </c>
      <c r="X14" s="116">
        <f t="shared" si="10"/>
        <v>33.180624657290807</v>
      </c>
      <c r="Y14" s="117">
        <v>4.5</v>
      </c>
      <c r="Z14" s="117">
        <v>6.1272729999999997</v>
      </c>
      <c r="AA14" s="117">
        <f t="shared" si="19"/>
        <v>1.3616162222222221</v>
      </c>
      <c r="AB14" s="117"/>
      <c r="AC14" s="123">
        <v>26810.070803786359</v>
      </c>
      <c r="AD14" s="123">
        <v>30539.606685924653</v>
      </c>
      <c r="AE14" s="123">
        <v>39061.81383482751</v>
      </c>
      <c r="AF14" s="123">
        <v>44495.683718446788</v>
      </c>
      <c r="AG14" s="115">
        <f t="shared" si="11"/>
        <v>68.634986888096066</v>
      </c>
      <c r="AH14" s="115">
        <f t="shared" si="12"/>
        <v>68.634986888096066</v>
      </c>
      <c r="AI14" s="123">
        <v>22466.253914315392</v>
      </c>
      <c r="AJ14" s="123">
        <v>37079.73643203899</v>
      </c>
      <c r="AK14" s="121">
        <f t="shared" si="20"/>
        <v>4.0684564520515911</v>
      </c>
      <c r="AL14" s="115">
        <f t="shared" si="13"/>
        <v>98168.044987462141</v>
      </c>
      <c r="AM14" s="115">
        <f t="shared" si="14"/>
        <v>111824.15387802126</v>
      </c>
      <c r="AN14" s="122"/>
      <c r="AO14" s="115">
        <f t="shared" si="6"/>
        <v>9204.048145975501</v>
      </c>
      <c r="AP14" s="115">
        <f t="shared" si="7"/>
        <v>33701.642158038761</v>
      </c>
      <c r="AQ14" s="115">
        <f t="shared" si="15"/>
        <v>135771.56363457133</v>
      </c>
      <c r="AR14" s="115">
        <f t="shared" si="16"/>
        <v>11175.117049489128</v>
      </c>
      <c r="AS14" s="96">
        <f t="shared" si="17"/>
        <v>40918.929356183195</v>
      </c>
    </row>
    <row r="15" spans="1:45">
      <c r="A15" s="20">
        <v>1995</v>
      </c>
      <c r="B15" s="115">
        <v>366</v>
      </c>
      <c r="C15" s="115">
        <v>885.1</v>
      </c>
      <c r="D15" s="120">
        <f t="shared" si="0"/>
        <v>7.4360518164527361E-3</v>
      </c>
      <c r="E15" s="119">
        <f t="shared" si="1"/>
        <v>10.816638833706353</v>
      </c>
      <c r="F15" s="120">
        <f t="shared" si="2"/>
        <v>5.1564816996095544E-3</v>
      </c>
      <c r="G15" s="120">
        <f t="shared" si="3"/>
        <v>1.8960287910500713E-3</v>
      </c>
      <c r="H15" s="115"/>
      <c r="I15" s="116">
        <v>63.860999999999997</v>
      </c>
      <c r="J15" s="86">
        <v>1</v>
      </c>
      <c r="K15" s="116">
        <v>12.9</v>
      </c>
      <c r="L15" s="117">
        <v>2.4183059999999998</v>
      </c>
      <c r="M15" s="117">
        <v>2.6</v>
      </c>
      <c r="N15" s="117">
        <v>4.5659999999999998</v>
      </c>
      <c r="O15" s="117">
        <f t="shared" si="8"/>
        <v>1.756153846153846</v>
      </c>
      <c r="P15" s="115">
        <v>5726.2393150000007</v>
      </c>
      <c r="Q15" s="118">
        <v>0.59090717325355102</v>
      </c>
      <c r="R15" s="115">
        <f t="shared" si="9"/>
        <v>3383.6758870000008</v>
      </c>
      <c r="S15" s="116">
        <f t="shared" si="4"/>
        <v>169.18379435000003</v>
      </c>
      <c r="T15" s="117">
        <v>2</v>
      </c>
      <c r="U15" s="117">
        <v>3.6278109999999999</v>
      </c>
      <c r="V15" s="117">
        <f t="shared" si="18"/>
        <v>1.8139054999999999</v>
      </c>
      <c r="X15" s="116">
        <f t="shared" si="10"/>
        <v>33.836758870000004</v>
      </c>
      <c r="Y15" s="117">
        <v>4.7</v>
      </c>
      <c r="Z15" s="117">
        <v>6.6696970000000002</v>
      </c>
      <c r="AA15" s="117">
        <f t="shared" si="19"/>
        <v>1.4190844680851065</v>
      </c>
      <c r="AB15" s="117"/>
      <c r="AC15" s="123">
        <v>29749.938226446924</v>
      </c>
      <c r="AD15" s="123">
        <v>32241.030355744297</v>
      </c>
      <c r="AE15" s="123">
        <v>42359.673728770678</v>
      </c>
      <c r="AF15" s="123">
        <v>45906.634029062639</v>
      </c>
      <c r="AG15" s="115">
        <f t="shared" si="11"/>
        <v>70.23174544954243</v>
      </c>
      <c r="AH15" s="115">
        <f t="shared" si="12"/>
        <v>70.23174544954243</v>
      </c>
      <c r="AI15" s="123">
        <v>22210.732877003033</v>
      </c>
      <c r="AJ15" s="123">
        <v>38255.528357552204</v>
      </c>
      <c r="AK15" s="121">
        <f t="shared" si="20"/>
        <v>4.1020269698006784</v>
      </c>
      <c r="AL15" s="115">
        <f t="shared" si="13"/>
        <v>109831.5440593105</v>
      </c>
      <c r="AM15" s="115">
        <f t="shared" si="14"/>
        <v>119028.21844808292</v>
      </c>
      <c r="AN15" s="122"/>
      <c r="AO15" s="115">
        <f t="shared" si="6"/>
        <v>9528.4038520395934</v>
      </c>
      <c r="AP15" s="115">
        <f t="shared" si="7"/>
        <v>35177.192622197181</v>
      </c>
      <c r="AQ15" s="115">
        <f t="shared" si="15"/>
        <v>141232.68815998841</v>
      </c>
      <c r="AR15" s="115">
        <f t="shared" si="16"/>
        <v>11305.908022848465</v>
      </c>
      <c r="AS15" s="96">
        <f t="shared" si="17"/>
        <v>41739.425665029237</v>
      </c>
    </row>
    <row r="16" spans="1:45">
      <c r="A16" s="20">
        <v>1996</v>
      </c>
      <c r="B16" s="115">
        <v>422</v>
      </c>
      <c r="C16" s="115">
        <v>1048.5</v>
      </c>
      <c r="D16" s="120">
        <f t="shared" si="0"/>
        <v>8.2696397661613207E-3</v>
      </c>
      <c r="E16" s="119">
        <f t="shared" si="1"/>
        <v>12.238496215501863</v>
      </c>
      <c r="F16" s="120">
        <f t="shared" si="2"/>
        <v>5.4731637134954663E-3</v>
      </c>
      <c r="G16" s="120">
        <f t="shared" si="3"/>
        <v>2.1188761127282855E-3</v>
      </c>
      <c r="H16" s="115"/>
      <c r="I16" s="116">
        <v>65.014700000000005</v>
      </c>
      <c r="J16" s="86">
        <v>1</v>
      </c>
      <c r="K16" s="116">
        <v>18.5</v>
      </c>
      <c r="L16" s="117">
        <v>2.4845969999999999</v>
      </c>
      <c r="M16" s="117">
        <v>3</v>
      </c>
      <c r="N16" s="117">
        <v>5.1260000000000003</v>
      </c>
      <c r="O16" s="117">
        <f t="shared" si="8"/>
        <v>1.7086666666666668</v>
      </c>
      <c r="P16" s="115">
        <v>5807.2118310000005</v>
      </c>
      <c r="Q16" s="118">
        <v>0.5937679131522261</v>
      </c>
      <c r="R16" s="115">
        <f t="shared" si="9"/>
        <v>3448.1360501257882</v>
      </c>
      <c r="S16" s="116">
        <f t="shared" si="4"/>
        <v>172.40680250628938</v>
      </c>
      <c r="T16" s="117">
        <v>2.1</v>
      </c>
      <c r="U16" s="117">
        <v>4.0250000000000004</v>
      </c>
      <c r="V16" s="117">
        <f t="shared" si="18"/>
        <v>1.9166666666666667</v>
      </c>
      <c r="X16" s="116">
        <f t="shared" si="10"/>
        <v>34.481360501257875</v>
      </c>
      <c r="Y16" s="117">
        <v>5</v>
      </c>
      <c r="Z16" s="117">
        <v>7.7911760000000001</v>
      </c>
      <c r="AA16" s="117">
        <f t="shared" si="19"/>
        <v>1.5582351999999999</v>
      </c>
      <c r="AB16" s="117"/>
      <c r="AC16" s="123">
        <v>30356.725410070692</v>
      </c>
      <c r="AD16" s="123">
        <v>34064.425654793427</v>
      </c>
      <c r="AE16" s="123">
        <v>42471.59593948524</v>
      </c>
      <c r="AF16" s="123">
        <v>47658.978456255449</v>
      </c>
      <c r="AG16" s="115">
        <f t="shared" si="11"/>
        <v>71.475358386164331</v>
      </c>
      <c r="AH16" s="115">
        <f t="shared" si="12"/>
        <v>71.475358386164331</v>
      </c>
      <c r="AI16" s="123">
        <v>23513.739637697498</v>
      </c>
      <c r="AJ16" s="123">
        <v>39715.815380212873</v>
      </c>
      <c r="AK16" s="121">
        <f t="shared" si="20"/>
        <v>4.1355974875497656</v>
      </c>
      <c r="AL16" s="115">
        <f t="shared" si="13"/>
        <v>112988.87760251384</v>
      </c>
      <c r="AM16" s="115">
        <f t="shared" si="14"/>
        <v>126789.07783751053</v>
      </c>
      <c r="AN16" s="122"/>
      <c r="AO16" s="115">
        <f t="shared" si="6"/>
        <v>9879.0839919297141</v>
      </c>
      <c r="AP16" s="115">
        <f t="shared" si="7"/>
        <v>36770.323442685869</v>
      </c>
      <c r="AQ16" s="115">
        <f t="shared" si="15"/>
        <v>147823.76367215882</v>
      </c>
      <c r="AR16" s="115">
        <f t="shared" si="16"/>
        <v>11518.053465078339</v>
      </c>
      <c r="AS16" s="96">
        <f t="shared" si="17"/>
        <v>42870.629674477663</v>
      </c>
    </row>
    <row r="17" spans="1:45">
      <c r="A17" s="20">
        <v>1997</v>
      </c>
      <c r="B17" s="115">
        <v>323</v>
      </c>
      <c r="C17" s="115">
        <v>1205.287</v>
      </c>
      <c r="D17" s="120">
        <f t="shared" si="0"/>
        <v>8.8888747155556943E-3</v>
      </c>
      <c r="E17" s="119">
        <f t="shared" si="1"/>
        <v>9.1978976411516449</v>
      </c>
      <c r="F17" s="120">
        <f t="shared" si="2"/>
        <v>6.9108574752234928E-3</v>
      </c>
      <c r="G17" s="120">
        <f t="shared" si="3"/>
        <v>3.3697314591547064E-3</v>
      </c>
      <c r="H17" s="115"/>
      <c r="I17" s="115">
        <v>62.4938</v>
      </c>
      <c r="J17" s="86">
        <v>1</v>
      </c>
      <c r="K17" s="116">
        <v>38</v>
      </c>
      <c r="L17" s="117">
        <v>3.731538</v>
      </c>
      <c r="M17" s="117">
        <v>3.1</v>
      </c>
      <c r="N17" s="117">
        <v>7.5250000000000004</v>
      </c>
      <c r="O17" s="117">
        <f t="shared" si="8"/>
        <v>2.4274193548387095</v>
      </c>
      <c r="P17" s="115">
        <v>5887.2596649999996</v>
      </c>
      <c r="Q17" s="118">
        <v>0.59648669206646376</v>
      </c>
      <c r="R17" s="115">
        <f t="shared" si="9"/>
        <v>3511.6720429121674</v>
      </c>
      <c r="S17" s="116">
        <f t="shared" si="4"/>
        <v>175.58360214560835</v>
      </c>
      <c r="T17" s="117">
        <v>1.9</v>
      </c>
      <c r="U17" s="117">
        <v>5.336932</v>
      </c>
      <c r="V17" s="117">
        <v>2.4</v>
      </c>
      <c r="X17" s="116">
        <f t="shared" si="10"/>
        <v>35.116720429121671</v>
      </c>
      <c r="Y17" s="117">
        <v>7</v>
      </c>
      <c r="Z17" s="117">
        <v>13.011430000000001</v>
      </c>
      <c r="AA17" s="117">
        <f t="shared" si="19"/>
        <v>1.8587757142857144</v>
      </c>
      <c r="AB17" s="117"/>
      <c r="AC17" s="123">
        <v>30296.742738992201</v>
      </c>
      <c r="AD17" s="123">
        <v>36136.973860890561</v>
      </c>
      <c r="AE17" s="123">
        <v>41585.993539610696</v>
      </c>
      <c r="AF17" s="123">
        <v>49602.426718498944</v>
      </c>
      <c r="AG17" s="115">
        <f t="shared" si="11"/>
        <v>72.853237737688104</v>
      </c>
      <c r="AH17" s="115">
        <f t="shared" si="12"/>
        <v>72.853237737688104</v>
      </c>
      <c r="AI17" s="123">
        <v>26909.608358048357</v>
      </c>
      <c r="AJ17" s="123">
        <v>41335.355598749113</v>
      </c>
      <c r="AK17" s="121">
        <f t="shared" si="20"/>
        <v>4.1691680052988529</v>
      </c>
      <c r="AL17" s="115">
        <f t="shared" si="13"/>
        <v>113680.98944295896</v>
      </c>
      <c r="AM17" s="115">
        <f t="shared" si="14"/>
        <v>135595.00370623131</v>
      </c>
      <c r="AN17" s="122"/>
      <c r="AO17" s="115">
        <f t="shared" si="6"/>
        <v>10290.532093914671</v>
      </c>
      <c r="AP17" s="115">
        <f t="shared" si="7"/>
        <v>38612.661447105056</v>
      </c>
      <c r="AQ17" s="115">
        <f t="shared" si="15"/>
        <v>155100.63784496006</v>
      </c>
      <c r="AR17" s="115">
        <f t="shared" si="16"/>
        <v>11770.847360925663</v>
      </c>
      <c r="AS17" s="96">
        <f t="shared" si="17"/>
        <v>44167.176191184939</v>
      </c>
    </row>
    <row r="18" spans="1:45">
      <c r="A18" s="20">
        <v>1998</v>
      </c>
      <c r="B18" s="115">
        <v>308</v>
      </c>
      <c r="C18" s="115">
        <v>1289.373</v>
      </c>
      <c r="D18" s="120">
        <f t="shared" si="0"/>
        <v>9.0457001263965931E-3</v>
      </c>
      <c r="E18" s="119">
        <f t="shared" si="1"/>
        <v>8.6153447959007519</v>
      </c>
      <c r="F18" s="120">
        <f t="shared" si="2"/>
        <v>7.1375237972139335E-3</v>
      </c>
      <c r="G18" s="120">
        <f t="shared" si="3"/>
        <v>3.5836900004974715E-3</v>
      </c>
      <c r="H18" s="115"/>
      <c r="I18" s="115">
        <v>63.6036</v>
      </c>
      <c r="J18" s="86">
        <v>1</v>
      </c>
      <c r="K18" s="116">
        <v>51</v>
      </c>
      <c r="L18" s="117">
        <v>4.1862769999999996</v>
      </c>
      <c r="M18" s="117">
        <v>3.5</v>
      </c>
      <c r="N18" s="117">
        <v>8.1549999999999994</v>
      </c>
      <c r="O18" s="117">
        <f t="shared" si="8"/>
        <v>2.3299999999999996</v>
      </c>
      <c r="P18" s="115">
        <v>5966.4647359999999</v>
      </c>
      <c r="Q18" s="118">
        <v>0.59918505875243933</v>
      </c>
      <c r="R18" s="115">
        <f t="shared" si="9"/>
        <v>3575.0165233845173</v>
      </c>
      <c r="S18" s="116">
        <f t="shared" si="4"/>
        <v>178.75082616922586</v>
      </c>
      <c r="T18" s="117">
        <v>2</v>
      </c>
      <c r="U18" s="117">
        <v>5.6916200000000003</v>
      </c>
      <c r="V18" s="117">
        <v>2.5</v>
      </c>
      <c r="X18" s="116">
        <f t="shared" si="10"/>
        <v>35.750165233845173</v>
      </c>
      <c r="Y18" s="117">
        <v>6.6</v>
      </c>
      <c r="Z18" s="117">
        <v>14.28857</v>
      </c>
      <c r="AA18" s="117">
        <f t="shared" si="19"/>
        <v>2.1649348484848487</v>
      </c>
      <c r="AB18" s="117"/>
      <c r="AC18" s="123">
        <v>30190.796693535834</v>
      </c>
      <c r="AD18" s="123">
        <v>37684.391327738034</v>
      </c>
      <c r="AE18" s="123">
        <v>40866.458075220173</v>
      </c>
      <c r="AF18" s="123">
        <v>51009.836339129572</v>
      </c>
      <c r="AG18" s="115">
        <f t="shared" si="11"/>
        <v>73.876714830450055</v>
      </c>
      <c r="AH18" s="115">
        <f t="shared" si="12"/>
        <v>73.876714830450055</v>
      </c>
      <c r="AI18" s="123">
        <v>27157.843607503626</v>
      </c>
      <c r="AJ18" s="123">
        <v>42508.196949274643</v>
      </c>
      <c r="AK18" s="121">
        <f t="shared" si="20"/>
        <v>4.2027385230479402</v>
      </c>
      <c r="AL18" s="115">
        <f t="shared" si="13"/>
        <v>114195.6218748883</v>
      </c>
      <c r="AM18" s="115">
        <f t="shared" si="14"/>
        <v>142539.87883562854</v>
      </c>
      <c r="AN18" s="122"/>
      <c r="AO18" s="115">
        <f t="shared" si="6"/>
        <v>10541.039763380366</v>
      </c>
      <c r="AP18" s="115">
        <f t="shared" si="7"/>
        <v>39871.11049788494</v>
      </c>
      <c r="AQ18" s="115">
        <f t="shared" si="15"/>
        <v>160785.75317762294</v>
      </c>
      <c r="AR18" s="115">
        <f t="shared" si="16"/>
        <v>11890.349784742128</v>
      </c>
      <c r="AS18" s="96">
        <f t="shared" si="17"/>
        <v>44974.827983565476</v>
      </c>
    </row>
    <row r="19" spans="1:45">
      <c r="A19" s="20">
        <v>1999</v>
      </c>
      <c r="B19" s="115">
        <v>336</v>
      </c>
      <c r="C19" s="115">
        <v>1351.46</v>
      </c>
      <c r="D19" s="120">
        <f t="shared" si="0"/>
        <v>8.9588609309313588E-3</v>
      </c>
      <c r="E19" s="119">
        <f t="shared" si="1"/>
        <v>9.2328105263873841</v>
      </c>
      <c r="F19" s="120">
        <f t="shared" si="2"/>
        <v>7.2412707691842148E-3</v>
      </c>
      <c r="G19" s="120">
        <f t="shared" si="3"/>
        <v>3.4531276147196531E-3</v>
      </c>
      <c r="H19" s="115"/>
      <c r="I19" s="115">
        <v>62.146299999999997</v>
      </c>
      <c r="J19" s="86">
        <v>1</v>
      </c>
      <c r="K19" s="116">
        <v>90</v>
      </c>
      <c r="L19" s="117">
        <v>4.0222020000000001</v>
      </c>
      <c r="M19" s="117">
        <v>4.0999999999999996</v>
      </c>
      <c r="N19" s="117">
        <v>8.4250000000000007</v>
      </c>
      <c r="O19" s="117">
        <f t="shared" si="8"/>
        <v>2.0548780487804881</v>
      </c>
      <c r="P19" s="115">
        <v>6044.9313579999998</v>
      </c>
      <c r="Q19" s="118">
        <v>0.60202424337642102</v>
      </c>
      <c r="R19" s="115">
        <f t="shared" si="9"/>
        <v>3639.195227062351</v>
      </c>
      <c r="S19" s="116">
        <f t="shared" si="4"/>
        <v>181.95976135311753</v>
      </c>
      <c r="T19" s="117">
        <v>2.2000000000000002</v>
      </c>
      <c r="U19" s="117">
        <v>6.0032969999999999</v>
      </c>
      <c r="V19" s="117">
        <f t="shared" si="18"/>
        <v>2.7287713636363633</v>
      </c>
      <c r="X19" s="116">
        <f t="shared" si="10"/>
        <v>36.391952270623506</v>
      </c>
      <c r="Y19" s="117">
        <v>7.1</v>
      </c>
      <c r="Z19" s="117">
        <v>14.313890000000001</v>
      </c>
      <c r="AA19" s="117">
        <f t="shared" si="19"/>
        <v>2.0160408450704228</v>
      </c>
      <c r="AB19" s="117"/>
      <c r="AC19" s="123">
        <v>31317.27567432612</v>
      </c>
      <c r="AD19" s="123">
        <v>39565.827850303365</v>
      </c>
      <c r="AE19" s="123">
        <v>41778.66906815135</v>
      </c>
      <c r="AF19" s="123">
        <v>52782.612554016145</v>
      </c>
      <c r="AG19" s="115">
        <f t="shared" si="11"/>
        <v>74.959964912333362</v>
      </c>
      <c r="AH19" s="115">
        <f t="shared" si="12"/>
        <v>74.959964912333362</v>
      </c>
      <c r="AI19" s="123">
        <v>29395.240514365702</v>
      </c>
      <c r="AJ19" s="123">
        <v>43985.510461680125</v>
      </c>
      <c r="AK19" s="121">
        <f t="shared" si="20"/>
        <v>4.2363090407970274</v>
      </c>
      <c r="AL19" s="115">
        <f t="shared" si="13"/>
        <v>119402.69226505251</v>
      </c>
      <c r="AM19" s="115">
        <f t="shared" si="14"/>
        <v>150851.76680597305</v>
      </c>
      <c r="AN19" s="122"/>
      <c r="AO19" s="115">
        <f t="shared" si="6"/>
        <v>10872.136662545001</v>
      </c>
      <c r="AP19" s="115">
        <f t="shared" si="7"/>
        <v>41451.957752688184</v>
      </c>
      <c r="AQ19" s="115">
        <f t="shared" si="15"/>
        <v>167702.59406959897</v>
      </c>
      <c r="AR19" s="115">
        <f t="shared" si="16"/>
        <v>12086.60369045008</v>
      </c>
      <c r="AS19" s="96">
        <f t="shared" si="17"/>
        <v>46082.329637745948</v>
      </c>
    </row>
    <row r="20" spans="1:45">
      <c r="A20" s="20">
        <v>2000</v>
      </c>
      <c r="B20" s="115">
        <v>360</v>
      </c>
      <c r="C20" s="115">
        <v>1473.28</v>
      </c>
      <c r="D20" s="120">
        <f t="shared" si="0"/>
        <v>9.0249645082304177E-3</v>
      </c>
      <c r="E20" s="119">
        <f t="shared" si="1"/>
        <v>9.7166758326948823</v>
      </c>
      <c r="F20" s="120">
        <f t="shared" si="2"/>
        <v>7.228910377079352E-3</v>
      </c>
      <c r="G20" s="120">
        <f t="shared" si="3"/>
        <v>3.3957780027383962E-3</v>
      </c>
      <c r="H20" s="115"/>
      <c r="I20" s="115">
        <v>61.200699999999998</v>
      </c>
      <c r="J20" s="86">
        <v>1</v>
      </c>
      <c r="K20" s="116">
        <v>60</v>
      </c>
      <c r="L20" s="117">
        <v>4.0924440000000004</v>
      </c>
      <c r="M20" s="117">
        <v>4.3</v>
      </c>
      <c r="N20" s="117">
        <v>8.9489999999999998</v>
      </c>
      <c r="O20" s="117">
        <f t="shared" si="8"/>
        <v>2.0811627906976744</v>
      </c>
      <c r="P20" s="115">
        <v>6122.7702199999994</v>
      </c>
      <c r="Q20" s="118">
        <v>0.60511347688628436</v>
      </c>
      <c r="R20" s="115">
        <f t="shared" si="9"/>
        <v>3704.9707759999997</v>
      </c>
      <c r="S20" s="116">
        <f t="shared" si="4"/>
        <v>185.24853879999998</v>
      </c>
      <c r="T20" s="117">
        <v>2.2999999999999998</v>
      </c>
      <c r="U20" s="117">
        <v>6.3702699999999997</v>
      </c>
      <c r="V20" s="117">
        <f t="shared" si="18"/>
        <v>2.7696826086956521</v>
      </c>
      <c r="X20" s="116">
        <f t="shared" si="10"/>
        <v>37.049707759999997</v>
      </c>
      <c r="Y20" s="117">
        <v>7.4</v>
      </c>
      <c r="Z20" s="117">
        <v>14.962160000000001</v>
      </c>
      <c r="AA20" s="117">
        <f t="shared" si="19"/>
        <v>2.0219135135135136</v>
      </c>
      <c r="AB20" s="117"/>
      <c r="AC20" s="123">
        <v>32330.868814635774</v>
      </c>
      <c r="AD20" s="123">
        <v>42479.721050012355</v>
      </c>
      <c r="AE20" s="123">
        <v>42217.379344108806</v>
      </c>
      <c r="AF20" s="123">
        <v>55469.666104006908</v>
      </c>
      <c r="AG20" s="115">
        <f t="shared" si="11"/>
        <v>76.581894274182019</v>
      </c>
      <c r="AH20" s="115">
        <f t="shared" si="12"/>
        <v>76.581894274182048</v>
      </c>
      <c r="AI20" s="123">
        <v>35091.925011405663</v>
      </c>
      <c r="AJ20" s="123">
        <v>46224.721753339079</v>
      </c>
      <c r="AK20" s="72">
        <v>4.269879558546112</v>
      </c>
      <c r="AL20" s="115">
        <f t="shared" si="13"/>
        <v>124244.02427548433</v>
      </c>
      <c r="AM20" s="115">
        <f t="shared" si="14"/>
        <v>163244.96330776988</v>
      </c>
      <c r="AN20" s="122"/>
      <c r="AO20" s="115">
        <f t="shared" si="6"/>
        <v>11465.602191840975</v>
      </c>
      <c r="AP20" s="115">
        <f t="shared" si="7"/>
        <v>44061.066382826961</v>
      </c>
      <c r="AQ20" s="115">
        <f t="shared" si="15"/>
        <v>177636.5950626579</v>
      </c>
      <c r="AR20" s="115">
        <f t="shared" si="16"/>
        <v>12476.406575936535</v>
      </c>
      <c r="AS20" s="96">
        <f t="shared" si="17"/>
        <v>47945.478062431524</v>
      </c>
    </row>
    <row r="21" spans="1:45">
      <c r="A21" s="20">
        <v>2001</v>
      </c>
      <c r="B21" s="115">
        <v>538</v>
      </c>
      <c r="C21" s="115">
        <v>1728.6</v>
      </c>
      <c r="D21" s="120">
        <f t="shared" si="0"/>
        <v>9.9513482195507878E-3</v>
      </c>
      <c r="E21" s="119">
        <f t="shared" si="1"/>
        <v>14.261182722374208</v>
      </c>
      <c r="F21" s="120">
        <f t="shared" si="2"/>
        <v>6.901982388990543E-3</v>
      </c>
      <c r="G21" s="120">
        <f t="shared" si="3"/>
        <v>3.4454873823627085E-3</v>
      </c>
      <c r="H21" s="115"/>
      <c r="I21" s="115">
        <v>62.050800000000002</v>
      </c>
      <c r="J21" s="86">
        <v>1</v>
      </c>
      <c r="K21" s="116">
        <v>58.7</v>
      </c>
      <c r="L21" s="117">
        <v>3.2130109999999998</v>
      </c>
      <c r="M21" s="117">
        <v>4</v>
      </c>
      <c r="N21" s="117">
        <v>9.202</v>
      </c>
      <c r="O21" s="117">
        <f t="shared" si="8"/>
        <v>2.3005</v>
      </c>
      <c r="P21" s="115">
        <v>6200.0027580000005</v>
      </c>
      <c r="Q21" s="118">
        <v>0.60846394466109033</v>
      </c>
      <c r="R21" s="115">
        <f t="shared" si="9"/>
        <v>3772.4781350423195</v>
      </c>
      <c r="S21" s="116">
        <f t="shared" si="4"/>
        <v>188.62390675211597</v>
      </c>
      <c r="T21" s="117">
        <v>2.5</v>
      </c>
      <c r="U21" s="117">
        <v>6.3560850000000002</v>
      </c>
      <c r="V21" s="117">
        <f t="shared" si="18"/>
        <v>2.5424340000000001</v>
      </c>
      <c r="X21" s="116">
        <f t="shared" si="10"/>
        <v>37.724781350423193</v>
      </c>
      <c r="Y21" s="117">
        <v>8.3000000000000007</v>
      </c>
      <c r="Z21" s="117">
        <v>15.86487</v>
      </c>
      <c r="AA21" s="117">
        <f t="shared" si="19"/>
        <v>1.9114301204819275</v>
      </c>
      <c r="AB21" s="117"/>
      <c r="AC21" s="123">
        <v>32136.424733754546</v>
      </c>
      <c r="AD21" s="123">
        <v>44510.894083543768</v>
      </c>
      <c r="AE21" s="123">
        <v>41033.214007270813</v>
      </c>
      <c r="AF21" s="123">
        <v>56833.485918756443</v>
      </c>
      <c r="AG21" s="115">
        <f t="shared" si="11"/>
        <v>78.31807844264938</v>
      </c>
      <c r="AH21" s="115">
        <f t="shared" si="12"/>
        <v>78.318078442649366</v>
      </c>
      <c r="AI21" s="123">
        <v>35912.776004218045</v>
      </c>
      <c r="AJ21" s="123">
        <v>47361.238265630374</v>
      </c>
      <c r="AK21" s="121">
        <f>AK20+(AK$28-AK$20)/8</f>
        <v>4.3361446137278481</v>
      </c>
      <c r="AL21" s="115">
        <f t="shared" si="13"/>
        <v>125413.36651236615</v>
      </c>
      <c r="AM21" s="115">
        <f t="shared" si="14"/>
        <v>173705.10626931215</v>
      </c>
      <c r="AN21" s="122"/>
      <c r="AO21" s="115">
        <f t="shared" si="6"/>
        <v>11798.847465830162</v>
      </c>
      <c r="AP21" s="115">
        <f t="shared" si="7"/>
        <v>46045.357998440333</v>
      </c>
      <c r="AQ21" s="115">
        <f t="shared" si="15"/>
        <v>184828.66038449496</v>
      </c>
      <c r="AR21" s="115">
        <f t="shared" si="16"/>
        <v>12554.41027628357</v>
      </c>
      <c r="AS21" s="96">
        <f t="shared" si="17"/>
        <v>48993.964648232897</v>
      </c>
    </row>
    <row r="22" spans="1:45">
      <c r="A22" s="20">
        <v>2002</v>
      </c>
      <c r="B22" s="115">
        <v>497</v>
      </c>
      <c r="C22" s="115">
        <v>1544.2</v>
      </c>
      <c r="D22" s="120">
        <f t="shared" si="0"/>
        <v>8.3628108452188966E-3</v>
      </c>
      <c r="E22" s="119">
        <f t="shared" si="1"/>
        <v>12.937480682023406</v>
      </c>
      <c r="F22" s="120">
        <f t="shared" si="2"/>
        <v>6.01323275655E-3</v>
      </c>
      <c r="G22" s="120">
        <f t="shared" si="3"/>
        <v>3.0587953984154846E-3</v>
      </c>
      <c r="H22" s="115"/>
      <c r="I22" s="116">
        <v>63.229599999999998</v>
      </c>
      <c r="J22" s="86">
        <v>1</v>
      </c>
      <c r="K22" s="116">
        <v>52.8</v>
      </c>
      <c r="L22" s="117">
        <v>3.1070419999999999</v>
      </c>
      <c r="M22" s="117">
        <v>3.8</v>
      </c>
      <c r="N22" s="117">
        <v>8.5210000000000008</v>
      </c>
      <c r="O22" s="117">
        <f t="shared" si="8"/>
        <v>2.2423684210526318</v>
      </c>
      <c r="P22" s="115">
        <v>6276.7218359999997</v>
      </c>
      <c r="Q22" s="118">
        <v>0.61203152381279025</v>
      </c>
      <c r="R22" s="115">
        <f t="shared" si="9"/>
        <v>3841.5516298360944</v>
      </c>
      <c r="S22" s="116">
        <f t="shared" si="4"/>
        <v>192.07758149180469</v>
      </c>
      <c r="T22" s="117">
        <v>2.2000000000000002</v>
      </c>
      <c r="U22" s="117">
        <v>5.780729</v>
      </c>
      <c r="V22" s="117">
        <f t="shared" si="18"/>
        <v>2.6276040909090908</v>
      </c>
      <c r="X22" s="116">
        <f t="shared" si="10"/>
        <v>38.415516298360942</v>
      </c>
      <c r="Y22" s="117">
        <v>6.7</v>
      </c>
      <c r="Z22" s="117">
        <v>14.702629999999999</v>
      </c>
      <c r="AA22" s="117">
        <f t="shared" si="19"/>
        <v>2.1944223880597011</v>
      </c>
      <c r="AB22" s="117"/>
      <c r="AC22" s="123">
        <v>33393.496281143358</v>
      </c>
      <c r="AD22" s="123">
        <v>46603.476082745154</v>
      </c>
      <c r="AE22" s="123">
        <v>41956.966465379359</v>
      </c>
      <c r="AF22" s="123">
        <v>58554.530101060089</v>
      </c>
      <c r="AG22" s="115">
        <f t="shared" si="11"/>
        <v>79.589872896787938</v>
      </c>
      <c r="AH22" s="115">
        <f t="shared" si="12"/>
        <v>79.589872896787909</v>
      </c>
      <c r="AI22" s="123">
        <v>35482.259473528873</v>
      </c>
      <c r="AJ22" s="123">
        <v>48795.441750883416</v>
      </c>
      <c r="AK22" s="121">
        <f t="shared" ref="AK22:AK27" si="21">AK21+(AK$28-AK$20)/8</f>
        <v>4.4024096689095842</v>
      </c>
      <c r="AL22" s="115">
        <f t="shared" si="13"/>
        <v>132310.66581612159</v>
      </c>
      <c r="AM22" s="115">
        <f t="shared" si="14"/>
        <v>184650.83434032646</v>
      </c>
      <c r="AN22" s="122"/>
      <c r="AO22" s="115">
        <f t="shared" si="6"/>
        <v>12131.419950415599</v>
      </c>
      <c r="AP22" s="115">
        <f t="shared" si="7"/>
        <v>48066.732438581035</v>
      </c>
      <c r="AQ22" s="115">
        <f t="shared" si="15"/>
        <v>193335.77210652322</v>
      </c>
      <c r="AR22" s="115">
        <f t="shared" si="16"/>
        <v>12702.013783155986</v>
      </c>
      <c r="AS22" s="96">
        <f t="shared" si="17"/>
        <v>50327.521464229852</v>
      </c>
    </row>
    <row r="23" spans="1:45">
      <c r="A23" s="20">
        <v>2003</v>
      </c>
      <c r="B23" s="115">
        <v>476</v>
      </c>
      <c r="C23" s="115">
        <v>1403.3</v>
      </c>
      <c r="D23" s="120">
        <f t="shared" si="0"/>
        <v>7.0858789280876262E-3</v>
      </c>
      <c r="E23" s="119">
        <f t="shared" si="1"/>
        <v>12.166855696778153</v>
      </c>
      <c r="F23" s="120">
        <f t="shared" si="2"/>
        <v>5.1493404193353144E-3</v>
      </c>
      <c r="G23" s="120">
        <f t="shared" si="3"/>
        <v>2.5017627918206484E-3</v>
      </c>
      <c r="H23" s="115"/>
      <c r="I23" s="116">
        <v>63.699599999999997</v>
      </c>
      <c r="J23" s="86">
        <v>1</v>
      </c>
      <c r="K23" s="116">
        <v>40.700000000000003</v>
      </c>
      <c r="L23" s="117">
        <v>2.9481090000000001</v>
      </c>
      <c r="M23" s="117">
        <v>3.4</v>
      </c>
      <c r="N23" s="117">
        <v>7.7460000000000004</v>
      </c>
      <c r="O23" s="117">
        <f t="shared" si="8"/>
        <v>2.2782352941176471</v>
      </c>
      <c r="P23" s="115">
        <v>6353.1955880000005</v>
      </c>
      <c r="Q23" s="118">
        <v>0.61579530003684635</v>
      </c>
      <c r="R23" s="115">
        <f t="shared" si="9"/>
        <v>3912.2679833052289</v>
      </c>
      <c r="S23" s="116">
        <f t="shared" si="4"/>
        <v>195.61339916526143</v>
      </c>
      <c r="T23" s="117">
        <v>2.1</v>
      </c>
      <c r="U23" s="117">
        <v>5.2132649999999998</v>
      </c>
      <c r="V23" s="117">
        <f t="shared" si="18"/>
        <v>2.4825071428571426</v>
      </c>
      <c r="X23" s="116">
        <f t="shared" si="10"/>
        <v>39.122679833052288</v>
      </c>
      <c r="Y23" s="117">
        <v>6.9</v>
      </c>
      <c r="Z23" s="117">
        <v>12.664099999999999</v>
      </c>
      <c r="AA23" s="117">
        <f t="shared" si="19"/>
        <v>1.8353768115942026</v>
      </c>
      <c r="AB23" s="117"/>
      <c r="AC23" s="123">
        <v>37564.833979095121</v>
      </c>
      <c r="AD23" s="123">
        <v>49241.984240353042</v>
      </c>
      <c r="AE23" s="123">
        <v>46224.305359099919</v>
      </c>
      <c r="AF23" s="123">
        <v>60593.280334494761</v>
      </c>
      <c r="AG23" s="115">
        <f t="shared" si="11"/>
        <v>81.266411008813449</v>
      </c>
      <c r="AH23" s="115">
        <f t="shared" si="12"/>
        <v>81.266411008813449</v>
      </c>
      <c r="AI23" s="123">
        <v>33283.720109833564</v>
      </c>
      <c r="AJ23" s="123">
        <v>50494.400278745641</v>
      </c>
      <c r="AK23" s="121">
        <f t="shared" si="21"/>
        <v>4.4686747240913203</v>
      </c>
      <c r="AL23" s="115">
        <f t="shared" si="13"/>
        <v>151078.52170536225</v>
      </c>
      <c r="AM23" s="115">
        <f t="shared" si="14"/>
        <v>198041.76930507191</v>
      </c>
      <c r="AN23" s="122"/>
      <c r="AO23" s="115">
        <f t="shared" si="6"/>
        <v>12586.557068810913</v>
      </c>
      <c r="AP23" s="115">
        <f t="shared" si="7"/>
        <v>50620.706493055441</v>
      </c>
      <c r="AQ23" s="115">
        <f t="shared" si="15"/>
        <v>203078.74521040235</v>
      </c>
      <c r="AR23" s="115">
        <f t="shared" si="16"/>
        <v>12906.68238837926</v>
      </c>
      <c r="AS23" s="96">
        <f t="shared" si="17"/>
        <v>51908.188824742494</v>
      </c>
    </row>
    <row r="24" spans="1:45">
      <c r="A24" s="20">
        <v>2004</v>
      </c>
      <c r="B24" s="115">
        <v>587</v>
      </c>
      <c r="C24" s="115">
        <v>1917.2</v>
      </c>
      <c r="D24" s="120">
        <f t="shared" si="0"/>
        <v>8.8506627370111834E-3</v>
      </c>
      <c r="E24" s="119">
        <f t="shared" si="1"/>
        <v>14.731586114410105</v>
      </c>
      <c r="F24" s="120">
        <f t="shared" si="2"/>
        <v>6.0060672697984235E-3</v>
      </c>
      <c r="G24" s="120">
        <f t="shared" si="3"/>
        <v>2.8384716569276095E-3</v>
      </c>
      <c r="H24" s="115"/>
      <c r="I24" s="116">
        <v>64.0411</v>
      </c>
      <c r="J24" s="86">
        <v>1</v>
      </c>
      <c r="K24" s="116">
        <v>46.6</v>
      </c>
      <c r="L24" s="117">
        <v>3.2660990000000001</v>
      </c>
      <c r="M24" s="117">
        <v>4.5</v>
      </c>
      <c r="N24" s="117">
        <v>9.673</v>
      </c>
      <c r="O24" s="117">
        <f t="shared" si="8"/>
        <v>2.1495555555555557</v>
      </c>
      <c r="P24" s="115">
        <v>6429.7576310000004</v>
      </c>
      <c r="Q24" s="118">
        <v>0.61971782773246475</v>
      </c>
      <c r="R24" s="115">
        <f t="shared" si="9"/>
        <v>3984.6354319295588</v>
      </c>
      <c r="S24" s="116">
        <f t="shared" si="4"/>
        <v>199.23177159647793</v>
      </c>
      <c r="T24" s="117">
        <v>2.6</v>
      </c>
      <c r="U24" s="117">
        <v>6.530151</v>
      </c>
      <c r="V24" s="117">
        <f t="shared" si="18"/>
        <v>2.5115965384615384</v>
      </c>
      <c r="X24" s="116">
        <f t="shared" si="10"/>
        <v>39.846354319295585</v>
      </c>
      <c r="Y24" s="117">
        <v>8.4</v>
      </c>
      <c r="Z24" s="117">
        <v>15.430770000000001</v>
      </c>
      <c r="AA24" s="117">
        <f t="shared" si="19"/>
        <v>1.8369964285714286</v>
      </c>
      <c r="AB24" s="117"/>
      <c r="AC24" s="123">
        <v>42268.087627567089</v>
      </c>
      <c r="AD24" s="123">
        <v>53073.483627665875</v>
      </c>
      <c r="AE24" s="123">
        <v>50589.465877683593</v>
      </c>
      <c r="AF24" s="123">
        <v>63522.135485507082</v>
      </c>
      <c r="AG24" s="115">
        <f t="shared" si="11"/>
        <v>83.551164050167799</v>
      </c>
      <c r="AH24" s="115">
        <f t="shared" si="12"/>
        <v>83.551164050167813</v>
      </c>
      <c r="AI24" s="123">
        <v>34041.238392175568</v>
      </c>
      <c r="AJ24" s="123">
        <v>52935.112904589238</v>
      </c>
      <c r="AK24" s="121">
        <f t="shared" si="21"/>
        <v>4.5349397792730564</v>
      </c>
      <c r="AL24" s="115">
        <f t="shared" si="13"/>
        <v>172514.90877844798</v>
      </c>
      <c r="AM24" s="115">
        <f t="shared" si="14"/>
        <v>216616.54691492935</v>
      </c>
      <c r="AN24" s="122"/>
      <c r="AO24" s="115">
        <f t="shared" si="6"/>
        <v>13319.533125258853</v>
      </c>
      <c r="AP24" s="115">
        <f t="shared" si="7"/>
        <v>54362.952549973401</v>
      </c>
      <c r="AQ24" s="115">
        <f t="shared" si="15"/>
        <v>216051.79430819902</v>
      </c>
      <c r="AR24" s="115">
        <f t="shared" si="16"/>
        <v>13284.807056728756</v>
      </c>
      <c r="AS24" s="96">
        <f t="shared" si="17"/>
        <v>54221.219983373987</v>
      </c>
    </row>
    <row r="25" spans="1:45">
      <c r="A25" s="20">
        <v>2005</v>
      </c>
      <c r="B25" s="115">
        <v>691</v>
      </c>
      <c r="C25" s="115">
        <v>2236.1999999999998</v>
      </c>
      <c r="D25" s="120">
        <f t="shared" si="0"/>
        <v>9.4311625318475173E-3</v>
      </c>
      <c r="E25" s="119">
        <f t="shared" si="1"/>
        <v>17.02566948583328</v>
      </c>
      <c r="F25" s="120">
        <f t="shared" si="2"/>
        <v>6.0305918848150893E-3</v>
      </c>
      <c r="G25" s="120">
        <f t="shared" si="3"/>
        <v>2.7977787043963922E-3</v>
      </c>
      <c r="H25" s="115"/>
      <c r="I25" s="116">
        <v>63.807200000000002</v>
      </c>
      <c r="J25" s="86">
        <v>1</v>
      </c>
      <c r="K25" s="116">
        <v>46.5</v>
      </c>
      <c r="L25" s="117">
        <v>3.2361789999999999</v>
      </c>
      <c r="M25" s="117">
        <v>5</v>
      </c>
      <c r="N25" s="117">
        <v>10.419</v>
      </c>
      <c r="O25" s="117">
        <f t="shared" si="8"/>
        <v>2.0838000000000001</v>
      </c>
      <c r="P25" s="115">
        <v>6506.6491749999996</v>
      </c>
      <c r="Q25" s="118">
        <v>0.62375847288554631</v>
      </c>
      <c r="R25" s="115">
        <f t="shared" si="9"/>
        <v>4058.5775529999996</v>
      </c>
      <c r="S25" s="116">
        <f t="shared" si="4"/>
        <v>202.92887764999998</v>
      </c>
      <c r="T25" s="117">
        <v>2.9</v>
      </c>
      <c r="U25" s="117">
        <v>7.0463060000000004</v>
      </c>
      <c r="V25" s="117">
        <f t="shared" si="18"/>
        <v>2.4297606896551724</v>
      </c>
      <c r="X25" s="116">
        <f t="shared" si="10"/>
        <v>40.585775529999992</v>
      </c>
      <c r="Y25" s="117">
        <v>9</v>
      </c>
      <c r="Z25" s="117">
        <v>16.344999999999999</v>
      </c>
      <c r="AA25" s="117">
        <f t="shared" si="19"/>
        <v>1.816111111111111</v>
      </c>
      <c r="AB25" s="117"/>
      <c r="AC25" s="123">
        <v>45673.091235253742</v>
      </c>
      <c r="AD25" s="123">
        <v>57257.362251002996</v>
      </c>
      <c r="AE25" s="123">
        <v>52908.640484476418</v>
      </c>
      <c r="AF25" s="123">
        <v>66328.096314388167</v>
      </c>
      <c r="AG25" s="115">
        <f t="shared" si="11"/>
        <v>86.324446852219523</v>
      </c>
      <c r="AH25" s="115">
        <f t="shared" si="12"/>
        <v>86.324446852219523</v>
      </c>
      <c r="AI25" s="123">
        <v>36726.646124092244</v>
      </c>
      <c r="AJ25" s="123">
        <v>55273.413595323487</v>
      </c>
      <c r="AK25" s="121">
        <f t="shared" si="21"/>
        <v>4.6012048344547924</v>
      </c>
      <c r="AL25" s="115">
        <f t="shared" si="13"/>
        <v>189136.1233765299</v>
      </c>
      <c r="AM25" s="115">
        <f t="shared" si="14"/>
        <v>237107.5667976999</v>
      </c>
      <c r="AN25" s="122"/>
      <c r="AO25" s="115">
        <f t="shared" si="6"/>
        <v>14107.74132150802</v>
      </c>
      <c r="AP25" s="115">
        <f t="shared" si="7"/>
        <v>58421.346814584307</v>
      </c>
      <c r="AQ25" s="115">
        <f t="shared" si="15"/>
        <v>228891.86806645952</v>
      </c>
      <c r="AR25" s="115">
        <f t="shared" si="16"/>
        <v>13618.912752934031</v>
      </c>
      <c r="AS25" s="96">
        <f t="shared" si="17"/>
        <v>56397.066478936278</v>
      </c>
    </row>
    <row r="26" spans="1:45">
      <c r="A26" s="20">
        <v>2006</v>
      </c>
      <c r="B26" s="115">
        <v>793</v>
      </c>
      <c r="C26" s="115">
        <v>2645.5</v>
      </c>
      <c r="D26" s="120">
        <f t="shared" si="0"/>
        <v>1.0047595071696105E-2</v>
      </c>
      <c r="E26" s="119">
        <f t="shared" si="1"/>
        <v>19.18155155098426</v>
      </c>
      <c r="F26" s="120">
        <f t="shared" si="2"/>
        <v>6.1114860818376505E-3</v>
      </c>
      <c r="G26" s="120">
        <f t="shared" si="3"/>
        <v>2.6849729996777931E-3</v>
      </c>
      <c r="H26" s="115"/>
      <c r="I26" s="116">
        <v>63.252299999999998</v>
      </c>
      <c r="J26" s="86">
        <v>1</v>
      </c>
      <c r="K26" s="116">
        <v>50</v>
      </c>
      <c r="L26" s="117">
        <v>3.3360660000000002</v>
      </c>
      <c r="M26" s="117">
        <v>6</v>
      </c>
      <c r="N26" s="117">
        <v>11.497999999999999</v>
      </c>
      <c r="O26" s="117">
        <f t="shared" si="8"/>
        <v>1.9163333333333332</v>
      </c>
      <c r="P26" s="115">
        <v>6583.958568</v>
      </c>
      <c r="Q26" s="118">
        <v>0.62791717868962105</v>
      </c>
      <c r="R26" s="115">
        <f t="shared" si="9"/>
        <v>4134.1806886279173</v>
      </c>
      <c r="S26" s="116">
        <f t="shared" si="4"/>
        <v>206.70903443139585</v>
      </c>
      <c r="T26" s="117">
        <v>3.3</v>
      </c>
      <c r="U26" s="117">
        <v>7.7845409999999999</v>
      </c>
      <c r="V26" s="117">
        <f t="shared" si="18"/>
        <v>2.3589518181818181</v>
      </c>
      <c r="X26" s="116">
        <f t="shared" si="10"/>
        <v>41.341806886279173</v>
      </c>
      <c r="Y26" s="117">
        <v>10.7</v>
      </c>
      <c r="Z26" s="117">
        <v>17.100000000000001</v>
      </c>
      <c r="AA26" s="117">
        <f t="shared" si="19"/>
        <v>1.5981308411214956</v>
      </c>
      <c r="AB26" s="117"/>
      <c r="AC26" s="123">
        <v>49484.769319646264</v>
      </c>
      <c r="AD26" s="123">
        <v>62678.934803163655</v>
      </c>
      <c r="AE26" s="123">
        <v>55532.691752646591</v>
      </c>
      <c r="AF26" s="123">
        <v>70339.419859160829</v>
      </c>
      <c r="AG26" s="115">
        <f t="shared" si="11"/>
        <v>89.109257552400052</v>
      </c>
      <c r="AH26" s="115">
        <f t="shared" si="12"/>
        <v>89.109257552400038</v>
      </c>
      <c r="AI26" s="123">
        <v>39446.338500232145</v>
      </c>
      <c r="AJ26" s="123">
        <v>58616.183215967358</v>
      </c>
      <c r="AK26" s="121">
        <f t="shared" si="21"/>
        <v>4.6674698896365285</v>
      </c>
      <c r="AL26" s="115">
        <f t="shared" si="13"/>
        <v>207871.80371555258</v>
      </c>
      <c r="AM26" s="115">
        <f t="shared" si="14"/>
        <v>263296.83681743167</v>
      </c>
      <c r="AN26" s="122"/>
      <c r="AO26" s="115">
        <f t="shared" si="6"/>
        <v>15161.150303753659</v>
      </c>
      <c r="AP26" s="115">
        <f t="shared" si="7"/>
        <v>63687.79128152151</v>
      </c>
      <c r="AQ26" s="115">
        <f t="shared" si="15"/>
        <v>246230.34318535114</v>
      </c>
      <c r="AR26" s="115">
        <f t="shared" si="16"/>
        <v>14178.427995952285</v>
      </c>
      <c r="AS26" s="96">
        <f t="shared" si="17"/>
        <v>59559.647178138192</v>
      </c>
    </row>
    <row r="27" spans="1:45">
      <c r="A27" s="20">
        <v>2007</v>
      </c>
      <c r="B27" s="115">
        <v>946</v>
      </c>
      <c r="C27" s="115">
        <v>3452</v>
      </c>
      <c r="D27" s="120">
        <f t="shared" si="0"/>
        <v>1.1936232059383448E-2</v>
      </c>
      <c r="E27" s="119">
        <f t="shared" si="1"/>
        <v>22.4636702522956</v>
      </c>
      <c r="F27" s="120">
        <f t="shared" si="2"/>
        <v>6.9501959341642522E-3</v>
      </c>
      <c r="G27" s="120">
        <f t="shared" si="3"/>
        <v>3.0229028850954406E-3</v>
      </c>
      <c r="H27" s="115"/>
      <c r="I27" s="116">
        <v>62.358800000000002</v>
      </c>
      <c r="J27" s="86">
        <v>1</v>
      </c>
      <c r="K27" s="116">
        <v>56</v>
      </c>
      <c r="L27" s="117">
        <v>3.6490490000000002</v>
      </c>
      <c r="M27" s="117">
        <v>7.3</v>
      </c>
      <c r="N27" s="117">
        <v>14.288</v>
      </c>
      <c r="O27" s="117">
        <f t="shared" si="8"/>
        <v>1.9572602739726028</v>
      </c>
      <c r="P27" s="115">
        <v>6661.6374599999999</v>
      </c>
      <c r="Q27" s="118">
        <v>0.63216351506193724</v>
      </c>
      <c r="R27" s="115">
        <f t="shared" si="9"/>
        <v>4211.2441527818755</v>
      </c>
      <c r="S27" s="116">
        <f t="shared" si="4"/>
        <v>210.56220763909377</v>
      </c>
      <c r="T27" s="117">
        <v>4.0999999999999996</v>
      </c>
      <c r="U27" s="117">
        <v>9.5459720000000008</v>
      </c>
      <c r="V27" s="117">
        <f t="shared" si="18"/>
        <v>2.3282858536585369</v>
      </c>
      <c r="X27" s="116">
        <f t="shared" si="10"/>
        <v>42.112441527818753</v>
      </c>
      <c r="Y27" s="117">
        <v>13</v>
      </c>
      <c r="Z27" s="117">
        <v>20.759519999999998</v>
      </c>
      <c r="AA27" s="117">
        <f t="shared" si="19"/>
        <v>1.5968861538461536</v>
      </c>
      <c r="AB27" s="117"/>
      <c r="AC27" s="123">
        <v>55793.851197874843</v>
      </c>
      <c r="AD27" s="123">
        <v>67882.384151307342</v>
      </c>
      <c r="AE27" s="123">
        <v>60848.782058163939</v>
      </c>
      <c r="AF27" s="123">
        <v>74032.53781787325</v>
      </c>
      <c r="AG27" s="115">
        <f t="shared" si="11"/>
        <v>91.692634282380212</v>
      </c>
      <c r="AH27" s="115">
        <f t="shared" si="12"/>
        <v>91.692634282380212</v>
      </c>
      <c r="AI27" s="123">
        <v>40765.107851512876</v>
      </c>
      <c r="AJ27" s="123">
        <v>61693.781514894377</v>
      </c>
      <c r="AK27" s="121">
        <f t="shared" si="21"/>
        <v>4.7337349448182646</v>
      </c>
      <c r="AL27" s="115">
        <f t="shared" si="13"/>
        <v>237701.97280923347</v>
      </c>
      <c r="AM27" s="115">
        <f t="shared" si="14"/>
        <v>289203.49259515898</v>
      </c>
      <c r="AN27" s="122"/>
      <c r="AO27" s="115">
        <f t="shared" si="6"/>
        <v>16119.318113262421</v>
      </c>
      <c r="AP27" s="115">
        <f t="shared" si="7"/>
        <v>68674.121495453102</v>
      </c>
      <c r="AQ27" s="115">
        <f t="shared" si="15"/>
        <v>262837.80849153473</v>
      </c>
      <c r="AR27" s="115">
        <f t="shared" si="16"/>
        <v>14649.775523972059</v>
      </c>
      <c r="AS27" s="96">
        <f t="shared" si="17"/>
        <v>62413.338898412861</v>
      </c>
    </row>
    <row r="28" spans="1:45">
      <c r="A28" s="20">
        <v>2008</v>
      </c>
      <c r="B28" s="115">
        <v>1125</v>
      </c>
      <c r="C28" s="115">
        <v>4381</v>
      </c>
      <c r="D28" s="120">
        <f t="shared" si="0"/>
        <v>1.4121075657490762E-2</v>
      </c>
      <c r="E28" s="119">
        <f t="shared" si="1"/>
        <v>26.22971643025322</v>
      </c>
      <c r="F28" s="120">
        <f t="shared" si="2"/>
        <v>7.920737660778155E-3</v>
      </c>
      <c r="G28" s="120">
        <f t="shared" si="3"/>
        <v>3.5058593007912956E-3</v>
      </c>
      <c r="H28" s="115"/>
      <c r="I28" s="116">
        <v>61.342500000000001</v>
      </c>
      <c r="J28" s="86">
        <v>1</v>
      </c>
      <c r="K28" s="116">
        <v>62</v>
      </c>
      <c r="L28" s="117">
        <v>3.8942220000000001</v>
      </c>
      <c r="M28" s="117">
        <v>8.9</v>
      </c>
      <c r="N28" s="117">
        <v>17.213999999999999</v>
      </c>
      <c r="O28" s="117">
        <f t="shared" si="8"/>
        <v>1.9341573033707864</v>
      </c>
      <c r="P28" s="115">
        <v>6739.6102890000002</v>
      </c>
      <c r="Q28" s="118">
        <v>0.63639116594289469</v>
      </c>
      <c r="R28" s="115">
        <f t="shared" si="9"/>
        <v>4289.0284498174397</v>
      </c>
      <c r="S28" s="116">
        <f t="shared" si="4"/>
        <v>214.45142249087198</v>
      </c>
      <c r="T28" s="117">
        <v>4.7</v>
      </c>
      <c r="U28" s="117">
        <v>11.458880000000001</v>
      </c>
      <c r="V28" s="117">
        <f t="shared" si="18"/>
        <v>2.4380595744680851</v>
      </c>
      <c r="X28" s="116">
        <f t="shared" si="10"/>
        <v>42.890284498174395</v>
      </c>
      <c r="Y28" s="117">
        <v>16</v>
      </c>
      <c r="Z28" s="117">
        <v>25.35952</v>
      </c>
      <c r="AA28" s="117">
        <f t="shared" si="19"/>
        <v>1.58497</v>
      </c>
      <c r="AB28" s="117"/>
      <c r="AC28" s="123">
        <v>61198.696482168394</v>
      </c>
      <c r="AD28" s="123">
        <v>71816.085046779917</v>
      </c>
      <c r="AE28" s="123">
        <v>65299.312678531816</v>
      </c>
      <c r="AF28" s="123">
        <v>76628.118936881554</v>
      </c>
      <c r="AG28" s="115">
        <f t="shared" si="11"/>
        <v>93.720276633613693</v>
      </c>
      <c r="AH28" s="115">
        <f t="shared" si="12"/>
        <v>93.720276633613693</v>
      </c>
      <c r="AI28" s="123">
        <v>41778.820120964316</v>
      </c>
      <c r="AJ28" s="123">
        <v>63856.765780734626</v>
      </c>
      <c r="AK28" s="121">
        <v>4.8</v>
      </c>
      <c r="AL28" s="115">
        <f t="shared" si="13"/>
        <v>264378.36880296748</v>
      </c>
      <c r="AM28" s="115">
        <f t="shared" si="14"/>
        <v>310245.48740208929</v>
      </c>
      <c r="AN28" s="122"/>
      <c r="AO28" s="115">
        <f t="shared" si="6"/>
        <v>16744.138185848762</v>
      </c>
      <c r="AP28" s="115">
        <f t="shared" si="7"/>
        <v>72334.676962866666</v>
      </c>
      <c r="AQ28" s="115">
        <f t="shared" si="15"/>
        <v>275861.22817277361</v>
      </c>
      <c r="AR28" s="115">
        <f t="shared" si="16"/>
        <v>14888.398742949037</v>
      </c>
      <c r="AS28" s="96">
        <f t="shared" si="17"/>
        <v>64317.882569539841</v>
      </c>
    </row>
    <row r="29" spans="1:45">
      <c r="A29" s="20">
        <v>2009</v>
      </c>
      <c r="B29" s="115">
        <v>793</v>
      </c>
      <c r="C29" s="115">
        <v>2414.6999999999998</v>
      </c>
      <c r="D29" s="120">
        <f t="shared" si="0"/>
        <v>8.6559699917044281E-3</v>
      </c>
      <c r="E29" s="119">
        <f t="shared" si="1"/>
        <v>18.160781575814209</v>
      </c>
      <c r="F29" s="120">
        <f t="shared" si="2"/>
        <v>5.3499447098478061E-3</v>
      </c>
      <c r="G29" s="120">
        <f t="shared" si="3"/>
        <v>2.4330963565055981E-3</v>
      </c>
      <c r="H29" s="115"/>
      <c r="I29" s="116">
        <v>63.671900000000001</v>
      </c>
      <c r="J29" s="86">
        <v>1</v>
      </c>
      <c r="K29" s="116">
        <v>40</v>
      </c>
      <c r="L29" s="117">
        <v>3.0450189999999999</v>
      </c>
      <c r="M29" s="117">
        <v>5</v>
      </c>
      <c r="N29" s="117">
        <v>10.500999999999999</v>
      </c>
      <c r="O29" s="117">
        <f t="shared" si="8"/>
        <v>2.1002000000000001</v>
      </c>
      <c r="P29" s="115">
        <v>6817.7371229999999</v>
      </c>
      <c r="Q29" s="118">
        <v>0.64046942266581752</v>
      </c>
      <c r="R29" s="115">
        <f t="shared" si="9"/>
        <v>4366.5521590551216</v>
      </c>
      <c r="S29" s="116">
        <f t="shared" si="4"/>
        <v>218.32760795275607</v>
      </c>
      <c r="T29" s="117">
        <v>3</v>
      </c>
      <c r="U29" s="117">
        <v>6.8357799999999997</v>
      </c>
      <c r="V29" s="117">
        <f t="shared" si="18"/>
        <v>2.2785933333333332</v>
      </c>
      <c r="X29" s="116">
        <f t="shared" si="10"/>
        <v>43.665521590551215</v>
      </c>
      <c r="Y29" s="117">
        <v>9</v>
      </c>
      <c r="Z29" s="117">
        <v>15.54419</v>
      </c>
      <c r="AA29" s="117">
        <f t="shared" si="19"/>
        <v>1.7271322222222223</v>
      </c>
      <c r="AB29" s="117"/>
      <c r="AC29" s="123">
        <v>57859.92518319685</v>
      </c>
      <c r="AD29" s="123">
        <v>72083.601141185529</v>
      </c>
      <c r="AE29" s="123">
        <v>61087.192353090337</v>
      </c>
      <c r="AF29" s="123">
        <v>76104.225756825428</v>
      </c>
      <c r="AG29" s="115">
        <f t="shared" si="11"/>
        <v>94.716949583736735</v>
      </c>
      <c r="AH29" s="115">
        <f t="shared" si="12"/>
        <v>94.716949583736721</v>
      </c>
      <c r="AI29" s="123">
        <v>41650.062123647971</v>
      </c>
      <c r="AJ29" s="123">
        <v>63420.188130687849</v>
      </c>
      <c r="AK29" s="121">
        <v>4.3</v>
      </c>
      <c r="AL29" s="115">
        <f t="shared" si="13"/>
        <v>223917.9104589718</v>
      </c>
      <c r="AM29" s="115">
        <f t="shared" si="14"/>
        <v>278963.536416388</v>
      </c>
      <c r="AN29" s="122"/>
      <c r="AO29" s="115">
        <f t="shared" si="6"/>
        <v>16508.127812398259</v>
      </c>
      <c r="AP29" s="115">
        <f t="shared" si="7"/>
        <v>63886.454633981266</v>
      </c>
      <c r="AQ29" s="115">
        <f t="shared" si="15"/>
        <v>245436.12806576199</v>
      </c>
      <c r="AR29" s="115">
        <f t="shared" si="16"/>
        <v>14524.088072364018</v>
      </c>
      <c r="AS29" s="96">
        <f t="shared" si="17"/>
        <v>56208.220840048758</v>
      </c>
    </row>
    <row r="30" spans="1:45">
      <c r="A30" s="20">
        <v>2010</v>
      </c>
      <c r="B30" s="115">
        <v>1011</v>
      </c>
      <c r="C30" s="115">
        <v>3567.8</v>
      </c>
      <c r="D30" s="120">
        <f t="shared" si="0"/>
        <v>1.1791126958968902E-2</v>
      </c>
      <c r="E30" s="119">
        <f t="shared" si="1"/>
        <v>22.754535585786137</v>
      </c>
      <c r="F30" s="120">
        <f t="shared" si="2"/>
        <v>6.8385422664092041E-3</v>
      </c>
      <c r="G30" s="120">
        <f t="shared" si="3"/>
        <v>3.0689109023488191E-3</v>
      </c>
      <c r="H30" s="115"/>
      <c r="I30" s="116">
        <v>62.767699999999998</v>
      </c>
      <c r="J30" s="86">
        <v>1</v>
      </c>
      <c r="K30" s="116">
        <v>53.5</v>
      </c>
      <c r="L30" s="117">
        <v>3.5289809999999999</v>
      </c>
      <c r="M30" s="117">
        <v>7.2</v>
      </c>
      <c r="N30" s="117">
        <v>14.433999999999999</v>
      </c>
      <c r="O30" s="117">
        <f t="shared" si="8"/>
        <v>2.0047222222222221</v>
      </c>
      <c r="P30" s="115">
        <v>6895.8890179999999</v>
      </c>
      <c r="Q30" s="118">
        <v>0.64430709853399193</v>
      </c>
      <c r="R30" s="115">
        <f t="shared" si="9"/>
        <v>4443.070244999999</v>
      </c>
      <c r="S30" s="116">
        <f t="shared" si="4"/>
        <v>222.15351224999992</v>
      </c>
      <c r="T30" s="117">
        <v>4</v>
      </c>
      <c r="U30" s="117">
        <v>9.3144139999999993</v>
      </c>
      <c r="V30" s="117">
        <f t="shared" si="18"/>
        <v>2.3286034999999998</v>
      </c>
      <c r="X30" s="116">
        <f t="shared" si="10"/>
        <v>44.430702449999984</v>
      </c>
      <c r="Y30" s="117">
        <v>12.2</v>
      </c>
      <c r="Z30" s="117">
        <v>20.9</v>
      </c>
      <c r="AA30" s="117">
        <f t="shared" si="19"/>
        <v>1.7131147540983607</v>
      </c>
      <c r="AB30" s="117"/>
      <c r="AC30" s="123">
        <v>63141.052471199699</v>
      </c>
      <c r="AD30" s="123">
        <v>76430.873211398779</v>
      </c>
      <c r="AE30" s="123">
        <v>65903.463393649145</v>
      </c>
      <c r="AF30" s="123">
        <v>79774.71166052534</v>
      </c>
      <c r="AG30" s="115">
        <f t="shared" si="11"/>
        <v>95.808397950272777</v>
      </c>
      <c r="AH30" s="115">
        <f t="shared" si="12"/>
        <v>95.808397950272749</v>
      </c>
      <c r="AI30" s="123">
        <v>47674.335963116973</v>
      </c>
      <c r="AJ30" s="123">
        <v>66478.926383771133</v>
      </c>
      <c r="AK30" s="72">
        <v>4.398796337405904</v>
      </c>
      <c r="AL30" s="115">
        <f t="shared" si="13"/>
        <v>249970.16731524054</v>
      </c>
      <c r="AM30" s="115">
        <f t="shared" si="14"/>
        <v>302583.46063233243</v>
      </c>
      <c r="AN30" s="122"/>
      <c r="AO30" s="115">
        <f t="shared" si="6"/>
        <v>17202.265324841559</v>
      </c>
      <c r="AP30" s="115">
        <f t="shared" si="7"/>
        <v>68102.335535397884</v>
      </c>
      <c r="AQ30" s="115">
        <f t="shared" si="15"/>
        <v>263184.53210244828</v>
      </c>
      <c r="AR30" s="115">
        <f t="shared" si="16"/>
        <v>14962.384729024501</v>
      </c>
      <c r="AS30" s="96">
        <f t="shared" si="17"/>
        <v>59234.834830401909</v>
      </c>
    </row>
    <row r="31" spans="1:45">
      <c r="A31" s="20">
        <v>2011</v>
      </c>
      <c r="B31" s="115">
        <v>1206</v>
      </c>
      <c r="C31" s="115">
        <v>4500</v>
      </c>
      <c r="D31" s="120">
        <f t="shared" si="0"/>
        <v>1.394091455504011E-2</v>
      </c>
      <c r="E31" s="119">
        <f t="shared" si="1"/>
        <v>26.68032254982975</v>
      </c>
      <c r="F31" s="120">
        <f t="shared" si="2"/>
        <v>8.0519826134762707E-3</v>
      </c>
      <c r="G31" s="120">
        <f t="shared" si="3"/>
        <v>3.6184909692561196E-3</v>
      </c>
      <c r="H31" s="115"/>
      <c r="I31" s="86"/>
      <c r="J31" s="86">
        <v>1</v>
      </c>
      <c r="K31" s="116">
        <v>74</v>
      </c>
      <c r="L31" s="117">
        <f>C31/B31</f>
        <v>3.7313432835820897</v>
      </c>
      <c r="M31" s="117">
        <v>8.8000000000000007</v>
      </c>
      <c r="N31" s="117">
        <f>M31*O31</f>
        <v>18.480000000000004</v>
      </c>
      <c r="O31" s="86">
        <v>2.1</v>
      </c>
      <c r="P31" s="115">
        <v>6974.0363749999997</v>
      </c>
      <c r="Q31" s="72">
        <f>Q30+(Q30-Q29)</f>
        <v>0.64814477440216633</v>
      </c>
      <c r="R31" s="115">
        <f t="shared" si="9"/>
        <v>4520.1852329468766</v>
      </c>
      <c r="S31" s="116">
        <f t="shared" si="4"/>
        <v>226.00926164734381</v>
      </c>
      <c r="T31" s="86">
        <v>4.5999999999999996</v>
      </c>
      <c r="U31" s="117">
        <f>T31*V31</f>
        <v>11.5</v>
      </c>
      <c r="V31" s="86">
        <v>2.5</v>
      </c>
      <c r="X31" s="116">
        <f t="shared" si="10"/>
        <v>45.201852329468764</v>
      </c>
      <c r="Y31" s="117">
        <v>13.6</v>
      </c>
      <c r="Z31" s="117">
        <f>Y31*AA31</f>
        <v>25.84</v>
      </c>
      <c r="AA31" s="86">
        <v>1.9</v>
      </c>
      <c r="AB31" s="86"/>
      <c r="AC31" s="123">
        <v>70066.56314042781</v>
      </c>
      <c r="AD31" s="123">
        <v>81296.892693932605</v>
      </c>
      <c r="AE31" s="123">
        <v>71187.628150674645</v>
      </c>
      <c r="AF31" s="123">
        <v>82597.642977035546</v>
      </c>
      <c r="AG31" s="115">
        <f t="shared" si="11"/>
        <v>98.425196850393675</v>
      </c>
      <c r="AH31" s="115">
        <f t="shared" si="12"/>
        <v>98.425196850393704</v>
      </c>
      <c r="AI31" s="123">
        <v>50402.732527882443</v>
      </c>
      <c r="AJ31" s="123">
        <v>68831.369147529622</v>
      </c>
      <c r="AK31" s="121">
        <f>AK30+(AK$30-AK$20)/10</f>
        <v>4.4116880152918831</v>
      </c>
      <c r="AL31" s="115">
        <f t="shared" si="13"/>
        <v>278200.63519138563</v>
      </c>
      <c r="AM31" s="115">
        <f t="shared" si="14"/>
        <v>322790.87446046347</v>
      </c>
      <c r="AN31" s="122"/>
      <c r="AO31" s="115">
        <f t="shared" si="6"/>
        <v>17985.301155663514</v>
      </c>
      <c r="AP31" s="115">
        <f t="shared" si="7"/>
        <v>71410.983803870375</v>
      </c>
      <c r="AQ31" s="115">
        <f t="shared" si="15"/>
        <v>273296.27370985912</v>
      </c>
      <c r="AR31" s="115">
        <f t="shared" si="16"/>
        <v>15227.554978461776</v>
      </c>
      <c r="AS31" s="96">
        <f t="shared" si="17"/>
        <v>60461.299620610269</v>
      </c>
    </row>
    <row r="32" spans="1:45">
      <c r="A32" s="20">
        <v>2012</v>
      </c>
      <c r="B32" s="115">
        <v>1226</v>
      </c>
      <c r="C32" s="115">
        <v>4600</v>
      </c>
      <c r="D32" s="120">
        <f t="shared" si="0"/>
        <v>1.3525831592523499E-2</v>
      </c>
      <c r="E32" s="119">
        <f t="shared" si="1"/>
        <v>26.66452970083612</v>
      </c>
      <c r="F32" s="120">
        <f t="shared" si="2"/>
        <v>8.2604536063399965E-3</v>
      </c>
      <c r="G32" s="120">
        <f t="shared" si="3"/>
        <v>3.7313996650570197E-3</v>
      </c>
      <c r="H32" s="115"/>
      <c r="I32" s="86"/>
      <c r="J32" s="86">
        <v>1</v>
      </c>
      <c r="K32" s="116">
        <v>69</v>
      </c>
      <c r="L32" s="117">
        <f>C32/B32</f>
        <v>3.7520391517128875</v>
      </c>
      <c r="M32" s="117">
        <v>9</v>
      </c>
      <c r="N32" s="117">
        <f>M32*O32</f>
        <v>19.8</v>
      </c>
      <c r="O32" s="86">
        <v>2.2000000000000002</v>
      </c>
      <c r="P32" s="115">
        <v>7052.1353049999998</v>
      </c>
      <c r="Q32" s="72">
        <f>Q31+(Q31-Q30)</f>
        <v>0.65198245027034074</v>
      </c>
      <c r="R32" s="115">
        <f t="shared" si="9"/>
        <v>4597.8684557918768</v>
      </c>
      <c r="S32" s="116">
        <f t="shared" si="4"/>
        <v>229.89342278959381</v>
      </c>
      <c r="T32" s="86">
        <v>4.7</v>
      </c>
      <c r="U32" s="117">
        <f>T32*V32</f>
        <v>12.22</v>
      </c>
      <c r="V32" s="86">
        <v>2.6</v>
      </c>
      <c r="X32" s="116">
        <f t="shared" si="10"/>
        <v>45.978684557918761</v>
      </c>
      <c r="Y32" s="117">
        <v>13.8</v>
      </c>
      <c r="Z32" s="117">
        <f>Y32*AA32</f>
        <v>27.6</v>
      </c>
      <c r="AA32" s="117">
        <v>2</v>
      </c>
      <c r="AB32" s="86"/>
      <c r="AC32" s="123">
        <v>73477.570949257904</v>
      </c>
      <c r="AD32" s="123">
        <v>85404.218826466211</v>
      </c>
      <c r="AE32" s="123">
        <v>73477.570949257904</v>
      </c>
      <c r="AF32" s="123">
        <v>85404.218826466225</v>
      </c>
      <c r="AG32" s="115">
        <f t="shared" si="11"/>
        <v>99.999999999999972</v>
      </c>
      <c r="AH32" s="115">
        <f t="shared" si="12"/>
        <v>100</v>
      </c>
      <c r="AI32" s="123">
        <v>56521.208422506083</v>
      </c>
      <c r="AJ32" s="123">
        <v>71170.182355388533</v>
      </c>
      <c r="AK32" s="121">
        <f>AK31+(AK$30-AK$20)/10</f>
        <v>4.4245796931778623</v>
      </c>
      <c r="AL32" s="115">
        <f t="shared" si="13"/>
        <v>292596.63149350992</v>
      </c>
      <c r="AM32" s="115">
        <f t="shared" si="14"/>
        <v>340089.99509817077</v>
      </c>
      <c r="AN32" s="122"/>
      <c r="AO32" s="115">
        <f t="shared" si="6"/>
        <v>18574.741675978919</v>
      </c>
      <c r="AP32" s="115">
        <f t="shared" si="7"/>
        <v>73966.882343004763</v>
      </c>
      <c r="AQ32" s="115">
        <f t="shared" si="15"/>
        <v>283408.32924847578</v>
      </c>
      <c r="AR32" s="115">
        <f t="shared" si="16"/>
        <v>15478.951396649105</v>
      </c>
      <c r="AS32" s="96">
        <f t="shared" si="17"/>
        <v>61639.06861917067</v>
      </c>
    </row>
    <row r="33" spans="1:45" ht="16.2" thickBot="1">
      <c r="A33" s="131">
        <v>2013</v>
      </c>
      <c r="B33" s="132">
        <v>1426</v>
      </c>
      <c r="C33" s="132">
        <v>5400</v>
      </c>
      <c r="D33" s="125">
        <f t="shared" si="0"/>
        <v>1.5070615279271083E-2</v>
      </c>
      <c r="E33" s="133">
        <f t="shared" si="1"/>
        <v>30.496108088127734</v>
      </c>
      <c r="F33" s="125">
        <f t="shared" si="2"/>
        <v>9.1611383734533265E-3</v>
      </c>
      <c r="G33" s="125">
        <f t="shared" si="3"/>
        <v>4.2203876780267892E-3</v>
      </c>
      <c r="H33" s="115"/>
      <c r="I33" s="86"/>
      <c r="J33" s="86">
        <v>1</v>
      </c>
      <c r="K33" s="116">
        <v>73</v>
      </c>
      <c r="L33" s="117">
        <f>C33/B33</f>
        <v>3.7868162692847123</v>
      </c>
      <c r="M33" s="86">
        <v>10.6</v>
      </c>
      <c r="N33" s="117">
        <f>M33*O33</f>
        <v>24.38</v>
      </c>
      <c r="O33" s="117">
        <v>2.2999999999999998</v>
      </c>
      <c r="P33" s="115">
        <v>7130.0137419999992</v>
      </c>
      <c r="Q33" s="72">
        <f>Q32+(Q32-Q31)</f>
        <v>0.65582012613851515</v>
      </c>
      <c r="R33" s="115">
        <f t="shared" si="9"/>
        <v>4676.0065116477863</v>
      </c>
      <c r="S33" s="116">
        <f t="shared" si="4"/>
        <v>233.80032558238929</v>
      </c>
      <c r="T33" s="86">
        <v>5.2</v>
      </c>
      <c r="U33" s="117">
        <f>T33*V33</f>
        <v>14.040000000000001</v>
      </c>
      <c r="V33" s="86">
        <v>2.7</v>
      </c>
      <c r="X33" s="116">
        <f t="shared" si="10"/>
        <v>46.760065116477861</v>
      </c>
      <c r="Y33" s="117">
        <v>15.4</v>
      </c>
      <c r="Z33" s="117">
        <f>Y33*AA33</f>
        <v>32.340000000000003</v>
      </c>
      <c r="AA33" s="117">
        <v>2.1</v>
      </c>
      <c r="AB33" s="86"/>
      <c r="AC33" s="115">
        <f t="shared" ref="AC33:AJ33" si="22">AC32*(AC32/AC31)</f>
        <v>77054.634773260041</v>
      </c>
      <c r="AD33" s="115">
        <f t="shared" si="22"/>
        <v>89719.057539123969</v>
      </c>
      <c r="AE33" s="115">
        <f t="shared" si="22"/>
        <v>75841.175957933126</v>
      </c>
      <c r="AF33" s="115">
        <f t="shared" si="22"/>
        <v>88306.158995200749</v>
      </c>
      <c r="AG33" s="115">
        <f t="shared" si="11"/>
        <v>101.60000000000001</v>
      </c>
      <c r="AH33" s="115">
        <f t="shared" si="12"/>
        <v>101.59999999999998</v>
      </c>
      <c r="AI33" s="115">
        <f t="shared" si="22"/>
        <v>63382.416811888441</v>
      </c>
      <c r="AJ33" s="115">
        <f t="shared" si="22"/>
        <v>73588.465829333989</v>
      </c>
      <c r="AK33" s="121">
        <f>AK32+(AK$30-AK$20)/10</f>
        <v>4.4374713710638414</v>
      </c>
      <c r="AL33" s="115">
        <f t="shared" si="13"/>
        <v>307734.96223270963</v>
      </c>
      <c r="AM33" s="115">
        <f t="shared" si="14"/>
        <v>358313.17434182292</v>
      </c>
      <c r="AN33" s="122"/>
      <c r="AO33" s="115">
        <f t="shared" si="6"/>
        <v>19187.111334348359</v>
      </c>
      <c r="AP33" s="115">
        <f t="shared" si="7"/>
        <v>76628.031515626848</v>
      </c>
      <c r="AQ33" s="115">
        <f t="shared" si="15"/>
        <v>293892.03932236141</v>
      </c>
      <c r="AR33" s="115">
        <f t="shared" si="16"/>
        <v>15737.46008394715</v>
      </c>
      <c r="AS33" s="96">
        <f t="shared" si="17"/>
        <v>62851.075718197892</v>
      </c>
    </row>
    <row r="34" spans="1:45" ht="16.8" thickTop="1" thickBot="1">
      <c r="A34" s="130"/>
      <c r="B34" s="130"/>
      <c r="C34" s="130"/>
      <c r="D34" s="130"/>
      <c r="E34" s="130"/>
      <c r="F34" s="130"/>
      <c r="G34" s="130"/>
      <c r="H34" s="97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97"/>
    </row>
    <row r="35" spans="1:45" ht="16.2" thickTop="1">
      <c r="A35" s="20" t="s">
        <v>42</v>
      </c>
      <c r="B35" s="117">
        <f>B33/B7</f>
        <v>10.185714285714285</v>
      </c>
      <c r="C35" s="117">
        <f>C33/C7</f>
        <v>18.305084745762713</v>
      </c>
      <c r="D35" s="86"/>
      <c r="E35" s="117"/>
      <c r="F35" s="117">
        <f>F33/F7</f>
        <v>3.0010854944377816</v>
      </c>
      <c r="G35" s="117">
        <f>G33/G7</f>
        <v>3.2705830939250462</v>
      </c>
      <c r="H35" s="117"/>
      <c r="I35" s="122"/>
      <c r="J35" s="117"/>
      <c r="K35" s="117"/>
      <c r="L35" s="117">
        <f>L33/L7</f>
        <v>1.7971331447452872</v>
      </c>
      <c r="M35" s="117">
        <f>M33/M7</f>
        <v>8.1538461538461533</v>
      </c>
      <c r="N35" s="117">
        <f>N33/N7</f>
        <v>8.9304029304029289</v>
      </c>
      <c r="O35" s="117">
        <f>O33/O7</f>
        <v>1.0952380952380951</v>
      </c>
      <c r="P35" s="117">
        <f>P33/P7</f>
        <v>1.4148318024208062</v>
      </c>
      <c r="Q35" s="117"/>
      <c r="R35" s="117">
        <f>R33/R7</f>
        <v>1.640237124534643</v>
      </c>
      <c r="S35" s="117">
        <f>S33/S7</f>
        <v>1.6402371245346432</v>
      </c>
      <c r="T35" s="117">
        <f>T33/T7</f>
        <v>6.8621881639878888</v>
      </c>
      <c r="U35" s="117">
        <f>U33/U7</f>
        <v>8.8228133536987148</v>
      </c>
      <c r="V35" s="117"/>
      <c r="X35" s="117">
        <f>X33/X7</f>
        <v>1.6402371245346432</v>
      </c>
      <c r="Y35" s="117">
        <f>Y33/Y7</f>
        <v>7.7836542847747152</v>
      </c>
      <c r="Z35" s="117">
        <f>Z33/Z7</f>
        <v>9.6151023517805303</v>
      </c>
      <c r="AA35" s="117"/>
      <c r="AB35" s="117"/>
      <c r="AC35" s="117">
        <f t="shared" ref="AC35:AJ35" si="23">AC33/AC7</f>
        <v>4.2134029388291179</v>
      </c>
      <c r="AD35" s="117">
        <f t="shared" si="23"/>
        <v>4.0562886259495725</v>
      </c>
      <c r="AE35" s="117">
        <f t="shared" si="23"/>
        <v>2.4071917073217413</v>
      </c>
      <c r="AF35" s="117">
        <f t="shared" si="23"/>
        <v>2.3174295182892575</v>
      </c>
      <c r="AG35" s="117">
        <f>AG33/AG7</f>
        <v>1.7503395870023926</v>
      </c>
      <c r="AH35" s="117">
        <f>AH33/AH7</f>
        <v>1.7503395870023915</v>
      </c>
      <c r="AI35" s="117">
        <f t="shared" si="23"/>
        <v>3.9328354115811601</v>
      </c>
      <c r="AJ35" s="117">
        <f t="shared" si="23"/>
        <v>2.3174295182892592</v>
      </c>
      <c r="AK35" s="122"/>
      <c r="AL35" s="117">
        <f>AL33/AL7</f>
        <v>5.0088670636140229</v>
      </c>
      <c r="AM35" s="117">
        <f>AM33/AM7</f>
        <v>4.8220905510350009</v>
      </c>
      <c r="AN35" s="122"/>
      <c r="AO35" s="117">
        <f>AO33/AO7</f>
        <v>2.4729891582599044</v>
      </c>
      <c r="AP35" s="117">
        <f>AP33/AP7</f>
        <v>2.9398740455914822</v>
      </c>
      <c r="AQ35" s="117">
        <f>AQ33/AQ7</f>
        <v>2.7549457184438424</v>
      </c>
      <c r="AR35" s="117">
        <f>AR33/AR7</f>
        <v>1.4128624962971403</v>
      </c>
      <c r="AS35" s="98">
        <f>AS33/AS7</f>
        <v>1.6796020997424121</v>
      </c>
    </row>
    <row r="36" spans="1:45">
      <c r="A36" s="20"/>
      <c r="B36" s="120">
        <f>B35^(1/26)-1</f>
        <v>9.337440565244548E-2</v>
      </c>
      <c r="C36" s="120">
        <f>C35^(1/26)-1</f>
        <v>0.11830547645153966</v>
      </c>
      <c r="D36" s="86"/>
      <c r="E36" s="120"/>
      <c r="F36" s="120">
        <f>F35^(1/26)-1</f>
        <v>4.3174254854097205E-2</v>
      </c>
      <c r="G36" s="120">
        <f>G35^(1/26)-1</f>
        <v>4.6630234953334959E-2</v>
      </c>
      <c r="H36" s="120"/>
      <c r="I36" s="122"/>
      <c r="J36" s="120"/>
      <c r="K36" s="120"/>
      <c r="L36" s="120">
        <f>L35^(1/26)-1</f>
        <v>2.2801952076257903E-2</v>
      </c>
      <c r="M36" s="120">
        <f>M35^(1/26)-1</f>
        <v>8.4057714455028298E-2</v>
      </c>
      <c r="N36" s="120">
        <f>N35^(1/26)-1</f>
        <v>8.7857383243018727E-2</v>
      </c>
      <c r="O36" s="120">
        <f>O35^(1/26)-1</f>
        <v>3.5050428933116606E-3</v>
      </c>
      <c r="P36" s="120">
        <f>P35^(1/26)-1</f>
        <v>1.3436026656892919E-2</v>
      </c>
      <c r="Q36" s="120"/>
      <c r="R36" s="120">
        <f>R35^(1/26)-1</f>
        <v>1.9214608681880296E-2</v>
      </c>
      <c r="S36" s="120">
        <f>S35^(1/26)-1</f>
        <v>1.9214608681880296E-2</v>
      </c>
      <c r="T36" s="120">
        <f>T35^(1/26)-1</f>
        <v>7.6890731991970718E-2</v>
      </c>
      <c r="U36" s="120">
        <f>U35^(1/26)-1</f>
        <v>8.7350362348788124E-2</v>
      </c>
      <c r="V36" s="120"/>
      <c r="X36" s="120">
        <f>X35^(1/26)-1</f>
        <v>1.9214608681880296E-2</v>
      </c>
      <c r="Y36" s="120">
        <f>Y35^(1/26)-1</f>
        <v>8.2122158007566837E-2</v>
      </c>
      <c r="Z36" s="120">
        <f>Z35^(1/26)-1</f>
        <v>9.0952695511910431E-2</v>
      </c>
      <c r="AA36" s="120"/>
      <c r="AB36" s="120"/>
      <c r="AC36" s="120">
        <f t="shared" ref="AC36:AM36" si="24">AC35^(1/26)-1</f>
        <v>5.6876754526451023E-2</v>
      </c>
      <c r="AD36" s="120">
        <f t="shared" si="24"/>
        <v>5.5333127601908672E-2</v>
      </c>
      <c r="AE36" s="120">
        <f t="shared" si="24"/>
        <v>3.4364215989266089E-2</v>
      </c>
      <c r="AF36" s="120">
        <f t="shared" si="24"/>
        <v>3.2853469871758856E-2</v>
      </c>
      <c r="AG36" s="120">
        <f t="shared" si="24"/>
        <v>2.1764614619478317E-2</v>
      </c>
      <c r="AH36" s="120">
        <f t="shared" si="24"/>
        <v>2.1764614619478317E-2</v>
      </c>
      <c r="AI36" s="120">
        <f t="shared" si="24"/>
        <v>5.4079334379912414E-2</v>
      </c>
      <c r="AJ36" s="120">
        <f t="shared" si="24"/>
        <v>3.2853469871758856E-2</v>
      </c>
      <c r="AK36" s="122"/>
      <c r="AL36" s="120">
        <f t="shared" si="24"/>
        <v>6.3930007087288576E-2</v>
      </c>
      <c r="AM36" s="120">
        <f t="shared" si="24"/>
        <v>6.2376078497474508E-2</v>
      </c>
      <c r="AN36" s="122"/>
      <c r="AO36" s="120">
        <f>AO35^(1/26)-1</f>
        <v>3.5437599316535895E-2</v>
      </c>
      <c r="AP36" s="120">
        <f>AP35^(1/26)-1</f>
        <v>4.2347773911339148E-2</v>
      </c>
      <c r="AQ36" s="120">
        <f>AQ35^(1/26)-1</f>
        <v>3.9746398825056817E-2</v>
      </c>
      <c r="AR36" s="120">
        <f>AR35^(1/26)-1</f>
        <v>1.3381736362194863E-2</v>
      </c>
      <c r="AS36" s="99">
        <f>AS35^(1/26)-1</f>
        <v>2.0144717283565816E-2</v>
      </c>
    </row>
    <row r="37" spans="1:45">
      <c r="A37" s="20"/>
      <c r="B37" s="86"/>
      <c r="C37" s="86"/>
      <c r="D37" s="86"/>
      <c r="E37" s="86"/>
      <c r="F37" s="120"/>
      <c r="G37" s="120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0">
        <f>(1+U36)/(1+$AG36)-1</f>
        <v>6.4188705295627146E-2</v>
      </c>
      <c r="V37" s="122"/>
      <c r="X37" s="122"/>
      <c r="Y37" s="122"/>
      <c r="Z37" s="120">
        <f>(1+Z36)/(1+$AG36)-1</f>
        <v>6.7714305136901798E-2</v>
      </c>
      <c r="AA37" s="122"/>
      <c r="AB37" s="122"/>
      <c r="AC37" s="122"/>
      <c r="AD37" s="120">
        <f>(1+AD36)/(1+$AG36)-1</f>
        <v>3.2853469871758856E-2</v>
      </c>
      <c r="AE37" s="122"/>
      <c r="AF37" s="122"/>
      <c r="AG37" s="122"/>
      <c r="AH37" s="122"/>
      <c r="AI37" s="122"/>
      <c r="AJ37" s="122"/>
      <c r="AK37" s="122"/>
      <c r="AL37" s="120">
        <f>(1+AL36)/(1+$AG36)-1</f>
        <v>4.1267227171997378E-2</v>
      </c>
      <c r="AM37" s="120">
        <f>(1+AM36)/(1+$AG36)-1</f>
        <v>3.9746398825056817E-2</v>
      </c>
      <c r="AN37" s="122"/>
      <c r="AO37" s="120">
        <f>(1+AO36)/(1+$AG36)-1</f>
        <v>1.3381736362194863E-2</v>
      </c>
      <c r="AP37" s="120">
        <f>(1+AP36)/(1+$AG36)-1</f>
        <v>2.0144717283565594E-2</v>
      </c>
      <c r="AQ37" s="120">
        <f>(1+AQ36)/(1+$AG36)-1</f>
        <v>1.7598754104706682E-2</v>
      </c>
      <c r="AR37" s="120"/>
      <c r="AS37" s="99"/>
    </row>
    <row r="38" spans="1:45">
      <c r="A38" s="20" t="s">
        <v>43</v>
      </c>
      <c r="B38" s="117">
        <f>B30/B10</f>
        <v>3.8150943396226413</v>
      </c>
      <c r="C38" s="117">
        <f>C30/C10</f>
        <v>6.2571027709575588</v>
      </c>
      <c r="D38" s="86"/>
      <c r="E38" s="117"/>
      <c r="F38" s="117">
        <f>F30/F10</f>
        <v>1.4031470875495669</v>
      </c>
      <c r="G38" s="117">
        <f>G30/G10</f>
        <v>1.4895938138438307</v>
      </c>
      <c r="H38" s="117"/>
      <c r="I38" s="122"/>
      <c r="J38" s="122"/>
      <c r="K38" s="122"/>
      <c r="L38" s="117">
        <f>L30/L10</f>
        <v>1.6400912209798957</v>
      </c>
      <c r="M38" s="117">
        <f>M30/M10</f>
        <v>3.7894736842105265</v>
      </c>
      <c r="N38" s="117">
        <f>N30/N10</f>
        <v>4.0912698412698409</v>
      </c>
      <c r="O38" s="117">
        <f>O30/O10</f>
        <v>1.079640652557319</v>
      </c>
      <c r="P38" s="117">
        <f>P30/P10</f>
        <v>1.2995357171488335</v>
      </c>
      <c r="Q38" s="122"/>
      <c r="R38" s="117">
        <f>R30/R10</f>
        <v>1.4567995768206765</v>
      </c>
      <c r="S38" s="117">
        <f>S30/S10</f>
        <v>1.4567995768206765</v>
      </c>
      <c r="T38" s="117">
        <f>T30/T10</f>
        <v>2.6666666666666665</v>
      </c>
      <c r="U38" s="117">
        <f>U30/U10</f>
        <v>3.2309237762735026</v>
      </c>
      <c r="V38" s="122"/>
      <c r="X38" s="117">
        <f>X30/X10</f>
        <v>1.4567995768206763</v>
      </c>
      <c r="Y38" s="117">
        <f>Y30/Y10</f>
        <v>3.3888888888888884</v>
      </c>
      <c r="Z38" s="117">
        <f>Z30/Z10</f>
        <v>3.4299783057975</v>
      </c>
      <c r="AA38" s="122"/>
      <c r="AB38" s="122"/>
      <c r="AC38" s="117">
        <f t="shared" ref="AC38:AJ38" si="25">AC30/AC10</f>
        <v>2.876742127603745</v>
      </c>
      <c r="AD38" s="117">
        <f t="shared" si="25"/>
        <v>3.0001507051226284</v>
      </c>
      <c r="AE38" s="117">
        <f t="shared" si="25"/>
        <v>1.871994307423563</v>
      </c>
      <c r="AF38" s="117">
        <f t="shared" si="25"/>
        <v>1.9523004816843128</v>
      </c>
      <c r="AG38" s="117">
        <f>AG30/AG10</f>
        <v>1.5367258950498752</v>
      </c>
      <c r="AH38" s="117">
        <f>AH30/AH10</f>
        <v>1.5367258950498748</v>
      </c>
      <c r="AI38" s="117">
        <f t="shared" si="25"/>
        <v>2.6229147756168283</v>
      </c>
      <c r="AJ38" s="117">
        <f t="shared" si="25"/>
        <v>1.9523004816843132</v>
      </c>
      <c r="AK38" s="122"/>
      <c r="AL38" s="117">
        <f>AL30/AL10</f>
        <v>3.2164824201743829</v>
      </c>
      <c r="AM38" s="117">
        <f>AM30/AM10</f>
        <v>3.3544654240312002</v>
      </c>
      <c r="AN38" s="122"/>
      <c r="AO38" s="117">
        <f>AO30/AO10</f>
        <v>2.0594121201422682</v>
      </c>
      <c r="AP38" s="117">
        <f>AP30/AP10</f>
        <v>2.3026265777424202</v>
      </c>
      <c r="AQ38" s="117">
        <f>AQ30/AQ10</f>
        <v>2.1828651647223851</v>
      </c>
      <c r="AR38" s="117">
        <f>AR30/AR10</f>
        <v>1.340129769906317</v>
      </c>
      <c r="AS38" s="98">
        <f>AS30/AS10</f>
        <v>1.4983977202178189</v>
      </c>
    </row>
    <row r="39" spans="1:45">
      <c r="A39" s="20"/>
      <c r="B39" s="120">
        <f>B38^(1/20)-1</f>
        <v>6.9240164577800023E-2</v>
      </c>
      <c r="C39" s="120">
        <f>C38^(1/20)-1</f>
        <v>9.602046751556248E-2</v>
      </c>
      <c r="D39" s="86"/>
      <c r="E39" s="120"/>
      <c r="F39" s="120">
        <f>F38^(1/20)-1</f>
        <v>1.7080106762078051E-2</v>
      </c>
      <c r="G39" s="120">
        <f>G38^(1/20)-1</f>
        <v>2.0125005023560183E-2</v>
      </c>
      <c r="H39" s="120"/>
      <c r="I39" s="122"/>
      <c r="J39" s="122"/>
      <c r="K39" s="122"/>
      <c r="L39" s="120">
        <f>L38^(1/20)-1</f>
        <v>2.5046106102245114E-2</v>
      </c>
      <c r="M39" s="120">
        <f>M38^(1/20)-1</f>
        <v>6.8879984708580588E-2</v>
      </c>
      <c r="N39" s="120">
        <f>N38^(1/20)-1</f>
        <v>7.2983160659752855E-2</v>
      </c>
      <c r="O39" s="120">
        <f>O38^(1/20)-1</f>
        <v>3.8387620779436471E-3</v>
      </c>
      <c r="P39" s="120">
        <f>P38^(1/20)-1</f>
        <v>1.3186538568080053E-2</v>
      </c>
      <c r="Q39" s="122"/>
      <c r="R39" s="120">
        <f>R38^(1/20)-1</f>
        <v>1.8990160284631408E-2</v>
      </c>
      <c r="S39" s="120">
        <f>S38^(1/20)-1</f>
        <v>1.8990160284631408E-2</v>
      </c>
      <c r="T39" s="120">
        <f>T38^(1/20)-1</f>
        <v>5.0263896562225963E-2</v>
      </c>
      <c r="U39" s="120">
        <f>U38^(1/20)-1</f>
        <v>6.0391738802335171E-2</v>
      </c>
      <c r="V39" s="122"/>
      <c r="X39" s="120">
        <f>X38^(1/20)-1</f>
        <v>1.8990160284631408E-2</v>
      </c>
      <c r="Y39" s="120">
        <f>Y38^(1/20)-1</f>
        <v>6.292559893299754E-2</v>
      </c>
      <c r="Z39" s="120">
        <f>Z38^(1/20)-1</f>
        <v>6.3566301887880483E-2</v>
      </c>
      <c r="AA39" s="122"/>
      <c r="AB39" s="122"/>
      <c r="AC39" s="120">
        <f t="shared" ref="AC39:AM39" si="26">AC38^(1/20)-1</f>
        <v>5.4253488269584871E-2</v>
      </c>
      <c r="AD39" s="120">
        <f t="shared" si="26"/>
        <v>5.6469962070142543E-2</v>
      </c>
      <c r="AE39" s="120">
        <f t="shared" si="26"/>
        <v>3.1846810762156341E-2</v>
      </c>
      <c r="AF39" s="120">
        <f t="shared" si="26"/>
        <v>3.4016176524461983E-2</v>
      </c>
      <c r="AG39" s="120">
        <f t="shared" si="26"/>
        <v>2.1715120184243375E-2</v>
      </c>
      <c r="AH39" s="120">
        <f t="shared" si="26"/>
        <v>2.1715120184243375E-2</v>
      </c>
      <c r="AI39" s="120">
        <f t="shared" si="26"/>
        <v>4.939552766404498E-2</v>
      </c>
      <c r="AJ39" s="120">
        <f t="shared" si="26"/>
        <v>3.4016176524461983E-2</v>
      </c>
      <c r="AK39" s="122"/>
      <c r="AL39" s="120">
        <f t="shared" si="26"/>
        <v>6.0154250966802048E-2</v>
      </c>
      <c r="AM39" s="120">
        <f t="shared" si="26"/>
        <v>6.2383130593915981E-2</v>
      </c>
      <c r="AN39" s="122"/>
      <c r="AO39" s="120">
        <f>AO38^(1/20)-1</f>
        <v>3.6781318648888561E-2</v>
      </c>
      <c r="AP39" s="120">
        <f>AP38^(1/20)-1</f>
        <v>4.2584287857267977E-2</v>
      </c>
      <c r="AQ39" s="120">
        <f>AQ38^(1/20)-1</f>
        <v>3.9803668954550675E-2</v>
      </c>
      <c r="AR39" s="120">
        <f>AR38^(1/20)-1</f>
        <v>1.4745987572277741E-2</v>
      </c>
      <c r="AS39" s="99">
        <f>AS38^(1/20)-1</f>
        <v>2.042562281867899E-2</v>
      </c>
    </row>
    <row r="40" spans="1:45" ht="16.2" thickBot="1">
      <c r="A40" s="100"/>
      <c r="B40" s="124"/>
      <c r="C40" s="124"/>
      <c r="D40" s="124"/>
      <c r="E40" s="124"/>
      <c r="F40" s="125"/>
      <c r="G40" s="124"/>
      <c r="H40" s="122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5">
        <f>(1+U39)/(1+$AG39)-1</f>
        <v>3.7854601399181842E-2</v>
      </c>
      <c r="V40" s="124"/>
      <c r="X40" s="124"/>
      <c r="Y40" s="124"/>
      <c r="Z40" s="125">
        <f>(1+Z39)/(1+$AG39)-1</f>
        <v>4.0961693604074423E-2</v>
      </c>
      <c r="AA40" s="124"/>
      <c r="AB40" s="124"/>
      <c r="AC40" s="124"/>
      <c r="AD40" s="125">
        <f>(1+AD39)/(1+$AG39)-1</f>
        <v>3.4016176524461983E-2</v>
      </c>
      <c r="AE40" s="124"/>
      <c r="AF40" s="124"/>
      <c r="AG40" s="124"/>
      <c r="AH40" s="124"/>
      <c r="AI40" s="124"/>
      <c r="AJ40" s="124"/>
      <c r="AK40" s="124"/>
      <c r="AL40" s="125">
        <f>(1+AL39)/(1+$AG39)-1</f>
        <v>3.7622161034111867E-2</v>
      </c>
      <c r="AM40" s="125">
        <f>(1+AM39)/(1+$AG39)-1</f>
        <v>3.9803668954550675E-2</v>
      </c>
      <c r="AN40" s="124"/>
      <c r="AO40" s="125">
        <f>(1+AO39)/(1+$AG39)-1</f>
        <v>1.4745987572277741E-2</v>
      </c>
      <c r="AP40" s="125">
        <f>(1+AP39)/(1+$AG39)-1</f>
        <v>2.042562281867899E-2</v>
      </c>
      <c r="AQ40" s="125">
        <f>(1+AQ39)/(1+$AG39)-1</f>
        <v>1.7704102066185889E-2</v>
      </c>
      <c r="AR40" s="125"/>
      <c r="AS40" s="101"/>
    </row>
    <row r="41" spans="1:45" ht="16.2" thickTop="1">
      <c r="H41" s="127"/>
      <c r="L41">
        <v>2050</v>
      </c>
    </row>
    <row r="42" spans="1:45">
      <c r="H42" s="127"/>
      <c r="L42">
        <v>2100</v>
      </c>
    </row>
    <row r="43" spans="1:45">
      <c r="D43" s="58">
        <f>D$33*(1+F$36)^37</f>
        <v>7.2000384278187307E-2</v>
      </c>
      <c r="H43" s="127"/>
    </row>
    <row r="44" spans="1:45">
      <c r="D44" s="58">
        <f>D$33*(1+F$36)^87</f>
        <v>0.59590609734190647</v>
      </c>
      <c r="H44" s="127"/>
    </row>
    <row r="45" spans="1:45">
      <c r="H45" s="127"/>
    </row>
    <row r="46" spans="1:45">
      <c r="H46" s="127"/>
    </row>
    <row r="47" spans="1:45">
      <c r="H47" s="127"/>
    </row>
    <row r="48" spans="1:45">
      <c r="H48" s="127"/>
    </row>
    <row r="49" spans="8:8">
      <c r="H49" s="127"/>
    </row>
    <row r="50" spans="8:8">
      <c r="H50" s="127"/>
    </row>
    <row r="51" spans="8:8">
      <c r="H51" s="127"/>
    </row>
    <row r="52" spans="8:8">
      <c r="H52" s="127"/>
    </row>
    <row r="53" spans="8:8">
      <c r="H53" s="127"/>
    </row>
    <row r="54" spans="8:8">
      <c r="H54" s="127"/>
    </row>
    <row r="55" spans="8:8">
      <c r="H55" s="127"/>
    </row>
    <row r="56" spans="8:8">
      <c r="H56" s="127"/>
    </row>
    <row r="57" spans="8:8">
      <c r="H57" s="127"/>
    </row>
    <row r="58" spans="8:8">
      <c r="H58" s="127"/>
    </row>
    <row r="59" spans="8:8">
      <c r="H59" s="127"/>
    </row>
    <row r="60" spans="8:8">
      <c r="H60" s="127"/>
    </row>
    <row r="61" spans="8:8">
      <c r="H61" s="127"/>
    </row>
    <row r="62" spans="8:8">
      <c r="H62" s="127"/>
    </row>
    <row r="63" spans="8:8">
      <c r="H63" s="127"/>
    </row>
    <row r="64" spans="8:8">
      <c r="H64" s="127"/>
    </row>
    <row r="65" spans="8:8">
      <c r="H65" s="127"/>
    </row>
    <row r="66" spans="8:8">
      <c r="H66" s="127"/>
    </row>
    <row r="67" spans="8:8">
      <c r="H67" s="127"/>
    </row>
    <row r="68" spans="8:8">
      <c r="H68" s="127"/>
    </row>
    <row r="69" spans="8:8">
      <c r="H69" s="127"/>
    </row>
    <row r="70" spans="8:8">
      <c r="H70" s="127"/>
    </row>
    <row r="71" spans="8:8">
      <c r="H71" s="127"/>
    </row>
    <row r="72" spans="8:8">
      <c r="H72" s="127"/>
    </row>
    <row r="73" spans="8:8">
      <c r="H73" s="127"/>
    </row>
    <row r="74" spans="8:8">
      <c r="H74" s="127"/>
    </row>
    <row r="75" spans="8:8">
      <c r="H75" s="127"/>
    </row>
    <row r="76" spans="8:8">
      <c r="H76" s="127"/>
    </row>
    <row r="77" spans="8:8">
      <c r="H77" s="127"/>
    </row>
    <row r="78" spans="8:8">
      <c r="H78" s="127"/>
    </row>
    <row r="79" spans="8:8">
      <c r="H79" s="127"/>
    </row>
    <row r="80" spans="8:8">
      <c r="H80" s="127"/>
    </row>
    <row r="81" spans="8:8">
      <c r="H81" s="127"/>
    </row>
    <row r="82" spans="8:8">
      <c r="H82" s="127"/>
    </row>
    <row r="83" spans="8:8">
      <c r="H83" s="127"/>
    </row>
    <row r="84" spans="8:8">
      <c r="H84" s="127"/>
    </row>
    <row r="85" spans="8:8">
      <c r="H85" s="127"/>
    </row>
    <row r="86" spans="8:8">
      <c r="H86" s="127"/>
    </row>
    <row r="87" spans="8:8">
      <c r="H87" s="127"/>
    </row>
    <row r="88" spans="8:8">
      <c r="H88" s="127"/>
    </row>
    <row r="89" spans="8:8">
      <c r="H89" s="127"/>
    </row>
    <row r="90" spans="8:8">
      <c r="H90" s="127"/>
    </row>
    <row r="91" spans="8:8">
      <c r="H91" s="127"/>
    </row>
    <row r="92" spans="8:8">
      <c r="H92" s="127"/>
    </row>
    <row r="93" spans="8:8">
      <c r="H93" s="127"/>
    </row>
    <row r="94" spans="8:8">
      <c r="H94" s="127"/>
    </row>
    <row r="95" spans="8:8">
      <c r="H95" s="127"/>
    </row>
    <row r="96" spans="8:8">
      <c r="H96" s="127"/>
    </row>
    <row r="97" spans="8:8">
      <c r="H97" s="127"/>
    </row>
  </sheetData>
  <mergeCells count="1">
    <mergeCell ref="A2:G4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8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X126"/>
  <sheetViews>
    <sheetView workbookViewId="0">
      <pane xSplit="1" ySplit="7" topLeftCell="B8" activePane="bottomRight" state="frozen"/>
      <selection pane="topRight" activeCell="B1" sqref="B1"/>
      <selection pane="bottomLeft" activeCell="A5" sqref="A5"/>
      <selection pane="bottomRight" activeCell="A76" sqref="A76:F104"/>
    </sheetView>
  </sheetViews>
  <sheetFormatPr baseColWidth="10" defaultColWidth="13.19921875" defaultRowHeight="15" customHeight="1"/>
  <cols>
    <col min="1" max="16384" width="13.19921875" style="14"/>
  </cols>
  <sheetData>
    <row r="2" spans="1:22" ht="15" customHeight="1" thickBot="1"/>
    <row r="3" spans="1:22" ht="15" customHeight="1" thickTop="1">
      <c r="A3" s="153" t="s">
        <v>135</v>
      </c>
      <c r="B3" s="154"/>
      <c r="C3" s="154"/>
      <c r="D3" s="154"/>
      <c r="E3" s="154"/>
      <c r="F3" s="155"/>
    </row>
    <row r="4" spans="1:22" ht="15" customHeight="1">
      <c r="A4" s="156"/>
      <c r="B4" s="157"/>
      <c r="C4" s="157"/>
      <c r="D4" s="157"/>
      <c r="E4" s="157"/>
      <c r="F4" s="158"/>
    </row>
    <row r="5" spans="1:22" ht="15" customHeight="1" thickBot="1">
      <c r="A5" s="159"/>
      <c r="B5" s="160"/>
      <c r="C5" s="160"/>
      <c r="D5" s="160"/>
      <c r="E5" s="160"/>
      <c r="F5" s="161"/>
      <c r="I5" s="27"/>
    </row>
    <row r="6" spans="1:22" ht="15" customHeight="1" thickTop="1" thickBot="1">
      <c r="I6" s="27"/>
    </row>
    <row r="7" spans="1:22" ht="52.05" customHeight="1" thickTop="1" thickBot="1">
      <c r="A7" s="74" t="s">
        <v>136</v>
      </c>
      <c r="B7" s="82" t="s">
        <v>108</v>
      </c>
      <c r="C7" s="81" t="s">
        <v>0</v>
      </c>
      <c r="D7" s="75" t="s">
        <v>109</v>
      </c>
      <c r="E7" s="75" t="s">
        <v>110</v>
      </c>
      <c r="F7" s="76" t="s">
        <v>111</v>
      </c>
      <c r="G7" s="28"/>
      <c r="H7" s="11" t="s">
        <v>2</v>
      </c>
      <c r="I7" s="11" t="s">
        <v>112</v>
      </c>
      <c r="J7" s="9" t="s">
        <v>113</v>
      </c>
      <c r="K7" s="10" t="s">
        <v>114</v>
      </c>
      <c r="L7" s="12" t="s">
        <v>115</v>
      </c>
      <c r="M7" s="10" t="s">
        <v>116</v>
      </c>
      <c r="N7" s="11" t="s">
        <v>117</v>
      </c>
      <c r="O7" s="10" t="s">
        <v>118</v>
      </c>
      <c r="P7" s="12" t="s">
        <v>119</v>
      </c>
      <c r="Q7" s="13" t="s">
        <v>120</v>
      </c>
      <c r="R7" s="13" t="s">
        <v>105</v>
      </c>
      <c r="S7" s="13" t="s">
        <v>121</v>
      </c>
      <c r="T7" s="13" t="s">
        <v>122</v>
      </c>
      <c r="U7" s="13" t="s">
        <v>123</v>
      </c>
      <c r="V7" s="10" t="s">
        <v>124</v>
      </c>
    </row>
    <row r="8" spans="1:22" ht="15" customHeight="1" thickTop="1">
      <c r="A8" s="77">
        <v>1870</v>
      </c>
      <c r="B8" s="71">
        <f t="shared" ref="B8:B31" si="0">SUMPRODUCT(C8:F8,C38:F38)</f>
        <v>4.4695293333891382</v>
      </c>
      <c r="C8" s="71">
        <f t="shared" ref="C8:C31" si="1">SUMPRODUCT(I8:K8,I38:K38)/C38</f>
        <v>5.8441425486252356</v>
      </c>
      <c r="D8" s="71">
        <f t="shared" ref="D8:D31" si="2">SUMPRODUCT(L8:M8,L38:M38)/D38</f>
        <v>4.1612438377227692</v>
      </c>
      <c r="E8" s="71">
        <f t="shared" ref="E8:E31" si="3">SUMPRODUCT(N8:O8,N38:O38)/E38</f>
        <v>2.2191579681517766</v>
      </c>
      <c r="F8" s="71">
        <f t="shared" ref="F8:F31" si="4">SUMPRODUCT(P8:V8,P38:V38)/F38</f>
        <v>3.1815724157044145</v>
      </c>
      <c r="G8" s="29"/>
      <c r="H8" s="83">
        <f t="shared" ref="H8:H31" si="5">SUMPRODUCT(I38:V38,I8:V8)</f>
        <v>4.4695293333891382</v>
      </c>
      <c r="I8" s="83">
        <v>6.7977348427767881</v>
      </c>
      <c r="J8" s="84">
        <v>3</v>
      </c>
      <c r="K8" s="85">
        <v>3</v>
      </c>
      <c r="L8" s="84">
        <v>4.4585177326228838</v>
      </c>
      <c r="M8" s="84">
        <v>3</v>
      </c>
      <c r="N8" s="83">
        <v>3</v>
      </c>
      <c r="O8" s="85">
        <v>2</v>
      </c>
      <c r="P8" s="83">
        <v>3</v>
      </c>
      <c r="Q8" s="84">
        <v>3</v>
      </c>
      <c r="R8" s="84">
        <v>6</v>
      </c>
      <c r="S8" s="84">
        <v>3</v>
      </c>
      <c r="T8" s="84">
        <v>3</v>
      </c>
      <c r="U8" s="84">
        <v>3</v>
      </c>
      <c r="V8" s="85">
        <v>3</v>
      </c>
    </row>
    <row r="9" spans="1:22" ht="15" customHeight="1">
      <c r="A9" s="78">
        <v>1880</v>
      </c>
      <c r="B9" s="72">
        <f t="shared" si="0"/>
        <v>4.6449412278256448</v>
      </c>
      <c r="C9" s="72">
        <f t="shared" si="1"/>
        <v>5.8078021132371367</v>
      </c>
      <c r="D9" s="72">
        <f t="shared" si="2"/>
        <v>4.1607702691375836</v>
      </c>
      <c r="E9" s="72">
        <f t="shared" si="3"/>
        <v>2.6829625511534343</v>
      </c>
      <c r="F9" s="72">
        <f t="shared" si="4"/>
        <v>3.4634369223278689</v>
      </c>
      <c r="G9" s="29"/>
      <c r="H9" s="21">
        <f t="shared" si="5"/>
        <v>4.6449412278256448</v>
      </c>
      <c r="I9" s="21">
        <v>6.7131410202501689</v>
      </c>
      <c r="J9" s="22">
        <v>3.25</v>
      </c>
      <c r="K9" s="23">
        <v>3.25</v>
      </c>
      <c r="L9" s="22">
        <v>4.3683453281278561</v>
      </c>
      <c r="M9" s="22">
        <v>3.25</v>
      </c>
      <c r="N9" s="21">
        <v>3.25</v>
      </c>
      <c r="O9" s="23">
        <v>2.5</v>
      </c>
      <c r="P9" s="21">
        <v>3.25</v>
      </c>
      <c r="Q9" s="22">
        <v>3.25</v>
      </c>
      <c r="R9" s="22">
        <v>6</v>
      </c>
      <c r="S9" s="22">
        <v>3.25</v>
      </c>
      <c r="T9" s="22">
        <v>3.25</v>
      </c>
      <c r="U9" s="22">
        <v>3.25</v>
      </c>
      <c r="V9" s="23">
        <v>3.25</v>
      </c>
    </row>
    <row r="10" spans="1:22" ht="15" customHeight="1">
      <c r="A10" s="78">
        <v>1890</v>
      </c>
      <c r="B10" s="72">
        <f t="shared" si="0"/>
        <v>4.7346276188001859</v>
      </c>
      <c r="C10" s="72">
        <f t="shared" si="1"/>
        <v>5.661426476049316</v>
      </c>
      <c r="D10" s="72">
        <f t="shared" si="2"/>
        <v>4.5390100445614658</v>
      </c>
      <c r="E10" s="72">
        <f t="shared" si="3"/>
        <v>3.1219750341022903</v>
      </c>
      <c r="F10" s="72">
        <f t="shared" si="4"/>
        <v>3.6940335657526093</v>
      </c>
      <c r="G10" s="29"/>
      <c r="H10" s="21">
        <f t="shared" si="5"/>
        <v>4.734627618800185</v>
      </c>
      <c r="I10" s="21">
        <v>6.4264674748383008</v>
      </c>
      <c r="J10" s="22">
        <v>3.5</v>
      </c>
      <c r="K10" s="23">
        <v>3.5</v>
      </c>
      <c r="L10" s="22">
        <v>4.7758124288724453</v>
      </c>
      <c r="M10" s="22">
        <v>3.5</v>
      </c>
      <c r="N10" s="21">
        <v>3.5</v>
      </c>
      <c r="O10" s="23">
        <v>3</v>
      </c>
      <c r="P10" s="21">
        <v>3.5</v>
      </c>
      <c r="Q10" s="22">
        <v>3.5</v>
      </c>
      <c r="R10" s="22">
        <v>6</v>
      </c>
      <c r="S10" s="22">
        <v>3.5</v>
      </c>
      <c r="T10" s="22">
        <v>3.5</v>
      </c>
      <c r="U10" s="22">
        <v>3.5</v>
      </c>
      <c r="V10" s="23">
        <v>3.5</v>
      </c>
    </row>
    <row r="11" spans="1:22" ht="15" customHeight="1">
      <c r="A11" s="78">
        <v>1900</v>
      </c>
      <c r="B11" s="72">
        <f t="shared" si="0"/>
        <v>4.8877881889200472</v>
      </c>
      <c r="C11" s="72">
        <f t="shared" si="1"/>
        <v>5.8730383504263211</v>
      </c>
      <c r="D11" s="72">
        <f t="shared" si="2"/>
        <v>4.3419424132873496</v>
      </c>
      <c r="E11" s="72">
        <f t="shared" si="3"/>
        <v>3.5609875170511449</v>
      </c>
      <c r="F11" s="72">
        <f t="shared" si="4"/>
        <v>3.924630209177348</v>
      </c>
      <c r="G11" s="29"/>
      <c r="H11" s="21">
        <f t="shared" si="5"/>
        <v>4.8877881889200481</v>
      </c>
      <c r="I11" s="21">
        <v>6.6244917993755665</v>
      </c>
      <c r="J11" s="22">
        <v>3.75</v>
      </c>
      <c r="K11" s="23">
        <v>3.75</v>
      </c>
      <c r="L11" s="22">
        <v>4.4768529231278995</v>
      </c>
      <c r="M11" s="22">
        <v>3.75</v>
      </c>
      <c r="N11" s="21">
        <v>3.75</v>
      </c>
      <c r="O11" s="23">
        <v>3.5</v>
      </c>
      <c r="P11" s="21">
        <v>3.75</v>
      </c>
      <c r="Q11" s="22">
        <v>3.75</v>
      </c>
      <c r="R11" s="22">
        <v>6</v>
      </c>
      <c r="S11" s="22">
        <v>3.75</v>
      </c>
      <c r="T11" s="22">
        <v>3.75</v>
      </c>
      <c r="U11" s="22">
        <v>3.75</v>
      </c>
      <c r="V11" s="23">
        <v>3.75</v>
      </c>
    </row>
    <row r="12" spans="1:22" ht="15" customHeight="1">
      <c r="A12" s="79">
        <v>1910</v>
      </c>
      <c r="B12" s="72">
        <f t="shared" si="0"/>
        <v>5.0191970518583506</v>
      </c>
      <c r="C12" s="72">
        <f t="shared" si="1"/>
        <v>5.8875168921680414</v>
      </c>
      <c r="D12" s="72">
        <f t="shared" si="2"/>
        <v>4.3292082734715418</v>
      </c>
      <c r="E12" s="72">
        <f t="shared" si="3"/>
        <v>4.0000000000000009</v>
      </c>
      <c r="F12" s="72">
        <f t="shared" si="4"/>
        <v>4.2058802582722485</v>
      </c>
      <c r="G12" s="29"/>
      <c r="H12" s="21">
        <f t="shared" si="5"/>
        <v>5.0191970518583506</v>
      </c>
      <c r="I12" s="21">
        <v>6.5907795258862203</v>
      </c>
      <c r="J12" s="22">
        <v>4</v>
      </c>
      <c r="K12" s="23">
        <v>4</v>
      </c>
      <c r="L12" s="22">
        <v>4.3999257776882539</v>
      </c>
      <c r="M12" s="22">
        <v>4</v>
      </c>
      <c r="N12" s="21">
        <v>4</v>
      </c>
      <c r="O12" s="23">
        <v>4</v>
      </c>
      <c r="P12" s="21">
        <v>4</v>
      </c>
      <c r="Q12" s="22">
        <v>4</v>
      </c>
      <c r="R12" s="22">
        <v>6</v>
      </c>
      <c r="S12" s="22">
        <v>4</v>
      </c>
      <c r="T12" s="22">
        <v>4</v>
      </c>
      <c r="U12" s="22">
        <v>4</v>
      </c>
      <c r="V12" s="23">
        <v>4</v>
      </c>
    </row>
    <row r="13" spans="1:22" ht="15" customHeight="1">
      <c r="A13" s="79">
        <v>1920</v>
      </c>
      <c r="B13" s="72">
        <f t="shared" si="0"/>
        <v>3.5763476995524139</v>
      </c>
      <c r="C13" s="72">
        <f t="shared" si="1"/>
        <v>2.845217340528448</v>
      </c>
      <c r="D13" s="72">
        <f t="shared" si="2"/>
        <v>4.0559017873360652</v>
      </c>
      <c r="E13" s="72">
        <f t="shared" si="3"/>
        <v>4.0000000000000009</v>
      </c>
      <c r="F13" s="72">
        <f t="shared" si="4"/>
        <v>4.2487336303586423</v>
      </c>
      <c r="G13" s="29"/>
      <c r="H13" s="21">
        <f t="shared" si="5"/>
        <v>3.5763476995524144</v>
      </c>
      <c r="I13" s="21">
        <v>3.4349955547153139</v>
      </c>
      <c r="J13" s="22">
        <v>2</v>
      </c>
      <c r="K13" s="23">
        <v>1</v>
      </c>
      <c r="L13" s="22">
        <v>4.0694668777118208</v>
      </c>
      <c r="M13" s="22">
        <v>4</v>
      </c>
      <c r="N13" s="21">
        <v>4</v>
      </c>
      <c r="O13" s="23">
        <v>4</v>
      </c>
      <c r="P13" s="21">
        <v>4</v>
      </c>
      <c r="Q13" s="22">
        <v>4</v>
      </c>
      <c r="R13" s="22">
        <v>6</v>
      </c>
      <c r="S13" s="22">
        <v>4</v>
      </c>
      <c r="T13" s="22">
        <v>4</v>
      </c>
      <c r="U13" s="22">
        <v>4</v>
      </c>
      <c r="V13" s="23">
        <v>4</v>
      </c>
    </row>
    <row r="14" spans="1:22" ht="15" customHeight="1">
      <c r="A14" s="79">
        <v>1930</v>
      </c>
      <c r="B14" s="72">
        <f t="shared" si="0"/>
        <v>3.6115868198132768</v>
      </c>
      <c r="C14" s="72">
        <f t="shared" si="1"/>
        <v>3.1496686403961047</v>
      </c>
      <c r="D14" s="72">
        <f t="shared" si="2"/>
        <v>4.4912949013815728</v>
      </c>
      <c r="E14" s="72">
        <f t="shared" si="3"/>
        <v>3.0000000000000009</v>
      </c>
      <c r="F14" s="72">
        <f t="shared" si="4"/>
        <v>3.4205837050818531</v>
      </c>
      <c r="G14" s="29"/>
      <c r="H14" s="21">
        <f t="shared" si="5"/>
        <v>3.6115868198132759</v>
      </c>
      <c r="I14" s="21">
        <v>3.8622636738411331</v>
      </c>
      <c r="J14" s="22">
        <v>2</v>
      </c>
      <c r="K14" s="23">
        <v>1</v>
      </c>
      <c r="L14" s="22">
        <v>4.8531715260506605</v>
      </c>
      <c r="M14" s="22">
        <v>3</v>
      </c>
      <c r="N14" s="21">
        <v>3</v>
      </c>
      <c r="O14" s="23">
        <v>3</v>
      </c>
      <c r="P14" s="21">
        <v>3</v>
      </c>
      <c r="Q14" s="22">
        <v>3</v>
      </c>
      <c r="R14" s="22">
        <v>6</v>
      </c>
      <c r="S14" s="22">
        <v>4</v>
      </c>
      <c r="T14" s="22">
        <v>3</v>
      </c>
      <c r="U14" s="22">
        <v>3</v>
      </c>
      <c r="V14" s="23">
        <v>3</v>
      </c>
    </row>
    <row r="15" spans="1:22" ht="15" customHeight="1">
      <c r="A15" s="79">
        <v>1940</v>
      </c>
      <c r="B15" s="72">
        <f t="shared" si="0"/>
        <v>3.0097212643966422</v>
      </c>
      <c r="C15" s="72">
        <f t="shared" si="1"/>
        <v>2.7316745064236083</v>
      </c>
      <c r="D15" s="72">
        <f t="shared" si="2"/>
        <v>3.2243100451480955</v>
      </c>
      <c r="E15" s="72">
        <f t="shared" si="3"/>
        <v>3.0000000000000009</v>
      </c>
      <c r="F15" s="72">
        <f t="shared" si="4"/>
        <v>3.2487336303586423</v>
      </c>
      <c r="G15" s="29"/>
      <c r="H15" s="21">
        <f t="shared" si="5"/>
        <v>3.0097212643966413</v>
      </c>
      <c r="I15" s="21">
        <v>3.2756491068949951</v>
      </c>
      <c r="J15" s="22">
        <v>2</v>
      </c>
      <c r="K15" s="23">
        <v>1</v>
      </c>
      <c r="L15" s="22">
        <v>3.278740970877382</v>
      </c>
      <c r="M15" s="22">
        <v>3</v>
      </c>
      <c r="N15" s="21">
        <v>3</v>
      </c>
      <c r="O15" s="23">
        <v>3</v>
      </c>
      <c r="P15" s="21">
        <v>3</v>
      </c>
      <c r="Q15" s="22">
        <v>3</v>
      </c>
      <c r="R15" s="22">
        <v>5</v>
      </c>
      <c r="S15" s="22">
        <v>3</v>
      </c>
      <c r="T15" s="22">
        <v>3</v>
      </c>
      <c r="U15" s="22">
        <v>3</v>
      </c>
      <c r="V15" s="23">
        <v>3</v>
      </c>
    </row>
    <row r="16" spans="1:22" ht="15" customHeight="1">
      <c r="A16" s="79">
        <v>1950</v>
      </c>
      <c r="B16" s="72">
        <f t="shared" si="0"/>
        <v>2.6123202774644358</v>
      </c>
      <c r="C16" s="72">
        <f t="shared" si="1"/>
        <v>1.9177669300758935</v>
      </c>
      <c r="D16" s="72">
        <f t="shared" si="2"/>
        <v>3.4450578689209057</v>
      </c>
      <c r="E16" s="72">
        <f t="shared" si="3"/>
        <v>3</v>
      </c>
      <c r="F16" s="72">
        <f t="shared" si="4"/>
        <v>2.4027327076275133</v>
      </c>
      <c r="G16" s="29"/>
      <c r="H16" s="21">
        <f t="shared" si="5"/>
        <v>2.6123202774644367</v>
      </c>
      <c r="I16" s="21">
        <v>2.3234388423458228</v>
      </c>
      <c r="J16" s="22">
        <v>1</v>
      </c>
      <c r="K16" s="23">
        <v>1</v>
      </c>
      <c r="L16" s="22">
        <v>3.5615766691562092</v>
      </c>
      <c r="M16" s="22">
        <v>3</v>
      </c>
      <c r="N16" s="21">
        <v>3</v>
      </c>
      <c r="O16" s="23">
        <v>3</v>
      </c>
      <c r="P16" s="21">
        <v>1</v>
      </c>
      <c r="Q16" s="22">
        <v>3</v>
      </c>
      <c r="R16" s="22">
        <v>2</v>
      </c>
      <c r="S16" s="22">
        <v>3</v>
      </c>
      <c r="T16" s="22">
        <v>3</v>
      </c>
      <c r="U16" s="22">
        <v>3</v>
      </c>
      <c r="V16" s="23">
        <v>3</v>
      </c>
    </row>
    <row r="17" spans="1:22" ht="15" customHeight="1">
      <c r="A17" s="79">
        <v>1960</v>
      </c>
      <c r="B17" s="72">
        <f t="shared" si="0"/>
        <v>2.7540073873501356</v>
      </c>
      <c r="C17" s="72">
        <f t="shared" si="1"/>
        <v>2.1643005059213936</v>
      </c>
      <c r="D17" s="72">
        <f t="shared" si="2"/>
        <v>3.474804042936797</v>
      </c>
      <c r="E17" s="72">
        <f t="shared" si="3"/>
        <v>3</v>
      </c>
      <c r="F17" s="72">
        <f t="shared" si="4"/>
        <v>2.6494002309253113</v>
      </c>
      <c r="G17" s="29"/>
      <c r="H17" s="21">
        <f t="shared" si="5"/>
        <v>2.7540073873501356</v>
      </c>
      <c r="I17" s="21">
        <v>2.6730180228036051</v>
      </c>
      <c r="J17" s="22">
        <v>1</v>
      </c>
      <c r="K17" s="23">
        <v>1</v>
      </c>
      <c r="L17" s="22">
        <v>3.6149770694248078</v>
      </c>
      <c r="M17" s="22">
        <v>3</v>
      </c>
      <c r="N17" s="21">
        <v>3</v>
      </c>
      <c r="O17" s="23">
        <v>3</v>
      </c>
      <c r="P17" s="21">
        <v>1</v>
      </c>
      <c r="Q17" s="22">
        <v>3</v>
      </c>
      <c r="R17" s="22">
        <v>3</v>
      </c>
      <c r="S17" s="22">
        <v>3</v>
      </c>
      <c r="T17" s="22">
        <v>3</v>
      </c>
      <c r="U17" s="22">
        <v>3</v>
      </c>
      <c r="V17" s="23">
        <v>3</v>
      </c>
    </row>
    <row r="18" spans="1:22" ht="15" customHeight="1">
      <c r="A18" s="79">
        <v>1970</v>
      </c>
      <c r="B18" s="72">
        <f t="shared" si="0"/>
        <v>3.0320237002705408</v>
      </c>
      <c r="C18" s="72">
        <f t="shared" si="1"/>
        <v>2.2927630817193778</v>
      </c>
      <c r="D18" s="72">
        <f t="shared" si="2"/>
        <v>3.4904020671409595</v>
      </c>
      <c r="E18" s="72">
        <f t="shared" si="3"/>
        <v>4</v>
      </c>
      <c r="F18" s="72">
        <f t="shared" si="4"/>
        <v>3.4773282100414189</v>
      </c>
      <c r="G18" s="29"/>
      <c r="H18" s="21">
        <f t="shared" si="5"/>
        <v>3.0320237002705417</v>
      </c>
      <c r="I18" s="21">
        <v>2.8511052977721274</v>
      </c>
      <c r="J18" s="22">
        <v>1</v>
      </c>
      <c r="K18" s="23">
        <v>1</v>
      </c>
      <c r="L18" s="22">
        <v>3.3197765398596837</v>
      </c>
      <c r="M18" s="22">
        <v>4</v>
      </c>
      <c r="N18" s="21">
        <v>4</v>
      </c>
      <c r="O18" s="23">
        <v>4</v>
      </c>
      <c r="P18" s="21">
        <v>1</v>
      </c>
      <c r="Q18" s="22">
        <v>4</v>
      </c>
      <c r="R18" s="22">
        <v>3.7172574378316936</v>
      </c>
      <c r="S18" s="22">
        <v>3.4277585533985211</v>
      </c>
      <c r="T18" s="22">
        <v>4</v>
      </c>
      <c r="U18" s="22">
        <v>4</v>
      </c>
      <c r="V18" s="23">
        <v>4</v>
      </c>
    </row>
    <row r="19" spans="1:22" ht="15" customHeight="1">
      <c r="A19" s="79">
        <v>1980</v>
      </c>
      <c r="B19" s="72">
        <f t="shared" si="0"/>
        <v>3.4014022093200929</v>
      </c>
      <c r="C19" s="72">
        <f t="shared" si="1"/>
        <v>2.6439515504865447</v>
      </c>
      <c r="D19" s="72">
        <f t="shared" si="2"/>
        <v>3.6797169899648159</v>
      </c>
      <c r="E19" s="72">
        <f t="shared" si="3"/>
        <v>4</v>
      </c>
      <c r="F19" s="72">
        <f t="shared" si="4"/>
        <v>4.0123957367184921</v>
      </c>
      <c r="G19" s="29"/>
      <c r="H19" s="21">
        <f t="shared" si="5"/>
        <v>3.4014022093200929</v>
      </c>
      <c r="I19" s="21">
        <v>3.3115208947461983</v>
      </c>
      <c r="J19" s="22">
        <v>1</v>
      </c>
      <c r="K19" s="23">
        <v>1</v>
      </c>
      <c r="L19" s="22">
        <v>3.5709503136359402</v>
      </c>
      <c r="M19" s="22">
        <v>4</v>
      </c>
      <c r="N19" s="21">
        <v>4</v>
      </c>
      <c r="O19" s="23">
        <v>4</v>
      </c>
      <c r="P19" s="21">
        <v>1</v>
      </c>
      <c r="Q19" s="22">
        <v>4</v>
      </c>
      <c r="R19" s="22">
        <v>5.3137715084683501</v>
      </c>
      <c r="S19" s="22">
        <v>3.5072475233529681</v>
      </c>
      <c r="T19" s="22">
        <v>4</v>
      </c>
      <c r="U19" s="22">
        <v>4</v>
      </c>
      <c r="V19" s="23">
        <v>4</v>
      </c>
    </row>
    <row r="20" spans="1:22" ht="15" customHeight="1">
      <c r="A20" s="79">
        <v>1990</v>
      </c>
      <c r="B20" s="72">
        <f t="shared" si="0"/>
        <v>3.934174381055243</v>
      </c>
      <c r="C20" s="72">
        <f t="shared" si="1"/>
        <v>3.4711322571786645</v>
      </c>
      <c r="D20" s="72">
        <f t="shared" si="2"/>
        <v>3.9427834354194071</v>
      </c>
      <c r="E20" s="72">
        <f t="shared" si="3"/>
        <v>4.0000000000000009</v>
      </c>
      <c r="F20" s="72">
        <f t="shared" si="4"/>
        <v>4.4468294332097713</v>
      </c>
      <c r="G20" s="29"/>
      <c r="H20" s="21">
        <f t="shared" si="5"/>
        <v>3.9341743810552425</v>
      </c>
      <c r="I20" s="21">
        <v>4.0256849391281486</v>
      </c>
      <c r="J20" s="22">
        <v>2</v>
      </c>
      <c r="K20" s="23">
        <v>2</v>
      </c>
      <c r="L20" s="22">
        <v>3.9230852881724898</v>
      </c>
      <c r="M20" s="22">
        <v>4</v>
      </c>
      <c r="N20" s="21">
        <v>4</v>
      </c>
      <c r="O20" s="23">
        <v>4</v>
      </c>
      <c r="P20" s="21">
        <v>2</v>
      </c>
      <c r="Q20" s="22">
        <v>4</v>
      </c>
      <c r="R20" s="22">
        <v>6.1644951605162994</v>
      </c>
      <c r="S20" s="22">
        <v>4.0729855313856111</v>
      </c>
      <c r="T20" s="22">
        <v>4</v>
      </c>
      <c r="U20" s="22">
        <v>4</v>
      </c>
      <c r="V20" s="23">
        <v>4</v>
      </c>
    </row>
    <row r="21" spans="1:22" ht="15" customHeight="1">
      <c r="A21" s="79">
        <v>2000</v>
      </c>
      <c r="B21" s="72">
        <f t="shared" si="0"/>
        <v>4.269879558546112</v>
      </c>
      <c r="C21" s="72">
        <f t="shared" si="1"/>
        <v>4.3698881302355561</v>
      </c>
      <c r="D21" s="72">
        <f t="shared" si="2"/>
        <v>4.3355007533101917</v>
      </c>
      <c r="E21" s="72">
        <f t="shared" si="3"/>
        <v>4</v>
      </c>
      <c r="F21" s="72">
        <f t="shared" si="4"/>
        <v>4.1594866701601614</v>
      </c>
      <c r="G21" s="29"/>
      <c r="H21" s="21">
        <f t="shared" si="5"/>
        <v>4.269879558546112</v>
      </c>
      <c r="I21" s="21">
        <v>4.9003887459806919</v>
      </c>
      <c r="J21" s="22">
        <v>3</v>
      </c>
      <c r="K21" s="23">
        <v>3</v>
      </c>
      <c r="L21" s="22">
        <v>4.4656085447498972</v>
      </c>
      <c r="M21" s="22">
        <v>4</v>
      </c>
      <c r="N21" s="21">
        <v>4</v>
      </c>
      <c r="O21" s="23">
        <v>4</v>
      </c>
      <c r="P21" s="21">
        <v>3</v>
      </c>
      <c r="Q21" s="22">
        <v>4</v>
      </c>
      <c r="R21" s="22">
        <v>5.8625932748900986</v>
      </c>
      <c r="S21" s="22">
        <v>4.9980957544951092</v>
      </c>
      <c r="T21" s="22">
        <v>4</v>
      </c>
      <c r="U21" s="22">
        <v>4</v>
      </c>
      <c r="V21" s="23">
        <v>4</v>
      </c>
    </row>
    <row r="22" spans="1:22" ht="15" customHeight="1">
      <c r="A22" s="79">
        <v>2010</v>
      </c>
      <c r="B22" s="72">
        <f t="shared" si="0"/>
        <v>4.398796337405904</v>
      </c>
      <c r="C22" s="72">
        <f t="shared" si="1"/>
        <v>5.0335090835200882</v>
      </c>
      <c r="D22" s="72">
        <f t="shared" si="2"/>
        <v>4.0688309303789749</v>
      </c>
      <c r="E22" s="72">
        <f t="shared" si="3"/>
        <v>4</v>
      </c>
      <c r="F22" s="72">
        <f t="shared" si="4"/>
        <v>4.2860334986541897</v>
      </c>
      <c r="G22" s="29"/>
      <c r="H22" s="21">
        <f t="shared" si="5"/>
        <v>4.398796337405904</v>
      </c>
      <c r="I22" s="21">
        <v>5.4483713718338214</v>
      </c>
      <c r="J22" s="22">
        <v>4</v>
      </c>
      <c r="K22" s="23">
        <v>4</v>
      </c>
      <c r="L22" s="21">
        <v>4.099218953934022</v>
      </c>
      <c r="M22" s="22">
        <v>4</v>
      </c>
      <c r="N22" s="21">
        <v>4</v>
      </c>
      <c r="O22" s="23">
        <v>4</v>
      </c>
      <c r="P22" s="21">
        <v>4</v>
      </c>
      <c r="Q22" s="22">
        <v>4</v>
      </c>
      <c r="R22" s="22">
        <v>6.0123748511123889</v>
      </c>
      <c r="S22" s="22">
        <v>5.1791184923126536</v>
      </c>
      <c r="T22" s="22">
        <v>4</v>
      </c>
      <c r="U22" s="22">
        <v>4</v>
      </c>
      <c r="V22" s="23">
        <v>4</v>
      </c>
    </row>
    <row r="23" spans="1:22" ht="15" customHeight="1">
      <c r="A23" s="79">
        <v>2020</v>
      </c>
      <c r="B23" s="72">
        <f t="shared" si="0"/>
        <v>4.4962588514181228</v>
      </c>
      <c r="C23" s="72">
        <f t="shared" si="1"/>
        <v>4.9320103040278944</v>
      </c>
      <c r="D23" s="72">
        <f t="shared" si="2"/>
        <v>4.2259597640794659</v>
      </c>
      <c r="E23" s="72">
        <f t="shared" si="3"/>
        <v>3.4804634523704325</v>
      </c>
      <c r="F23" s="72">
        <f t="shared" si="4"/>
        <v>4.5703141251641428</v>
      </c>
      <c r="G23" s="29"/>
      <c r="H23" s="21">
        <f t="shared" si="5"/>
        <v>4.4962588514181219</v>
      </c>
      <c r="I23" s="21">
        <f t="shared" ref="I23:I31" si="6">(I22*I52*$G52+10*I63*(I52*$G52+I53*$G53)/2)/(I53*$G53)</f>
        <v>5.4083320902179581</v>
      </c>
      <c r="J23" s="22">
        <f t="shared" ref="J23:J31" si="7">(J22*J52*$G52+10*J63*(J52*$G52+J53*$G53)/2)/(J53*$G53)</f>
        <v>3.8305074196556843</v>
      </c>
      <c r="K23" s="23">
        <f t="shared" ref="K23:K31" si="8">(K22*K52*$G52+10*K63*(K52*$G52+K53*$G53)/2)/(K53*$G53)</f>
        <v>3.8773259273197671</v>
      </c>
      <c r="L23" s="22">
        <f t="shared" ref="L23:L31" si="9">(L22*L52*$G52+10*L63*(L52*$G52+L53*$G53)/2)/(L53*$G53)</f>
        <v>4.1438700737511249</v>
      </c>
      <c r="M23" s="22">
        <f t="shared" ref="M23:M31" si="10">(M22*M52*$G52+10*M63*(M52*$G52+M53*$G53)/2)/(M53*$G53)</f>
        <v>4.3848358810047472</v>
      </c>
      <c r="N23" s="21">
        <f t="shared" ref="N23:N31" si="11">(N22*N52*$G52+10*N63*(N52*$G52+N53*$G53)/2)/(N53*$G53)</f>
        <v>3.7121519095789797</v>
      </c>
      <c r="O23" s="23">
        <f t="shared" ref="O23:O31" si="12">(O22*O52*$G52+10*O63*(O52*$G52+O53*$G53)/2)/(O53*$G53)</f>
        <v>3.3724385707978004</v>
      </c>
      <c r="P23" s="21">
        <f t="shared" ref="P23:P31" si="13">(P22*P52*$G52+10*P63*(P52*$G52+P53*$G53)/2)/(P53*$G53)</f>
        <v>4.7978771164314225</v>
      </c>
      <c r="Q23" s="22">
        <f t="shared" ref="Q23:Q31" si="14">(Q22*Q52*$G52+10*Q63*(Q52*$G52+Q53*$G53)/2)/(Q53*$G53)</f>
        <v>3.724196055921984</v>
      </c>
      <c r="R23" s="22">
        <f t="shared" ref="R23:R31" si="15">(R22*R52*$G52+10*R63*(R52*$G52+R53*$G53)/2)/(R53*$G53)</f>
        <v>6.0684774275462035</v>
      </c>
      <c r="S23" s="22">
        <f t="shared" ref="S23:S31" si="16">(S22*S52*$G52+10*S63*(S52*$G52+S53*$G53)/2)/(S53*$G53)</f>
        <v>4.9016340283607054</v>
      </c>
      <c r="T23" s="22">
        <f t="shared" ref="T23:T31" si="17">(T22*T52*$G52+10*T63*(T52*$G52+T53*$G53)/2)/(T53*$G53)</f>
        <v>4.2058441597847835</v>
      </c>
      <c r="U23" s="22">
        <f t="shared" ref="U23:U31" si="18">(U22*U52*$G52+10*U63*(U52*$G52+U53*$G53)/2)/(U53*$G53)</f>
        <v>4.3870005969470602</v>
      </c>
      <c r="V23" s="23">
        <f t="shared" ref="V23:V31" si="19">(V22*V52*$G52+10*V63*(V52*$G52+V53*$G53)/2)/(V53*$G53)</f>
        <v>4.3376562197032396</v>
      </c>
    </row>
    <row r="24" spans="1:22" ht="15" customHeight="1">
      <c r="A24" s="79">
        <v>2030</v>
      </c>
      <c r="B24" s="72">
        <f t="shared" si="0"/>
        <v>5.0187134483966771</v>
      </c>
      <c r="C24" s="72">
        <f t="shared" si="1"/>
        <v>5.3986395002945322</v>
      </c>
      <c r="D24" s="72">
        <f t="shared" si="2"/>
        <v>4.7759485149248535</v>
      </c>
      <c r="E24" s="72">
        <f t="shared" si="3"/>
        <v>3.6691820319176762</v>
      </c>
      <c r="F24" s="72">
        <f t="shared" si="4"/>
        <v>5.1920144199622484</v>
      </c>
      <c r="G24" s="29"/>
      <c r="H24" s="21">
        <f t="shared" si="5"/>
        <v>5.0187134483966789</v>
      </c>
      <c r="I24" s="21">
        <f t="shared" si="6"/>
        <v>6.054891066750554</v>
      </c>
      <c r="J24" s="22">
        <f t="shared" si="7"/>
        <v>4.0421697431476948</v>
      </c>
      <c r="K24" s="23">
        <f t="shared" si="8"/>
        <v>4.138329214262523</v>
      </c>
      <c r="L24" s="22">
        <f t="shared" si="9"/>
        <v>4.6276435825771989</v>
      </c>
      <c r="M24" s="22">
        <f t="shared" si="10"/>
        <v>5.0168365058840703</v>
      </c>
      <c r="N24" s="21">
        <f t="shared" si="11"/>
        <v>3.9599073036303594</v>
      </c>
      <c r="O24" s="23">
        <f t="shared" si="12"/>
        <v>3.543643819585014</v>
      </c>
      <c r="P24" s="21">
        <f t="shared" si="13"/>
        <v>5.7406336401688467</v>
      </c>
      <c r="Q24" s="22">
        <f t="shared" si="14"/>
        <v>3.9758877087381572</v>
      </c>
      <c r="R24" s="22">
        <f t="shared" si="15"/>
        <v>7.0180346577990056</v>
      </c>
      <c r="S24" s="22">
        <f t="shared" si="16"/>
        <v>5.1676261679797424</v>
      </c>
      <c r="T24" s="22">
        <f t="shared" si="17"/>
        <v>4.6987314501471067</v>
      </c>
      <c r="U24" s="22">
        <f t="shared" si="18"/>
        <v>5.0208780822298396</v>
      </c>
      <c r="V24" s="23">
        <f t="shared" si="19"/>
        <v>4.9299470829962893</v>
      </c>
    </row>
    <row r="25" spans="1:22" ht="15" customHeight="1">
      <c r="A25" s="79">
        <v>2040</v>
      </c>
      <c r="B25" s="72">
        <f t="shared" si="0"/>
        <v>5.1330976368792971</v>
      </c>
      <c r="C25" s="72">
        <f t="shared" si="1"/>
        <v>5.2936283075268271</v>
      </c>
      <c r="D25" s="72">
        <f t="shared" si="2"/>
        <v>4.8977583689777697</v>
      </c>
      <c r="E25" s="72">
        <f t="shared" si="3"/>
        <v>3.5267423298629046</v>
      </c>
      <c r="F25" s="72">
        <f t="shared" si="4"/>
        <v>5.4774661665656792</v>
      </c>
      <c r="G25" s="29"/>
      <c r="H25" s="21">
        <f t="shared" si="5"/>
        <v>5.1330976368792971</v>
      </c>
      <c r="I25" s="21">
        <f t="shared" si="6"/>
        <v>5.9579385953900186</v>
      </c>
      <c r="J25" s="22">
        <f t="shared" si="7"/>
        <v>4.0132633869182142</v>
      </c>
      <c r="K25" s="23">
        <f t="shared" si="8"/>
        <v>4.1057760454532986</v>
      </c>
      <c r="L25" s="22">
        <f t="shared" si="9"/>
        <v>4.593496632833971</v>
      </c>
      <c r="M25" s="22">
        <f t="shared" si="10"/>
        <v>5.344781522969015</v>
      </c>
      <c r="N25" s="21">
        <f t="shared" si="11"/>
        <v>4.0084623184499586</v>
      </c>
      <c r="O25" s="23">
        <f t="shared" si="12"/>
        <v>3.349416294888421</v>
      </c>
      <c r="P25" s="21">
        <f t="shared" si="13"/>
        <v>6.3440549281457947</v>
      </c>
      <c r="Q25" s="22">
        <f t="shared" si="14"/>
        <v>4.0195210367862426</v>
      </c>
      <c r="R25" s="22">
        <f t="shared" si="15"/>
        <v>7.0394910706946678</v>
      </c>
      <c r="S25" s="22">
        <f t="shared" si="16"/>
        <v>5.0048114785649505</v>
      </c>
      <c r="T25" s="22">
        <f t="shared" si="17"/>
        <v>4.8912590277680099</v>
      </c>
      <c r="U25" s="22">
        <f t="shared" si="18"/>
        <v>5.3202351491310012</v>
      </c>
      <c r="V25" s="23">
        <f t="shared" si="19"/>
        <v>5.2261075392604672</v>
      </c>
    </row>
    <row r="26" spans="1:22" ht="15" customHeight="1">
      <c r="A26" s="79">
        <v>2050</v>
      </c>
      <c r="B26" s="72">
        <f t="shared" si="0"/>
        <v>5.5712672108199266</v>
      </c>
      <c r="C26" s="72">
        <f t="shared" si="1"/>
        <v>5.7606988967229187</v>
      </c>
      <c r="D26" s="72">
        <f t="shared" si="2"/>
        <v>5.4475115335033015</v>
      </c>
      <c r="E26" s="72">
        <f t="shared" si="3"/>
        <v>3.8353967637591277</v>
      </c>
      <c r="F26" s="72">
        <f t="shared" si="4"/>
        <v>5.9447603779007361</v>
      </c>
      <c r="G26" s="29"/>
      <c r="H26" s="21">
        <f t="shared" si="5"/>
        <v>5.5712672108199257</v>
      </c>
      <c r="I26" s="21">
        <f t="shared" si="6"/>
        <v>6.564620009423761</v>
      </c>
      <c r="J26" s="22">
        <f t="shared" si="7"/>
        <v>4.3483416819814558</v>
      </c>
      <c r="K26" s="23">
        <f t="shared" si="8"/>
        <v>4.4512508030872064</v>
      </c>
      <c r="L26" s="22">
        <f t="shared" si="9"/>
        <v>5.0176258734599486</v>
      </c>
      <c r="M26" s="22">
        <f t="shared" si="10"/>
        <v>6.009779495019691</v>
      </c>
      <c r="N26" s="21">
        <f t="shared" si="11"/>
        <v>4.3904554839295775</v>
      </c>
      <c r="O26" s="23">
        <f t="shared" si="12"/>
        <v>3.6514011012424739</v>
      </c>
      <c r="P26" s="21">
        <f t="shared" si="13"/>
        <v>6.8202808611398886</v>
      </c>
      <c r="Q26" s="22">
        <f t="shared" si="14"/>
        <v>4.3990934887724924</v>
      </c>
      <c r="R26" s="22">
        <f t="shared" si="15"/>
        <v>8.0619793692080695</v>
      </c>
      <c r="S26" s="22">
        <f t="shared" si="16"/>
        <v>5.3550501625242406</v>
      </c>
      <c r="T26" s="22">
        <f t="shared" si="17"/>
        <v>5.4026655167662359</v>
      </c>
      <c r="U26" s="22">
        <f t="shared" si="18"/>
        <v>5.9578288312873937</v>
      </c>
      <c r="V26" s="23">
        <f t="shared" si="19"/>
        <v>5.8501952018674555</v>
      </c>
    </row>
    <row r="27" spans="1:22" ht="15" customHeight="1">
      <c r="A27" s="79">
        <v>2060</v>
      </c>
      <c r="B27" s="72">
        <f t="shared" si="0"/>
        <v>6.0456084998934472</v>
      </c>
      <c r="C27" s="72">
        <f t="shared" si="1"/>
        <v>6.0819169452417441</v>
      </c>
      <c r="D27" s="72">
        <f t="shared" si="2"/>
        <v>5.8189101735704352</v>
      </c>
      <c r="E27" s="72">
        <f t="shared" si="3"/>
        <v>4.4758194928450843</v>
      </c>
      <c r="F27" s="72">
        <f t="shared" si="4"/>
        <v>6.522486801188772</v>
      </c>
      <c r="G27" s="29"/>
      <c r="H27" s="21">
        <f t="shared" si="5"/>
        <v>6.0456084998934481</v>
      </c>
      <c r="I27" s="21">
        <f t="shared" si="6"/>
        <v>6.7199929035398069</v>
      </c>
      <c r="J27" s="22">
        <f t="shared" si="7"/>
        <v>4.922713422400971</v>
      </c>
      <c r="K27" s="23">
        <f t="shared" si="8"/>
        <v>5.0060853586384022</v>
      </c>
      <c r="L27" s="22">
        <f t="shared" si="9"/>
        <v>5.132530592090899</v>
      </c>
      <c r="M27" s="22">
        <f t="shared" si="10"/>
        <v>6.686299473161128</v>
      </c>
      <c r="N27" s="21">
        <f t="shared" si="11"/>
        <v>5.3387544813806151</v>
      </c>
      <c r="O27" s="23">
        <f t="shared" si="12"/>
        <v>4.2290992813679749</v>
      </c>
      <c r="P27" s="21">
        <f t="shared" si="13"/>
        <v>7.6138996530387404</v>
      </c>
      <c r="Q27" s="22">
        <f t="shared" si="14"/>
        <v>4.8901567522544704</v>
      </c>
      <c r="R27" s="22">
        <f t="shared" si="15"/>
        <v>8.3324953681750689</v>
      </c>
      <c r="S27" s="22">
        <f t="shared" si="16"/>
        <v>5.4509556926321618</v>
      </c>
      <c r="T27" s="22">
        <f t="shared" si="17"/>
        <v>5.9424925907528463</v>
      </c>
      <c r="U27" s="22">
        <f t="shared" si="18"/>
        <v>6.5922316133489733</v>
      </c>
      <c r="V27" s="23">
        <f t="shared" si="19"/>
        <v>6.5139048010346166</v>
      </c>
    </row>
    <row r="28" spans="1:22" ht="15" customHeight="1">
      <c r="A28" s="79">
        <v>2070</v>
      </c>
      <c r="B28" s="72">
        <f t="shared" si="0"/>
        <v>6.1419796480526152</v>
      </c>
      <c r="C28" s="72">
        <f t="shared" si="1"/>
        <v>6.5798846241258895</v>
      </c>
      <c r="D28" s="72">
        <f t="shared" si="2"/>
        <v>5.8835645853433505</v>
      </c>
      <c r="E28" s="72">
        <f t="shared" si="3"/>
        <v>4.59681402357766</v>
      </c>
      <c r="F28" s="72">
        <f t="shared" si="4"/>
        <v>6.5955846981439041</v>
      </c>
      <c r="H28" s="21">
        <f t="shared" si="5"/>
        <v>6.1419796480526152</v>
      </c>
      <c r="I28" s="21">
        <f t="shared" si="6"/>
        <v>7.073747818642242</v>
      </c>
      <c r="J28" s="22">
        <f t="shared" si="7"/>
        <v>5.64768628319018</v>
      </c>
      <c r="K28" s="23">
        <f t="shared" si="8"/>
        <v>5.7120031261066178</v>
      </c>
      <c r="L28" s="22">
        <f t="shared" si="9"/>
        <v>5.3723368599632284</v>
      </c>
      <c r="M28" s="22">
        <f t="shared" si="10"/>
        <v>6.5079477613182339</v>
      </c>
      <c r="N28" s="21">
        <f t="shared" si="11"/>
        <v>5.3453132327650446</v>
      </c>
      <c r="O28" s="23">
        <f t="shared" si="12"/>
        <v>4.4073892611383068</v>
      </c>
      <c r="P28" s="21">
        <f t="shared" si="13"/>
        <v>8.1457698603498478</v>
      </c>
      <c r="Q28" s="22">
        <f t="shared" si="14"/>
        <v>4.9686408627956613</v>
      </c>
      <c r="R28" s="22">
        <f t="shared" si="15"/>
        <v>8.9137333474194431</v>
      </c>
      <c r="S28" s="22">
        <f t="shared" si="16"/>
        <v>5.6858062393597901</v>
      </c>
      <c r="T28" s="22">
        <f t="shared" si="17"/>
        <v>5.6474737180307883</v>
      </c>
      <c r="U28" s="22">
        <f t="shared" si="18"/>
        <v>6.3774996938574375</v>
      </c>
      <c r="V28" s="23">
        <f t="shared" si="19"/>
        <v>6.3207275886403593</v>
      </c>
    </row>
    <row r="29" spans="1:22" ht="15" customHeight="1">
      <c r="A29" s="79">
        <v>2080</v>
      </c>
      <c r="B29" s="72">
        <f t="shared" si="0"/>
        <v>6.2667112552780715</v>
      </c>
      <c r="C29" s="72">
        <f t="shared" si="1"/>
        <v>6.6993213152783753</v>
      </c>
      <c r="D29" s="72">
        <f t="shared" si="2"/>
        <v>5.9704721186268888</v>
      </c>
      <c r="E29" s="72">
        <f t="shared" si="3"/>
        <v>4.8642809804590943</v>
      </c>
      <c r="F29" s="72">
        <f t="shared" si="4"/>
        <v>6.7472053462864334</v>
      </c>
      <c r="H29" s="21">
        <f t="shared" si="5"/>
        <v>6.2667112552780706</v>
      </c>
      <c r="I29" s="21">
        <f t="shared" si="6"/>
        <v>7.0775690190424392</v>
      </c>
      <c r="J29" s="22">
        <f t="shared" si="7"/>
        <v>5.9923640162705567</v>
      </c>
      <c r="K29" s="23">
        <f t="shared" si="8"/>
        <v>6.0028699290536887</v>
      </c>
      <c r="L29" s="22">
        <f t="shared" si="9"/>
        <v>5.4767830602138865</v>
      </c>
      <c r="M29" s="22">
        <f t="shared" si="10"/>
        <v>6.5886012675260774</v>
      </c>
      <c r="N29" s="21">
        <f t="shared" si="11"/>
        <v>5.5715540826764105</v>
      </c>
      <c r="O29" s="23">
        <f t="shared" si="12"/>
        <v>4.706036120744125</v>
      </c>
      <c r="P29" s="21">
        <f t="shared" si="13"/>
        <v>8.4550159438058898</v>
      </c>
      <c r="Q29" s="22">
        <f t="shared" si="14"/>
        <v>5.2760239959218049</v>
      </c>
      <c r="R29" s="22">
        <f t="shared" si="15"/>
        <v>8.889035375149664</v>
      </c>
      <c r="S29" s="22">
        <f t="shared" si="16"/>
        <v>5.7761552476116282</v>
      </c>
      <c r="T29" s="22">
        <f t="shared" si="17"/>
        <v>5.6180797160618194</v>
      </c>
      <c r="U29" s="22">
        <f t="shared" si="18"/>
        <v>6.3778833074392622</v>
      </c>
      <c r="V29" s="23">
        <f t="shared" si="19"/>
        <v>6.4054690165760944</v>
      </c>
    </row>
    <row r="30" spans="1:22" ht="15" customHeight="1">
      <c r="A30" s="79">
        <v>2090</v>
      </c>
      <c r="B30" s="72">
        <f t="shared" si="0"/>
        <v>6.4315976047035903</v>
      </c>
      <c r="C30" s="72">
        <f t="shared" si="1"/>
        <v>6.9337344054728449</v>
      </c>
      <c r="D30" s="72">
        <f t="shared" si="2"/>
        <v>6.1571220643188749</v>
      </c>
      <c r="E30" s="72">
        <f t="shared" si="3"/>
        <v>4.830487231161781</v>
      </c>
      <c r="F30" s="72">
        <f t="shared" si="4"/>
        <v>7.0137089735762945</v>
      </c>
      <c r="H30" s="21">
        <f t="shared" si="5"/>
        <v>6.4315976047035903</v>
      </c>
      <c r="I30" s="21">
        <f t="shared" si="6"/>
        <v>7.2147520288923603</v>
      </c>
      <c r="J30" s="22">
        <f t="shared" si="7"/>
        <v>6.4269862762824816</v>
      </c>
      <c r="K30" s="23">
        <f t="shared" si="8"/>
        <v>6.3826804636335979</v>
      </c>
      <c r="L30" s="22">
        <f t="shared" si="9"/>
        <v>5.6686963239262562</v>
      </c>
      <c r="M30" s="22">
        <f t="shared" si="10"/>
        <v>6.7840054277437885</v>
      </c>
      <c r="N30" s="21">
        <f t="shared" si="11"/>
        <v>5.8748937899745064</v>
      </c>
      <c r="O30" s="23">
        <f t="shared" si="12"/>
        <v>4.6215135486075045</v>
      </c>
      <c r="P30" s="21">
        <f t="shared" si="13"/>
        <v>8.9486208335334414</v>
      </c>
      <c r="Q30" s="22">
        <f t="shared" si="14"/>
        <v>5.6478839623714432</v>
      </c>
      <c r="R30" s="22">
        <f t="shared" si="15"/>
        <v>9.0480429976895778</v>
      </c>
      <c r="S30" s="22">
        <f t="shared" si="16"/>
        <v>5.96176575495197</v>
      </c>
      <c r="T30" s="22">
        <f t="shared" si="17"/>
        <v>5.7016228010931114</v>
      </c>
      <c r="U30" s="22">
        <f t="shared" si="18"/>
        <v>6.4972540508705743</v>
      </c>
      <c r="V30" s="23">
        <f t="shared" si="19"/>
        <v>6.6001087331614219</v>
      </c>
    </row>
    <row r="31" spans="1:22" ht="15" customHeight="1" thickBot="1">
      <c r="A31" s="80">
        <v>2100</v>
      </c>
      <c r="B31" s="73">
        <f t="shared" si="0"/>
        <v>6.6701131122732651</v>
      </c>
      <c r="C31" s="73">
        <f t="shared" si="1"/>
        <v>7.2485294110697556</v>
      </c>
      <c r="D31" s="73">
        <f t="shared" si="2"/>
        <v>6.4103718043494968</v>
      </c>
      <c r="E31" s="73">
        <f t="shared" si="3"/>
        <v>4.8972482700513327</v>
      </c>
      <c r="F31" s="73">
        <f t="shared" si="4"/>
        <v>7.3620936523049307</v>
      </c>
      <c r="H31" s="21">
        <f t="shared" si="5"/>
        <v>6.6701131122732651</v>
      </c>
      <c r="I31" s="24">
        <f t="shared" si="6"/>
        <v>7.4428750655595044</v>
      </c>
      <c r="J31" s="25">
        <f t="shared" si="7"/>
        <v>6.9326188110169316</v>
      </c>
      <c r="K31" s="26">
        <f t="shared" si="8"/>
        <v>6.8290460684822625</v>
      </c>
      <c r="L31" s="24">
        <f t="shared" si="9"/>
        <v>5.9181524898759363</v>
      </c>
      <c r="M31" s="26">
        <f t="shared" si="10"/>
        <v>7.0579411362023032</v>
      </c>
      <c r="N31" s="24">
        <f t="shared" si="11"/>
        <v>6.2312748832199283</v>
      </c>
      <c r="O31" s="26">
        <f t="shared" si="12"/>
        <v>4.6563036903168618</v>
      </c>
      <c r="P31" s="24">
        <f t="shared" si="13"/>
        <v>9.6051694424647174</v>
      </c>
      <c r="Q31" s="25">
        <f t="shared" si="14"/>
        <v>6.0656096642887842</v>
      </c>
      <c r="R31" s="25">
        <f t="shared" si="15"/>
        <v>9.3404357019016917</v>
      </c>
      <c r="S31" s="25">
        <f t="shared" si="16"/>
        <v>6.2105652591261347</v>
      </c>
      <c r="T31" s="25">
        <f t="shared" si="17"/>
        <v>5.8590562171479679</v>
      </c>
      <c r="U31" s="25">
        <f t="shared" si="18"/>
        <v>6.6958816102344496</v>
      </c>
      <c r="V31" s="26">
        <f t="shared" si="19"/>
        <v>6.8694390901722562</v>
      </c>
    </row>
    <row r="32" spans="1:22" ht="15" customHeight="1" thickTop="1" thickBot="1">
      <c r="A32" s="30"/>
    </row>
    <row r="33" spans="1:22" ht="15" customHeight="1" thickTop="1">
      <c r="A33" s="153" t="s">
        <v>126</v>
      </c>
      <c r="B33" s="154"/>
      <c r="C33" s="154"/>
      <c r="D33" s="154"/>
      <c r="E33" s="154"/>
      <c r="F33" s="155"/>
    </row>
    <row r="34" spans="1:22" ht="15" customHeight="1">
      <c r="A34" s="156"/>
      <c r="B34" s="157"/>
      <c r="C34" s="157"/>
      <c r="D34" s="157"/>
      <c r="E34" s="157"/>
      <c r="F34" s="158"/>
    </row>
    <row r="35" spans="1:22" ht="15" customHeight="1" thickBot="1">
      <c r="A35" s="159"/>
      <c r="B35" s="160"/>
      <c r="C35" s="160"/>
      <c r="D35" s="160"/>
      <c r="E35" s="160"/>
      <c r="F35" s="161"/>
    </row>
    <row r="36" spans="1:22" ht="15" customHeight="1" thickTop="1" thickBot="1">
      <c r="A36" s="30"/>
    </row>
    <row r="37" spans="1:22" ht="49.8" customHeight="1" thickTop="1" thickBot="1">
      <c r="A37" s="88" t="s">
        <v>125</v>
      </c>
      <c r="B37" s="82" t="s">
        <v>108</v>
      </c>
      <c r="C37" s="81" t="s">
        <v>0</v>
      </c>
      <c r="D37" s="75" t="s">
        <v>109</v>
      </c>
      <c r="E37" s="75" t="s">
        <v>110</v>
      </c>
      <c r="F37" s="76" t="s">
        <v>111</v>
      </c>
      <c r="G37" s="28"/>
      <c r="H37" s="11" t="s">
        <v>2</v>
      </c>
      <c r="I37" s="11" t="s">
        <v>112</v>
      </c>
      <c r="J37" s="9" t="s">
        <v>113</v>
      </c>
      <c r="K37" s="10" t="s">
        <v>114</v>
      </c>
      <c r="L37" s="12" t="s">
        <v>115</v>
      </c>
      <c r="M37" s="10" t="s">
        <v>116</v>
      </c>
      <c r="N37" s="11" t="s">
        <v>117</v>
      </c>
      <c r="O37" s="10" t="s">
        <v>118</v>
      </c>
      <c r="P37" s="12" t="s">
        <v>119</v>
      </c>
      <c r="Q37" s="13" t="s">
        <v>120</v>
      </c>
      <c r="R37" s="13" t="s">
        <v>105</v>
      </c>
      <c r="S37" s="13" t="s">
        <v>121</v>
      </c>
      <c r="T37" s="13" t="s">
        <v>122</v>
      </c>
      <c r="U37" s="13" t="s">
        <v>123</v>
      </c>
      <c r="V37" s="10" t="s">
        <v>124</v>
      </c>
    </row>
    <row r="38" spans="1:22" ht="15" customHeight="1" thickTop="1">
      <c r="A38" s="77">
        <v>1870</v>
      </c>
      <c r="B38" s="71">
        <v>1</v>
      </c>
      <c r="C38" s="71">
        <v>0.45603847138451031</v>
      </c>
      <c r="D38" s="71">
        <v>0.11562064083996547</v>
      </c>
      <c r="E38" s="71">
        <v>4.1092206599215926E-2</v>
      </c>
      <c r="F38" s="71">
        <v>0.38724868117630867</v>
      </c>
      <c r="G38" s="29"/>
      <c r="H38" s="83">
        <v>1</v>
      </c>
      <c r="I38" s="83">
        <v>0.34152948375046177</v>
      </c>
      <c r="J38" s="84">
        <v>5.0960964902667369E-2</v>
      </c>
      <c r="K38" s="85">
        <v>6.3548022731381187E-2</v>
      </c>
      <c r="L38" s="84">
        <v>9.2054936107988247E-2</v>
      </c>
      <c r="M38" s="84">
        <v>2.3565704731977225E-2</v>
      </c>
      <c r="N38" s="83">
        <v>9.005684505157166E-3</v>
      </c>
      <c r="O38" s="85">
        <v>3.2086522094058767E-2</v>
      </c>
      <c r="P38" s="84">
        <v>0.16911715105134076</v>
      </c>
      <c r="Q38" s="84">
        <v>0.11725235947123044</v>
      </c>
      <c r="R38" s="84">
        <v>2.3437892839843735E-2</v>
      </c>
      <c r="S38" s="84">
        <v>5.1845306049765321E-3</v>
      </c>
      <c r="T38" s="84">
        <v>2.3925197095638982E-2</v>
      </c>
      <c r="U38" s="84">
        <v>1.0766731634491742E-2</v>
      </c>
      <c r="V38" s="85">
        <v>3.7564818478786441E-2</v>
      </c>
    </row>
    <row r="39" spans="1:22" ht="15" customHeight="1">
      <c r="A39" s="78">
        <v>1880</v>
      </c>
      <c r="B39" s="72">
        <f>(B$38+B$42)/2</f>
        <v>1</v>
      </c>
      <c r="C39" s="72">
        <f t="shared" ref="C39:V41" si="20">(C$38+C$42)/2</f>
        <v>0.46284596760308117</v>
      </c>
      <c r="D39" s="72">
        <f t="shared" si="20"/>
        <v>0.1776770051013431</v>
      </c>
      <c r="E39" s="72">
        <f t="shared" si="20"/>
        <v>3.5203936652920993E-2</v>
      </c>
      <c r="F39" s="72">
        <f t="shared" si="20"/>
        <v>0.32427309064265486</v>
      </c>
      <c r="G39" s="29"/>
      <c r="H39" s="21">
        <f t="shared" si="20"/>
        <v>1</v>
      </c>
      <c r="I39" s="21">
        <f t="shared" si="20"/>
        <v>0.34184816243865479</v>
      </c>
      <c r="J39" s="22">
        <f t="shared" si="20"/>
        <v>5.3327265480766078E-2</v>
      </c>
      <c r="K39" s="23">
        <f t="shared" si="20"/>
        <v>6.7670539683660297E-2</v>
      </c>
      <c r="L39" s="22">
        <f t="shared" si="20"/>
        <v>0.14469853781801592</v>
      </c>
      <c r="M39" s="22">
        <f t="shared" si="20"/>
        <v>3.2978467283327186E-2</v>
      </c>
      <c r="N39" s="21">
        <f t="shared" si="20"/>
        <v>8.5880027475497452E-3</v>
      </c>
      <c r="O39" s="23">
        <f t="shared" si="20"/>
        <v>2.6615933905371255E-2</v>
      </c>
      <c r="P39" s="22">
        <f t="shared" si="20"/>
        <v>0.12831812365385156</v>
      </c>
      <c r="Q39" s="22">
        <f t="shared" si="20"/>
        <v>9.4730875207004017E-2</v>
      </c>
      <c r="R39" s="22">
        <f t="shared" si="20"/>
        <v>2.5167945622005299E-2</v>
      </c>
      <c r="S39" s="22">
        <f t="shared" si="20"/>
        <v>7.4053736790960041E-3</v>
      </c>
      <c r="T39" s="22">
        <f t="shared" si="20"/>
        <v>2.0751605308129428E-2</v>
      </c>
      <c r="U39" s="22">
        <f t="shared" si="20"/>
        <v>1.1465196067782651E-2</v>
      </c>
      <c r="V39" s="23">
        <f t="shared" si="20"/>
        <v>3.643397110478587E-2</v>
      </c>
    </row>
    <row r="40" spans="1:22" ht="15" customHeight="1">
      <c r="A40" s="78">
        <v>1890</v>
      </c>
      <c r="B40" s="72">
        <f>(B$38+B$42)/2</f>
        <v>1</v>
      </c>
      <c r="C40" s="72">
        <f t="shared" si="20"/>
        <v>0.46284596760308117</v>
      </c>
      <c r="D40" s="72">
        <f t="shared" si="20"/>
        <v>0.1776770051013431</v>
      </c>
      <c r="E40" s="72">
        <f t="shared" si="20"/>
        <v>3.5203936652920993E-2</v>
      </c>
      <c r="F40" s="72">
        <f t="shared" si="20"/>
        <v>0.32427309064265486</v>
      </c>
      <c r="G40" s="29"/>
      <c r="H40" s="21">
        <f t="shared" si="20"/>
        <v>1</v>
      </c>
      <c r="I40" s="21">
        <f t="shared" si="20"/>
        <v>0.34184816243865479</v>
      </c>
      <c r="J40" s="22">
        <f t="shared" si="20"/>
        <v>5.3327265480766078E-2</v>
      </c>
      <c r="K40" s="23">
        <f t="shared" si="20"/>
        <v>6.7670539683660297E-2</v>
      </c>
      <c r="L40" s="22">
        <f t="shared" si="20"/>
        <v>0.14469853781801592</v>
      </c>
      <c r="M40" s="22">
        <f t="shared" si="20"/>
        <v>3.2978467283327186E-2</v>
      </c>
      <c r="N40" s="21">
        <f t="shared" si="20"/>
        <v>8.5880027475497452E-3</v>
      </c>
      <c r="O40" s="23">
        <f t="shared" si="20"/>
        <v>2.6615933905371255E-2</v>
      </c>
      <c r="P40" s="22">
        <f t="shared" si="20"/>
        <v>0.12831812365385156</v>
      </c>
      <c r="Q40" s="22">
        <f t="shared" si="20"/>
        <v>9.4730875207004017E-2</v>
      </c>
      <c r="R40" s="22">
        <f t="shared" si="20"/>
        <v>2.5167945622005299E-2</v>
      </c>
      <c r="S40" s="22">
        <f t="shared" si="20"/>
        <v>7.4053736790960041E-3</v>
      </c>
      <c r="T40" s="22">
        <f t="shared" si="20"/>
        <v>2.0751605308129428E-2</v>
      </c>
      <c r="U40" s="22">
        <f t="shared" si="20"/>
        <v>1.1465196067782651E-2</v>
      </c>
      <c r="V40" s="23">
        <f t="shared" si="20"/>
        <v>3.643397110478587E-2</v>
      </c>
    </row>
    <row r="41" spans="1:22" ht="15" customHeight="1">
      <c r="A41" s="78">
        <v>1900</v>
      </c>
      <c r="B41" s="72">
        <f>(B$38+B$42)/2</f>
        <v>1</v>
      </c>
      <c r="C41" s="72">
        <f t="shared" si="20"/>
        <v>0.46284596760308117</v>
      </c>
      <c r="D41" s="72">
        <f t="shared" si="20"/>
        <v>0.1776770051013431</v>
      </c>
      <c r="E41" s="72">
        <f t="shared" si="20"/>
        <v>3.5203936652920993E-2</v>
      </c>
      <c r="F41" s="72">
        <f t="shared" si="20"/>
        <v>0.32427309064265486</v>
      </c>
      <c r="G41" s="29"/>
      <c r="H41" s="21">
        <f t="shared" si="20"/>
        <v>1</v>
      </c>
      <c r="I41" s="21">
        <f t="shared" si="20"/>
        <v>0.34184816243865479</v>
      </c>
      <c r="J41" s="22">
        <f t="shared" si="20"/>
        <v>5.3327265480766078E-2</v>
      </c>
      <c r="K41" s="23">
        <f t="shared" si="20"/>
        <v>6.7670539683660297E-2</v>
      </c>
      <c r="L41" s="22">
        <f t="shared" si="20"/>
        <v>0.14469853781801592</v>
      </c>
      <c r="M41" s="22">
        <f t="shared" si="20"/>
        <v>3.2978467283327186E-2</v>
      </c>
      <c r="N41" s="21">
        <f t="shared" si="20"/>
        <v>8.5880027475497452E-3</v>
      </c>
      <c r="O41" s="23">
        <f t="shared" si="20"/>
        <v>2.6615933905371255E-2</v>
      </c>
      <c r="P41" s="22">
        <f t="shared" si="20"/>
        <v>0.12831812365385156</v>
      </c>
      <c r="Q41" s="22">
        <f t="shared" si="20"/>
        <v>9.4730875207004017E-2</v>
      </c>
      <c r="R41" s="22">
        <f t="shared" si="20"/>
        <v>2.5167945622005299E-2</v>
      </c>
      <c r="S41" s="22">
        <f t="shared" si="20"/>
        <v>7.4053736790960041E-3</v>
      </c>
      <c r="T41" s="22">
        <f t="shared" si="20"/>
        <v>2.0751605308129428E-2</v>
      </c>
      <c r="U41" s="22">
        <f t="shared" si="20"/>
        <v>1.1465196067782651E-2</v>
      </c>
      <c r="V41" s="23">
        <f t="shared" si="20"/>
        <v>3.643397110478587E-2</v>
      </c>
    </row>
    <row r="42" spans="1:22" ht="15" customHeight="1">
      <c r="A42" s="79">
        <v>1910</v>
      </c>
      <c r="B42" s="72">
        <v>1</v>
      </c>
      <c r="C42" s="72">
        <v>0.46965346382165207</v>
      </c>
      <c r="D42" s="72">
        <v>0.23973336936272074</v>
      </c>
      <c r="E42" s="72">
        <v>2.9315666706626064E-2</v>
      </c>
      <c r="F42" s="72">
        <v>0.26129750010900099</v>
      </c>
      <c r="G42" s="29"/>
      <c r="H42" s="21">
        <v>1</v>
      </c>
      <c r="I42" s="21">
        <v>0.34216684112684786</v>
      </c>
      <c r="J42" s="22">
        <v>5.5693566058864795E-2</v>
      </c>
      <c r="K42" s="23">
        <v>7.179305663593942E-2</v>
      </c>
      <c r="L42" s="22">
        <v>0.19734213952804358</v>
      </c>
      <c r="M42" s="22">
        <v>4.2391229834677149E-2</v>
      </c>
      <c r="N42" s="21">
        <v>8.1703209899423243E-3</v>
      </c>
      <c r="O42" s="23">
        <v>2.1145345716683743E-2</v>
      </c>
      <c r="P42" s="22">
        <v>8.7519096256362366E-2</v>
      </c>
      <c r="Q42" s="22">
        <v>7.2209390942777577E-2</v>
      </c>
      <c r="R42" s="22">
        <v>2.6897998404166863E-2</v>
      </c>
      <c r="S42" s="22">
        <v>9.626216753215476E-3</v>
      </c>
      <c r="T42" s="22">
        <v>1.7578013520619874E-2</v>
      </c>
      <c r="U42" s="22">
        <v>1.2163660501073559E-2</v>
      </c>
      <c r="V42" s="23">
        <v>3.5303123730785292E-2</v>
      </c>
    </row>
    <row r="43" spans="1:22" ht="15" customHeight="1">
      <c r="A43" s="79">
        <v>1920</v>
      </c>
      <c r="B43" s="72">
        <f>(B$42+B$46)/2</f>
        <v>1</v>
      </c>
      <c r="C43" s="72">
        <f t="shared" ref="C43:V45" si="21">(C$42+C$46)/2</f>
        <v>0.4317074334532876</v>
      </c>
      <c r="D43" s="72">
        <f t="shared" si="21"/>
        <v>0.3009556511529467</v>
      </c>
      <c r="E43" s="72">
        <f t="shared" si="21"/>
        <v>3.3946686749582983E-2</v>
      </c>
      <c r="F43" s="72">
        <f t="shared" si="21"/>
        <v>0.23339022864418257</v>
      </c>
      <c r="G43" s="29"/>
      <c r="H43" s="21">
        <f t="shared" si="21"/>
        <v>1</v>
      </c>
      <c r="I43" s="21">
        <f t="shared" si="21"/>
        <v>0.30761454785415343</v>
      </c>
      <c r="J43" s="22">
        <f t="shared" si="21"/>
        <v>4.755398565241245E-2</v>
      </c>
      <c r="K43" s="23">
        <f t="shared" si="21"/>
        <v>7.6538899946721722E-2</v>
      </c>
      <c r="L43" s="22">
        <f t="shared" si="21"/>
        <v>0.24218677105558525</v>
      </c>
      <c r="M43" s="22">
        <f t="shared" si="21"/>
        <v>5.8768880097361427E-2</v>
      </c>
      <c r="N43" s="21">
        <f t="shared" si="21"/>
        <v>8.7178286330300836E-3</v>
      </c>
      <c r="O43" s="23">
        <f t="shared" si="21"/>
        <v>2.5228858116552906E-2</v>
      </c>
      <c r="P43" s="22">
        <f t="shared" si="21"/>
        <v>6.6653110379800234E-2</v>
      </c>
      <c r="Q43" s="22">
        <f t="shared" si="21"/>
        <v>5.6358180740407431E-2</v>
      </c>
      <c r="R43" s="22">
        <f t="shared" si="21"/>
        <v>2.9025999430450568E-2</v>
      </c>
      <c r="S43" s="22">
        <f t="shared" si="21"/>
        <v>1.1082128801719451E-2</v>
      </c>
      <c r="T43" s="22">
        <f t="shared" si="21"/>
        <v>2.0654875823408712E-2</v>
      </c>
      <c r="U43" s="22">
        <f t="shared" si="21"/>
        <v>1.2967733060852953E-2</v>
      </c>
      <c r="V43" s="23">
        <f t="shared" si="21"/>
        <v>3.6648200407543241E-2</v>
      </c>
    </row>
    <row r="44" spans="1:22" ht="15" customHeight="1">
      <c r="A44" s="79">
        <v>1930</v>
      </c>
      <c r="B44" s="72">
        <f>(B$42+B$46)/2</f>
        <v>1</v>
      </c>
      <c r="C44" s="72">
        <f t="shared" si="21"/>
        <v>0.4317074334532876</v>
      </c>
      <c r="D44" s="72">
        <f t="shared" si="21"/>
        <v>0.3009556511529467</v>
      </c>
      <c r="E44" s="72">
        <f t="shared" si="21"/>
        <v>3.3946686749582983E-2</v>
      </c>
      <c r="F44" s="72">
        <f t="shared" si="21"/>
        <v>0.23339022864418257</v>
      </c>
      <c r="G44" s="29"/>
      <c r="H44" s="21">
        <f t="shared" si="21"/>
        <v>1</v>
      </c>
      <c r="I44" s="21">
        <f t="shared" si="21"/>
        <v>0.30761454785415343</v>
      </c>
      <c r="J44" s="22">
        <f t="shared" si="21"/>
        <v>4.755398565241245E-2</v>
      </c>
      <c r="K44" s="23">
        <f t="shared" si="21"/>
        <v>7.6538899946721722E-2</v>
      </c>
      <c r="L44" s="22">
        <f t="shared" si="21"/>
        <v>0.24218677105558525</v>
      </c>
      <c r="M44" s="22">
        <f t="shared" si="21"/>
        <v>5.8768880097361427E-2</v>
      </c>
      <c r="N44" s="21">
        <f t="shared" si="21"/>
        <v>8.7178286330300836E-3</v>
      </c>
      <c r="O44" s="23">
        <f t="shared" si="21"/>
        <v>2.5228858116552906E-2</v>
      </c>
      <c r="P44" s="22">
        <f t="shared" si="21"/>
        <v>6.6653110379800234E-2</v>
      </c>
      <c r="Q44" s="22">
        <f t="shared" si="21"/>
        <v>5.6358180740407431E-2</v>
      </c>
      <c r="R44" s="22">
        <f t="shared" si="21"/>
        <v>2.9025999430450568E-2</v>
      </c>
      <c r="S44" s="22">
        <f t="shared" si="21"/>
        <v>1.1082128801719451E-2</v>
      </c>
      <c r="T44" s="22">
        <f t="shared" si="21"/>
        <v>2.0654875823408712E-2</v>
      </c>
      <c r="U44" s="22">
        <f t="shared" si="21"/>
        <v>1.2967733060852953E-2</v>
      </c>
      <c r="V44" s="23">
        <f t="shared" si="21"/>
        <v>3.6648200407543241E-2</v>
      </c>
    </row>
    <row r="45" spans="1:22" ht="15" customHeight="1">
      <c r="A45" s="79">
        <v>1940</v>
      </c>
      <c r="B45" s="72">
        <f>(B$42+B$46)/2</f>
        <v>1</v>
      </c>
      <c r="C45" s="72">
        <f t="shared" si="21"/>
        <v>0.4317074334532876</v>
      </c>
      <c r="D45" s="72">
        <f t="shared" si="21"/>
        <v>0.3009556511529467</v>
      </c>
      <c r="E45" s="72">
        <f t="shared" si="21"/>
        <v>3.3946686749582983E-2</v>
      </c>
      <c r="F45" s="72">
        <f t="shared" si="21"/>
        <v>0.23339022864418257</v>
      </c>
      <c r="G45" s="29"/>
      <c r="H45" s="21">
        <f t="shared" si="21"/>
        <v>1</v>
      </c>
      <c r="I45" s="21">
        <f t="shared" si="21"/>
        <v>0.30761454785415343</v>
      </c>
      <c r="J45" s="22">
        <f t="shared" si="21"/>
        <v>4.755398565241245E-2</v>
      </c>
      <c r="K45" s="23">
        <f t="shared" si="21"/>
        <v>7.6538899946721722E-2</v>
      </c>
      <c r="L45" s="22">
        <f t="shared" si="21"/>
        <v>0.24218677105558525</v>
      </c>
      <c r="M45" s="22">
        <f t="shared" si="21"/>
        <v>5.8768880097361427E-2</v>
      </c>
      <c r="N45" s="21">
        <f t="shared" si="21"/>
        <v>8.7178286330300836E-3</v>
      </c>
      <c r="O45" s="23">
        <f t="shared" si="21"/>
        <v>2.5228858116552906E-2</v>
      </c>
      <c r="P45" s="22">
        <f t="shared" si="21"/>
        <v>6.6653110379800234E-2</v>
      </c>
      <c r="Q45" s="22">
        <f t="shared" si="21"/>
        <v>5.6358180740407431E-2</v>
      </c>
      <c r="R45" s="22">
        <f t="shared" si="21"/>
        <v>2.9025999430450568E-2</v>
      </c>
      <c r="S45" s="22">
        <f t="shared" si="21"/>
        <v>1.1082128801719451E-2</v>
      </c>
      <c r="T45" s="22">
        <f t="shared" si="21"/>
        <v>2.0654875823408712E-2</v>
      </c>
      <c r="U45" s="22">
        <f t="shared" si="21"/>
        <v>1.2967733060852953E-2</v>
      </c>
      <c r="V45" s="23">
        <f t="shared" si="21"/>
        <v>3.6648200407543241E-2</v>
      </c>
    </row>
    <row r="46" spans="1:22" ht="15" customHeight="1">
      <c r="A46" s="79">
        <v>1950</v>
      </c>
      <c r="B46" s="72">
        <v>1</v>
      </c>
      <c r="C46" s="72">
        <v>0.39376140308492313</v>
      </c>
      <c r="D46" s="72">
        <v>0.36217793294317263</v>
      </c>
      <c r="E46" s="72">
        <v>3.8577706792539905E-2</v>
      </c>
      <c r="F46" s="72">
        <v>0.20548295717936416</v>
      </c>
      <c r="G46" s="22"/>
      <c r="H46" s="21">
        <v>1</v>
      </c>
      <c r="I46" s="21">
        <v>0.273062254581459</v>
      </c>
      <c r="J46" s="22">
        <v>3.9414405245960106E-2</v>
      </c>
      <c r="K46" s="23">
        <v>8.1284743257504025E-2</v>
      </c>
      <c r="L46" s="22">
        <v>0.28703140258312693</v>
      </c>
      <c r="M46" s="22">
        <v>7.5146530360045705E-2</v>
      </c>
      <c r="N46" s="21">
        <v>9.2653362761178411E-3</v>
      </c>
      <c r="O46" s="23">
        <v>2.9312370516422069E-2</v>
      </c>
      <c r="P46" s="22">
        <v>4.5787124503238096E-2</v>
      </c>
      <c r="Q46" s="22">
        <v>4.0506970538037285E-2</v>
      </c>
      <c r="R46" s="22">
        <v>3.1154000456734273E-2</v>
      </c>
      <c r="S46" s="22">
        <v>1.2538040850223427E-2</v>
      </c>
      <c r="T46" s="22">
        <v>2.3731738126197551E-2</v>
      </c>
      <c r="U46" s="22">
        <v>1.3771805620632349E-2</v>
      </c>
      <c r="V46" s="23">
        <v>3.7993277084301183E-2</v>
      </c>
    </row>
    <row r="47" spans="1:22" ht="15" customHeight="1">
      <c r="A47" s="79">
        <v>1960</v>
      </c>
      <c r="B47" s="72">
        <f>(B46+B48)/2</f>
        <v>1</v>
      </c>
      <c r="C47" s="72">
        <f>(C46+C48)/2</f>
        <v>0.39469037371956694</v>
      </c>
      <c r="D47" s="72">
        <f>(D46+D48)/2</f>
        <v>0.3427423590636749</v>
      </c>
      <c r="E47" s="72">
        <f>(E46+E48)/2</f>
        <v>3.7565622201272748E-2</v>
      </c>
      <c r="F47" s="72">
        <f>(F46+F48)/2</f>
        <v>0.22500164501548531</v>
      </c>
      <c r="G47" s="29"/>
      <c r="H47" s="21">
        <f t="shared" ref="H47:V47" si="22">(H46+H48)/2</f>
        <v>1</v>
      </c>
      <c r="I47" s="21">
        <f t="shared" si="22"/>
        <v>0.27467618133241156</v>
      </c>
      <c r="J47" s="22">
        <f t="shared" si="22"/>
        <v>3.9209511920256512E-2</v>
      </c>
      <c r="K47" s="23">
        <f t="shared" si="22"/>
        <v>8.0804680466898857E-2</v>
      </c>
      <c r="L47" s="22">
        <f t="shared" si="22"/>
        <v>0.26462036693715352</v>
      </c>
      <c r="M47" s="22">
        <f t="shared" si="22"/>
        <v>7.8121992126521433E-2</v>
      </c>
      <c r="N47" s="21">
        <f t="shared" si="22"/>
        <v>9.2695422510261569E-3</v>
      </c>
      <c r="O47" s="23">
        <f t="shared" si="22"/>
        <v>2.8296079950246592E-2</v>
      </c>
      <c r="P47" s="22">
        <f t="shared" si="22"/>
        <v>3.944276239192708E-2</v>
      </c>
      <c r="Q47" s="22">
        <f t="shared" si="22"/>
        <v>3.4425813365589863E-2</v>
      </c>
      <c r="R47" s="22">
        <f t="shared" si="22"/>
        <v>5.4142799313359871E-2</v>
      </c>
      <c r="S47" s="22">
        <f t="shared" si="22"/>
        <v>1.2123449145753942E-2</v>
      </c>
      <c r="T47" s="22">
        <f t="shared" si="22"/>
        <v>3.0030413916699229E-2</v>
      </c>
      <c r="U47" s="22">
        <f t="shared" si="22"/>
        <v>1.6473829075849454E-2</v>
      </c>
      <c r="V47" s="23">
        <f t="shared" si="22"/>
        <v>3.8362577806305871E-2</v>
      </c>
    </row>
    <row r="48" spans="1:22" ht="15" customHeight="1">
      <c r="A48" s="79">
        <v>1970</v>
      </c>
      <c r="B48" s="72">
        <v>1</v>
      </c>
      <c r="C48" s="72">
        <v>0.39561934435421076</v>
      </c>
      <c r="D48" s="72">
        <v>0.32330678518417721</v>
      </c>
      <c r="E48" s="72">
        <v>3.6553537610005592E-2</v>
      </c>
      <c r="F48" s="72">
        <v>0.24452033285160646</v>
      </c>
      <c r="G48" s="22"/>
      <c r="H48" s="21">
        <v>1</v>
      </c>
      <c r="I48" s="21">
        <v>0.27629010808336418</v>
      </c>
      <c r="J48" s="22">
        <v>3.9004618594552919E-2</v>
      </c>
      <c r="K48" s="23">
        <v>8.0324617676293689E-2</v>
      </c>
      <c r="L48" s="22">
        <v>0.24220933129118008</v>
      </c>
      <c r="M48" s="22">
        <v>8.1097453892997176E-2</v>
      </c>
      <c r="N48" s="21">
        <v>9.2737482259344743E-3</v>
      </c>
      <c r="O48" s="23">
        <v>2.7279789384071117E-2</v>
      </c>
      <c r="P48" s="22">
        <v>3.3098400280616058E-2</v>
      </c>
      <c r="Q48" s="22">
        <v>2.8344656193142449E-2</v>
      </c>
      <c r="R48" s="22">
        <v>7.7131598169985466E-2</v>
      </c>
      <c r="S48" s="22">
        <v>1.1708857441284456E-2</v>
      </c>
      <c r="T48" s="22">
        <v>3.6329089707200904E-2</v>
      </c>
      <c r="U48" s="22">
        <v>1.9175852531066559E-2</v>
      </c>
      <c r="V48" s="23">
        <v>3.8731878528310559E-2</v>
      </c>
    </row>
    <row r="49" spans="1:24" ht="15" customHeight="1">
      <c r="A49" s="79">
        <v>1980</v>
      </c>
      <c r="B49" s="72">
        <f>(B48+B50)/2</f>
        <v>1</v>
      </c>
      <c r="C49" s="72">
        <f>(C48+C50)/2</f>
        <v>0.36648972351967674</v>
      </c>
      <c r="D49" s="72">
        <f>(D48+D50)/2</f>
        <v>0.327712703984675</v>
      </c>
      <c r="E49" s="72">
        <f>(E48+E50)/2</f>
        <v>3.6282174063301142E-2</v>
      </c>
      <c r="F49" s="72">
        <f>(F48+F50)/2</f>
        <v>0.26951539843234701</v>
      </c>
      <c r="G49" s="29"/>
      <c r="H49" s="21">
        <f t="shared" ref="H49:V49" si="23">(H48+H50)/2</f>
        <v>1</v>
      </c>
      <c r="I49" s="21">
        <f t="shared" si="23"/>
        <v>0.26064715685112172</v>
      </c>
      <c r="J49" s="22">
        <f t="shared" si="23"/>
        <v>3.5256477509980719E-2</v>
      </c>
      <c r="K49" s="23">
        <f t="shared" si="23"/>
        <v>7.0586089158574311E-2</v>
      </c>
      <c r="L49" s="22">
        <f t="shared" si="23"/>
        <v>0.24463556225494834</v>
      </c>
      <c r="M49" s="22">
        <f t="shared" si="23"/>
        <v>8.3077141729726689E-2</v>
      </c>
      <c r="N49" s="21">
        <f t="shared" si="23"/>
        <v>1.0944727055286652E-2</v>
      </c>
      <c r="O49" s="23">
        <f t="shared" si="23"/>
        <v>2.5337447008014491E-2</v>
      </c>
      <c r="P49" s="22">
        <f t="shared" si="23"/>
        <v>3.4259969151304262E-2</v>
      </c>
      <c r="Q49" s="22">
        <f t="shared" si="23"/>
        <v>2.915684911710088E-2</v>
      </c>
      <c r="R49" s="22">
        <f t="shared" si="23"/>
        <v>8.5134867996924185E-2</v>
      </c>
      <c r="S49" s="22">
        <f t="shared" si="23"/>
        <v>1.1622497802716347E-2</v>
      </c>
      <c r="T49" s="22">
        <f t="shared" si="23"/>
        <v>3.9443257826651847E-2</v>
      </c>
      <c r="U49" s="22">
        <f t="shared" si="23"/>
        <v>1.7110220257795569E-2</v>
      </c>
      <c r="V49" s="23">
        <f t="shared" si="23"/>
        <v>5.2787736279853927E-2</v>
      </c>
    </row>
    <row r="50" spans="1:24" ht="15" customHeight="1">
      <c r="A50" s="79">
        <v>1990</v>
      </c>
      <c r="B50" s="72">
        <v>1</v>
      </c>
      <c r="C50" s="72">
        <v>0.33736010268514272</v>
      </c>
      <c r="D50" s="72">
        <v>0.33211862278517279</v>
      </c>
      <c r="E50" s="72">
        <v>3.6010810516596693E-2</v>
      </c>
      <c r="F50" s="72">
        <v>0.29451046401308756</v>
      </c>
      <c r="G50" s="162" t="s">
        <v>63</v>
      </c>
      <c r="H50" s="21">
        <v>1</v>
      </c>
      <c r="I50" s="21">
        <v>0.24500420561887931</v>
      </c>
      <c r="J50" s="22">
        <v>3.1508336425408526E-2</v>
      </c>
      <c r="K50" s="23">
        <v>6.084756064085492E-2</v>
      </c>
      <c r="L50" s="22">
        <v>0.2470617932187166</v>
      </c>
      <c r="M50" s="22">
        <v>8.5056829566456216E-2</v>
      </c>
      <c r="N50" s="21">
        <v>1.2615705884638829E-2</v>
      </c>
      <c r="O50" s="23">
        <v>2.3395104631957868E-2</v>
      </c>
      <c r="P50" s="22">
        <v>3.5421538021992459E-2</v>
      </c>
      <c r="Q50" s="22">
        <v>2.996904204105931E-2</v>
      </c>
      <c r="R50" s="22">
        <v>9.313813782386289E-2</v>
      </c>
      <c r="S50" s="22">
        <v>1.153613816414824E-2</v>
      </c>
      <c r="T50" s="22">
        <v>4.2557425946102789E-2</v>
      </c>
      <c r="U50" s="22">
        <v>1.5044587984524576E-2</v>
      </c>
      <c r="V50" s="23">
        <v>6.6843594031397294E-2</v>
      </c>
    </row>
    <row r="51" spans="1:24" ht="15" customHeight="1">
      <c r="A51" s="79">
        <v>2000</v>
      </c>
      <c r="B51" s="72">
        <f>(B50+B52)/2</f>
        <v>1</v>
      </c>
      <c r="C51" s="72">
        <f>(C50+C52)/2</f>
        <v>0.29364285732582246</v>
      </c>
      <c r="D51" s="72">
        <f>(D50+D52)/2</f>
        <v>0.31043566593628436</v>
      </c>
      <c r="E51" s="72">
        <f>(E50+E52)/2</f>
        <v>3.781536505151737E-2</v>
      </c>
      <c r="F51" s="72">
        <f>(F50+F52)/2</f>
        <v>0.35810611168637574</v>
      </c>
      <c r="G51" s="163"/>
      <c r="H51" s="21">
        <f t="shared" ref="H51:V51" si="24">(H50+H52)/2</f>
        <v>1</v>
      </c>
      <c r="I51" s="21">
        <f t="shared" si="24"/>
        <v>0.21167135704727236</v>
      </c>
      <c r="J51" s="22">
        <f t="shared" si="24"/>
        <v>2.988636445188711E-2</v>
      </c>
      <c r="K51" s="23">
        <f t="shared" si="24"/>
        <v>5.2085135826662993E-2</v>
      </c>
      <c r="L51" s="22">
        <f t="shared" si="24"/>
        <v>0.22368876377026026</v>
      </c>
      <c r="M51" s="22">
        <f t="shared" si="24"/>
        <v>8.6746902166024126E-2</v>
      </c>
      <c r="N51" s="21">
        <f t="shared" si="24"/>
        <v>1.3195580681761201E-2</v>
      </c>
      <c r="O51" s="23">
        <f t="shared" si="24"/>
        <v>2.4619784369756169E-2</v>
      </c>
      <c r="P51" s="22">
        <f t="shared" si="24"/>
        <v>9.0675700809509596E-2</v>
      </c>
      <c r="Q51" s="22">
        <f t="shared" si="24"/>
        <v>4.3274563132140294E-2</v>
      </c>
      <c r="R51" s="22">
        <f t="shared" si="24"/>
        <v>7.3215496225214088E-2</v>
      </c>
      <c r="S51" s="22">
        <f t="shared" si="24"/>
        <v>1.1439945704731915E-2</v>
      </c>
      <c r="T51" s="22">
        <f t="shared" si="24"/>
        <v>4.9525113669234455E-2</v>
      </c>
      <c r="U51" s="22">
        <f t="shared" si="24"/>
        <v>1.1060247817879862E-2</v>
      </c>
      <c r="V51" s="23">
        <f t="shared" si="24"/>
        <v>7.8915044327665509E-2</v>
      </c>
    </row>
    <row r="52" spans="1:24" ht="15" customHeight="1">
      <c r="A52" s="79">
        <v>2010</v>
      </c>
      <c r="B52" s="72">
        <v>1</v>
      </c>
      <c r="C52" s="72">
        <v>0.2499256119665022</v>
      </c>
      <c r="D52" s="72">
        <v>0.28875270908739598</v>
      </c>
      <c r="E52" s="72">
        <v>3.9619919586438047E-2</v>
      </c>
      <c r="F52" s="72">
        <v>0.42170175935966386</v>
      </c>
      <c r="G52" s="89">
        <v>71170.182355388519</v>
      </c>
      <c r="H52" s="21">
        <v>1</v>
      </c>
      <c r="I52" s="21">
        <v>0.17833850847566543</v>
      </c>
      <c r="J52" s="22">
        <v>2.826439247836569E-2</v>
      </c>
      <c r="K52" s="23">
        <v>4.3322711012471066E-2</v>
      </c>
      <c r="L52" s="22">
        <v>0.20031573432180394</v>
      </c>
      <c r="M52" s="22">
        <v>8.8436974765592022E-2</v>
      </c>
      <c r="N52" s="21">
        <v>1.3775455478883574E-2</v>
      </c>
      <c r="O52" s="23">
        <v>2.5844464107554473E-2</v>
      </c>
      <c r="P52" s="22">
        <v>0.14592986359702673</v>
      </c>
      <c r="Q52" s="22">
        <v>5.6580084223221278E-2</v>
      </c>
      <c r="R52" s="22">
        <v>5.3292854626565286E-2</v>
      </c>
      <c r="S52" s="22">
        <v>1.1343753245315592E-2</v>
      </c>
      <c r="T52" s="22">
        <v>5.6492801392366128E-2</v>
      </c>
      <c r="U52" s="22">
        <v>7.0759076512351459E-3</v>
      </c>
      <c r="V52" s="23">
        <v>9.0986494623933725E-2</v>
      </c>
    </row>
    <row r="53" spans="1:24" ht="15" customHeight="1">
      <c r="A53" s="79">
        <v>2020</v>
      </c>
      <c r="B53" s="72">
        <f>(B52+B54)/2</f>
        <v>1</v>
      </c>
      <c r="C53" s="72">
        <f t="shared" ref="C53:V53" si="25">(C52+C54)/2</f>
        <v>0.21753816392134123</v>
      </c>
      <c r="D53" s="72">
        <f t="shared" si="25"/>
        <v>0.26733627879892818</v>
      </c>
      <c r="E53" s="72">
        <f t="shared" si="25"/>
        <v>5.5676969724027872E-2</v>
      </c>
      <c r="F53" s="72">
        <f t="shared" si="25"/>
        <v>0.45944858755570284</v>
      </c>
      <c r="G53" s="89">
        <f>(G52+G54)/2</f>
        <v>102087.66015472892</v>
      </c>
      <c r="H53" s="21">
        <f t="shared" si="25"/>
        <v>1</v>
      </c>
      <c r="I53" s="21">
        <f t="shared" si="25"/>
        <v>0.15067253489749635</v>
      </c>
      <c r="J53" s="22">
        <f t="shared" si="25"/>
        <v>2.6623588493949479E-2</v>
      </c>
      <c r="K53" s="23">
        <f t="shared" si="25"/>
        <v>4.0242040529895384E-2</v>
      </c>
      <c r="L53" s="22">
        <f t="shared" si="25"/>
        <v>0.17626297429047183</v>
      </c>
      <c r="M53" s="22">
        <f t="shared" si="25"/>
        <v>9.1073304508456354E-2</v>
      </c>
      <c r="N53" s="21">
        <f t="shared" si="25"/>
        <v>1.7704627325909154E-2</v>
      </c>
      <c r="O53" s="23">
        <f t="shared" si="25"/>
        <v>3.7972342398118718E-2</v>
      </c>
      <c r="P53" s="22">
        <f t="shared" si="25"/>
        <v>0.16966693931793839</v>
      </c>
      <c r="Q53" s="22">
        <f t="shared" si="25"/>
        <v>7.2396915414731117E-2</v>
      </c>
      <c r="R53" s="22">
        <f t="shared" si="25"/>
        <v>4.3450696202340586E-2</v>
      </c>
      <c r="S53" s="22">
        <f t="shared" si="25"/>
        <v>1.0203486618646108E-2</v>
      </c>
      <c r="T53" s="22">
        <f t="shared" si="25"/>
        <v>6.1425052645785752E-2</v>
      </c>
      <c r="U53" s="22">
        <f t="shared" si="25"/>
        <v>7.2821851392200331E-3</v>
      </c>
      <c r="V53" s="23">
        <f t="shared" si="25"/>
        <v>9.5023312217040912E-2</v>
      </c>
    </row>
    <row r="54" spans="1:24" ht="15" customHeight="1">
      <c r="A54" s="86">
        <v>2030</v>
      </c>
      <c r="B54" s="72">
        <v>1</v>
      </c>
      <c r="C54" s="72">
        <v>0.18515071587618023</v>
      </c>
      <c r="D54" s="72">
        <v>0.24591984851046034</v>
      </c>
      <c r="E54" s="72">
        <v>7.173401986161769E-2</v>
      </c>
      <c r="F54" s="72">
        <v>0.49719541575174186</v>
      </c>
      <c r="G54" s="56">
        <v>133005.1379540693</v>
      </c>
      <c r="H54" s="21">
        <v>1</v>
      </c>
      <c r="I54" s="21">
        <v>0.12300656131932726</v>
      </c>
      <c r="J54" s="22">
        <v>2.4982784509533267E-2</v>
      </c>
      <c r="K54" s="23">
        <v>3.7161370047319703E-2</v>
      </c>
      <c r="L54" s="22">
        <v>0.15221021425913969</v>
      </c>
      <c r="M54" s="22">
        <v>9.3709634251320673E-2</v>
      </c>
      <c r="N54" s="21">
        <v>2.1633799172934735E-2</v>
      </c>
      <c r="O54" s="23">
        <v>5.0100220688682959E-2</v>
      </c>
      <c r="P54" s="22">
        <v>0.19340401503885005</v>
      </c>
      <c r="Q54" s="22">
        <v>8.8213746606240956E-2</v>
      </c>
      <c r="R54" s="22">
        <v>3.3608537778115878E-2</v>
      </c>
      <c r="S54" s="22">
        <v>9.0632199919766232E-3</v>
      </c>
      <c r="T54" s="22">
        <v>6.6357303899205383E-2</v>
      </c>
      <c r="U54" s="22">
        <v>7.4884626272049195E-3</v>
      </c>
      <c r="V54" s="23">
        <v>9.9060129810148112E-2</v>
      </c>
    </row>
    <row r="55" spans="1:24" ht="15" customHeight="1">
      <c r="A55" s="86">
        <v>2040</v>
      </c>
      <c r="B55" s="72">
        <f>(B54+B56)/2</f>
        <v>1</v>
      </c>
      <c r="C55" s="72">
        <f>(C54+C56)/2</f>
        <v>0.16136053691755087</v>
      </c>
      <c r="D55" s="72">
        <f>(D54+D56)/2</f>
        <v>0.2269479489976364</v>
      </c>
      <c r="E55" s="72">
        <f>(E54+E56)/2</f>
        <v>9.3883539494314966E-2</v>
      </c>
      <c r="F55" s="72">
        <f t="shared" ref="F55:G57" si="26">(F54+F56)/2</f>
        <v>0.51780797459049777</v>
      </c>
      <c r="G55" s="89">
        <f t="shared" si="26"/>
        <v>187794.98123480193</v>
      </c>
      <c r="H55" s="21">
        <f t="shared" ref="H55:V55" si="27">(H54+H56)/2</f>
        <v>1</v>
      </c>
      <c r="I55" s="21">
        <f t="shared" si="27"/>
        <v>0.10462839119997258</v>
      </c>
      <c r="J55" s="22">
        <f t="shared" si="27"/>
        <v>2.2875886255105563E-2</v>
      </c>
      <c r="K55" s="23">
        <f t="shared" si="27"/>
        <v>3.3856259462472726E-2</v>
      </c>
      <c r="L55" s="22">
        <f t="shared" si="27"/>
        <v>0.1350366409399395</v>
      </c>
      <c r="M55" s="22">
        <f t="shared" si="27"/>
        <v>9.1911308057696928E-2</v>
      </c>
      <c r="N55" s="21">
        <f t="shared" si="27"/>
        <v>2.5260748434426616E-2</v>
      </c>
      <c r="O55" s="23">
        <f t="shared" si="27"/>
        <v>6.8622791059888361E-2</v>
      </c>
      <c r="P55" s="22">
        <f t="shared" si="27"/>
        <v>0.20474694792063469</v>
      </c>
      <c r="Q55" s="22">
        <f t="shared" si="27"/>
        <v>0.10295636845558337</v>
      </c>
      <c r="R55" s="22">
        <f t="shared" si="27"/>
        <v>2.7364935350772099E-2</v>
      </c>
      <c r="S55" s="22">
        <f t="shared" si="27"/>
        <v>8.0759111809045516E-3</v>
      </c>
      <c r="T55" s="22">
        <f t="shared" si="27"/>
        <v>6.8827376982956975E-2</v>
      </c>
      <c r="U55" s="22">
        <f t="shared" si="27"/>
        <v>7.3914484130118098E-3</v>
      </c>
      <c r="V55" s="23">
        <f t="shared" si="27"/>
        <v>9.8444986286634339E-2</v>
      </c>
    </row>
    <row r="56" spans="1:24" ht="15" customHeight="1">
      <c r="A56" s="86">
        <v>2050</v>
      </c>
      <c r="B56" s="72">
        <v>1</v>
      </c>
      <c r="C56" s="72">
        <v>0.13757035795892147</v>
      </c>
      <c r="D56" s="72">
        <v>0.20797604948481246</v>
      </c>
      <c r="E56" s="72">
        <v>0.11603305912701226</v>
      </c>
      <c r="F56" s="72">
        <v>0.53842053342925378</v>
      </c>
      <c r="G56" s="89">
        <v>242584.82451553459</v>
      </c>
      <c r="H56" s="21">
        <v>1</v>
      </c>
      <c r="I56" s="21">
        <v>8.6250221080617889E-2</v>
      </c>
      <c r="J56" s="22">
        <v>2.0768988000677859E-2</v>
      </c>
      <c r="K56" s="23">
        <v>3.0551148877625747E-2</v>
      </c>
      <c r="L56" s="22">
        <v>0.1178630676207393</v>
      </c>
      <c r="M56" s="22">
        <v>9.0112981864073169E-2</v>
      </c>
      <c r="N56" s="21">
        <v>2.8887697695918497E-2</v>
      </c>
      <c r="O56" s="23">
        <v>8.7145361431093762E-2</v>
      </c>
      <c r="P56" s="22">
        <v>0.21608988080241931</v>
      </c>
      <c r="Q56" s="22">
        <v>0.11769899030492577</v>
      </c>
      <c r="R56" s="22">
        <v>2.112133292342832E-2</v>
      </c>
      <c r="S56" s="22">
        <v>7.0886023698324809E-3</v>
      </c>
      <c r="T56" s="22">
        <v>7.1297450066708568E-2</v>
      </c>
      <c r="U56" s="22">
        <v>7.2944341988187E-3</v>
      </c>
      <c r="V56" s="23">
        <v>9.7829842763120553E-2</v>
      </c>
    </row>
    <row r="57" spans="1:24" ht="15" customHeight="1">
      <c r="A57" s="86">
        <v>2060</v>
      </c>
      <c r="B57" s="72">
        <f>(B56+B58)/2</f>
        <v>1</v>
      </c>
      <c r="C57" s="72">
        <f>(C56+C58)/2</f>
        <v>0.12790655605583026</v>
      </c>
      <c r="D57" s="72">
        <f>(D56+D58)/2</f>
        <v>0.20845510910102683</v>
      </c>
      <c r="E57" s="72">
        <f>(E56+E58)/2</f>
        <v>0.13380894126346449</v>
      </c>
      <c r="F57" s="72">
        <f>(F56+F58)/2</f>
        <v>0.5298293935796784</v>
      </c>
      <c r="G57" s="89">
        <f t="shared" si="26"/>
        <v>292640.9768692471</v>
      </c>
      <c r="H57" s="21">
        <f t="shared" ref="H57:V57" si="28">(H56+H58)/2</f>
        <v>1</v>
      </c>
      <c r="I57" s="21">
        <f t="shared" si="28"/>
        <v>8.1205907853943271E-2</v>
      </c>
      <c r="J57" s="22">
        <f t="shared" si="28"/>
        <v>1.887331749675876E-2</v>
      </c>
      <c r="K57" s="23">
        <f t="shared" si="28"/>
        <v>2.7827330705128231E-2</v>
      </c>
      <c r="L57" s="22">
        <f t="shared" si="28"/>
        <v>0.11636977241731009</v>
      </c>
      <c r="M57" s="22">
        <f t="shared" si="28"/>
        <v>9.208533668371674E-2</v>
      </c>
      <c r="N57" s="21">
        <f t="shared" si="28"/>
        <v>2.9751016609189933E-2</v>
      </c>
      <c r="O57" s="23">
        <f t="shared" si="28"/>
        <v>0.10405792465427456</v>
      </c>
      <c r="P57" s="22">
        <f t="shared" si="28"/>
        <v>0.19756226097192597</v>
      </c>
      <c r="Q57" s="22">
        <f t="shared" si="28"/>
        <v>0.12134313777602448</v>
      </c>
      <c r="R57" s="22">
        <f t="shared" si="28"/>
        <v>1.9139202771559526E-2</v>
      </c>
      <c r="S57" s="22">
        <f t="shared" si="28"/>
        <v>6.9491340155505964E-3</v>
      </c>
      <c r="T57" s="22">
        <f t="shared" si="28"/>
        <v>7.656270630181386E-2</v>
      </c>
      <c r="U57" s="22">
        <f t="shared" si="28"/>
        <v>7.5233054091898054E-3</v>
      </c>
      <c r="V57" s="23">
        <f t="shared" si="28"/>
        <v>0.10074964633361413</v>
      </c>
    </row>
    <row r="58" spans="1:24" ht="15" customHeight="1">
      <c r="A58" s="86">
        <v>2070</v>
      </c>
      <c r="B58" s="72">
        <v>1</v>
      </c>
      <c r="C58" s="72">
        <v>0.11824275415273904</v>
      </c>
      <c r="D58" s="72">
        <v>0.20893416871724121</v>
      </c>
      <c r="E58" s="72">
        <v>0.15158482339991672</v>
      </c>
      <c r="F58" s="72">
        <v>0.52123825373010302</v>
      </c>
      <c r="G58" s="56">
        <v>342697.12922295957</v>
      </c>
      <c r="H58" s="21">
        <v>1</v>
      </c>
      <c r="I58" s="21">
        <v>7.6161594627268653E-2</v>
      </c>
      <c r="J58" s="22">
        <v>1.6977646992839664E-2</v>
      </c>
      <c r="K58" s="23">
        <v>2.5103512532630712E-2</v>
      </c>
      <c r="L58" s="22">
        <v>0.11487647721388089</v>
      </c>
      <c r="M58" s="22">
        <v>9.4057691503360311E-2</v>
      </c>
      <c r="N58" s="21">
        <v>3.0614335522461365E-2</v>
      </c>
      <c r="O58" s="23">
        <v>0.12097048787745536</v>
      </c>
      <c r="P58" s="22">
        <v>0.17903464114143264</v>
      </c>
      <c r="Q58" s="22">
        <v>0.1249872852471232</v>
      </c>
      <c r="R58" s="22">
        <v>1.7157072619690735E-2</v>
      </c>
      <c r="S58" s="22">
        <v>6.8096656612687111E-3</v>
      </c>
      <c r="T58" s="22">
        <v>8.1827962536919152E-2</v>
      </c>
      <c r="U58" s="22">
        <v>7.7521766195609108E-3</v>
      </c>
      <c r="V58" s="23">
        <v>0.1036694499041077</v>
      </c>
    </row>
    <row r="59" spans="1:24" ht="15" customHeight="1">
      <c r="A59" s="86">
        <v>2080</v>
      </c>
      <c r="B59" s="72">
        <f t="shared" ref="B59:K60" si="29">B58+(B$61-B$58)/3</f>
        <v>1</v>
      </c>
      <c r="C59" s="72">
        <f t="shared" si="29"/>
        <v>0.11602606156163388</v>
      </c>
      <c r="D59" s="72">
        <f t="shared" si="29"/>
        <v>0.20948208960721579</v>
      </c>
      <c r="E59" s="72">
        <f t="shared" si="29"/>
        <v>0.16582004118053534</v>
      </c>
      <c r="F59" s="72">
        <f t="shared" si="29"/>
        <v>0.50867180765061493</v>
      </c>
      <c r="G59" s="89">
        <f t="shared" si="29"/>
        <v>398851.73565410735</v>
      </c>
      <c r="H59" s="21">
        <f t="shared" si="29"/>
        <v>1</v>
      </c>
      <c r="I59" s="21">
        <f t="shared" si="29"/>
        <v>7.5349510463425695E-2</v>
      </c>
      <c r="J59" s="22">
        <f t="shared" si="29"/>
        <v>1.6327844794804976E-2</v>
      </c>
      <c r="K59" s="23">
        <f t="shared" si="29"/>
        <v>2.4348706303403203E-2</v>
      </c>
      <c r="L59" s="22">
        <f t="shared" ref="L59:U60" si="30">L58+(L$61-L$58)/3</f>
        <v>0.11646417094712382</v>
      </c>
      <c r="M59" s="22">
        <f t="shared" si="30"/>
        <v>9.3017918660091958E-2</v>
      </c>
      <c r="N59" s="21">
        <f t="shared" si="30"/>
        <v>3.0317301672125256E-2</v>
      </c>
      <c r="O59" s="23">
        <f t="shared" si="30"/>
        <v>0.1355027395084101</v>
      </c>
      <c r="P59" s="22">
        <f t="shared" si="30"/>
        <v>0.16718552246342255</v>
      </c>
      <c r="Q59" s="22">
        <f t="shared" si="30"/>
        <v>0.12296392529574984</v>
      </c>
      <c r="R59" s="22">
        <f t="shared" si="30"/>
        <v>1.6542153107759659E-2</v>
      </c>
      <c r="S59" s="22">
        <f t="shared" si="30"/>
        <v>6.8596746209490921E-3</v>
      </c>
      <c r="T59" s="22">
        <f t="shared" si="30"/>
        <v>8.4448191335498995E-2</v>
      </c>
      <c r="U59" s="22">
        <f t="shared" si="30"/>
        <v>7.7934949573333469E-3</v>
      </c>
      <c r="V59" s="23">
        <f>V58+(V$61-V$58)/3</f>
        <v>0.10287884586990145</v>
      </c>
    </row>
    <row r="60" spans="1:24" ht="15" customHeight="1">
      <c r="A60" s="86">
        <v>2090</v>
      </c>
      <c r="B60" s="72">
        <f t="shared" si="29"/>
        <v>1</v>
      </c>
      <c r="C60" s="72">
        <f t="shared" si="29"/>
        <v>0.11380936897052872</v>
      </c>
      <c r="D60" s="72">
        <f t="shared" si="29"/>
        <v>0.21003001049719036</v>
      </c>
      <c r="E60" s="72">
        <f t="shared" si="29"/>
        <v>0.18005525896115396</v>
      </c>
      <c r="F60" s="72">
        <f t="shared" si="29"/>
        <v>0.49610536157112683</v>
      </c>
      <c r="G60" s="89">
        <f t="shared" si="29"/>
        <v>455006.34208525514</v>
      </c>
      <c r="H60" s="21">
        <f t="shared" si="29"/>
        <v>1</v>
      </c>
      <c r="I60" s="21">
        <f t="shared" si="29"/>
        <v>7.4537426299582737E-2</v>
      </c>
      <c r="J60" s="22">
        <f t="shared" si="29"/>
        <v>1.5678042596770289E-2</v>
      </c>
      <c r="K60" s="23">
        <f t="shared" si="29"/>
        <v>2.3593900074175694E-2</v>
      </c>
      <c r="L60" s="22">
        <f t="shared" si="30"/>
        <v>0.11805186468036674</v>
      </c>
      <c r="M60" s="22">
        <f t="shared" si="30"/>
        <v>9.1978145816823606E-2</v>
      </c>
      <c r="N60" s="21">
        <f t="shared" si="30"/>
        <v>3.0020267821789147E-2</v>
      </c>
      <c r="O60" s="23">
        <f t="shared" si="30"/>
        <v>0.15003499113936483</v>
      </c>
      <c r="P60" s="22">
        <f t="shared" si="30"/>
        <v>0.15533640378541247</v>
      </c>
      <c r="Q60" s="22">
        <f t="shared" si="30"/>
        <v>0.12094056534437649</v>
      </c>
      <c r="R60" s="22">
        <f t="shared" si="30"/>
        <v>1.5927233595828587E-2</v>
      </c>
      <c r="S60" s="22">
        <f t="shared" si="30"/>
        <v>6.9096835806294731E-3</v>
      </c>
      <c r="T60" s="22">
        <f t="shared" si="30"/>
        <v>8.7068420134078839E-2</v>
      </c>
      <c r="U60" s="22">
        <f t="shared" si="30"/>
        <v>7.8348132951057831E-3</v>
      </c>
      <c r="V60" s="23">
        <f>V59+(V$61-V$58)/3</f>
        <v>0.1020882418356952</v>
      </c>
    </row>
    <row r="61" spans="1:24" ht="15" customHeight="1" thickBot="1">
      <c r="A61" s="87">
        <v>2100</v>
      </c>
      <c r="B61" s="73">
        <v>1</v>
      </c>
      <c r="C61" s="73">
        <v>0.11159267637942358</v>
      </c>
      <c r="D61" s="73">
        <v>0.21057793138716496</v>
      </c>
      <c r="E61" s="73">
        <v>0.19429047674177261</v>
      </c>
      <c r="F61" s="73">
        <v>0.4835389154916388</v>
      </c>
      <c r="G61" s="89">
        <v>511160.94851640298</v>
      </c>
      <c r="H61" s="24">
        <v>1</v>
      </c>
      <c r="I61" s="24">
        <v>7.3725342135739794E-2</v>
      </c>
      <c r="J61" s="25">
        <v>1.5028240398735598E-2</v>
      </c>
      <c r="K61" s="26">
        <v>2.2839093844948189E-2</v>
      </c>
      <c r="L61" s="25">
        <v>0.11963955841360968</v>
      </c>
      <c r="M61" s="25">
        <v>9.0938372973555268E-2</v>
      </c>
      <c r="N61" s="24">
        <v>2.9723233971453038E-2</v>
      </c>
      <c r="O61" s="26">
        <v>0.16456724277031956</v>
      </c>
      <c r="P61" s="25">
        <v>0.14348728510740241</v>
      </c>
      <c r="Q61" s="25">
        <v>0.11891720539300314</v>
      </c>
      <c r="R61" s="25">
        <v>1.5312314083897513E-2</v>
      </c>
      <c r="S61" s="25">
        <v>6.9596925403098541E-3</v>
      </c>
      <c r="T61" s="25">
        <v>8.9688648932658696E-2</v>
      </c>
      <c r="U61" s="25">
        <v>7.8761316328782183E-3</v>
      </c>
      <c r="V61" s="26">
        <v>0.10129763780148894</v>
      </c>
    </row>
    <row r="62" spans="1:24" ht="34.799999999999997" customHeight="1" thickTop="1">
      <c r="H62" s="90" t="s">
        <v>129</v>
      </c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2"/>
      <c r="W62" s="67"/>
      <c r="X62" s="67"/>
    </row>
    <row r="63" spans="1:24" ht="15" customHeight="1">
      <c r="H63" s="93" t="s">
        <v>64</v>
      </c>
      <c r="I63" s="22">
        <v>0.1</v>
      </c>
      <c r="J63" s="22">
        <v>0.1</v>
      </c>
      <c r="K63" s="22">
        <v>0.1</v>
      </c>
      <c r="L63" s="22">
        <v>0.1</v>
      </c>
      <c r="M63" s="22">
        <v>0.2</v>
      </c>
      <c r="N63" s="22">
        <v>0.2</v>
      </c>
      <c r="O63" s="22">
        <v>0.2</v>
      </c>
      <c r="P63" s="22">
        <v>0.3</v>
      </c>
      <c r="Q63" s="22">
        <v>0.2</v>
      </c>
      <c r="R63" s="22">
        <v>0.1</v>
      </c>
      <c r="S63" s="22">
        <v>0.1</v>
      </c>
      <c r="T63" s="22">
        <v>0.2</v>
      </c>
      <c r="U63" s="22">
        <v>0.2</v>
      </c>
      <c r="V63" s="23">
        <v>0.2</v>
      </c>
    </row>
    <row r="64" spans="1:24" ht="15" customHeight="1">
      <c r="H64" s="93" t="s">
        <v>65</v>
      </c>
      <c r="I64" s="22">
        <v>0.1</v>
      </c>
      <c r="J64" s="22">
        <v>0.1</v>
      </c>
      <c r="K64" s="22">
        <v>0.1</v>
      </c>
      <c r="L64" s="22">
        <v>0.1</v>
      </c>
      <c r="M64" s="22">
        <v>0.2</v>
      </c>
      <c r="N64" s="22">
        <v>0.2</v>
      </c>
      <c r="O64" s="22">
        <v>0.2</v>
      </c>
      <c r="P64" s="22">
        <v>0.3</v>
      </c>
      <c r="Q64" s="22">
        <v>0.2</v>
      </c>
      <c r="R64" s="22">
        <v>0.1</v>
      </c>
      <c r="S64" s="22">
        <v>0.1</v>
      </c>
      <c r="T64" s="22">
        <v>0.2</v>
      </c>
      <c r="U64" s="22">
        <v>0.2</v>
      </c>
      <c r="V64" s="23">
        <v>0.2</v>
      </c>
    </row>
    <row r="65" spans="1:22" ht="15" customHeight="1">
      <c r="H65" s="93" t="s">
        <v>66</v>
      </c>
      <c r="I65" s="22">
        <v>0.1</v>
      </c>
      <c r="J65" s="22">
        <v>0.1</v>
      </c>
      <c r="K65" s="22">
        <v>0.1</v>
      </c>
      <c r="L65" s="22">
        <v>0.1</v>
      </c>
      <c r="M65" s="22">
        <v>0.2</v>
      </c>
      <c r="N65" s="22">
        <v>0.2</v>
      </c>
      <c r="O65" s="22">
        <v>0.2</v>
      </c>
      <c r="P65" s="22">
        <v>0.3</v>
      </c>
      <c r="Q65" s="22">
        <v>0.2</v>
      </c>
      <c r="R65" s="22">
        <v>0.1</v>
      </c>
      <c r="S65" s="22">
        <v>0.1</v>
      </c>
      <c r="T65" s="22">
        <v>0.2</v>
      </c>
      <c r="U65" s="22">
        <v>0.2</v>
      </c>
      <c r="V65" s="23">
        <v>0.2</v>
      </c>
    </row>
    <row r="66" spans="1:22" ht="15" customHeight="1">
      <c r="H66" s="93" t="s">
        <v>67</v>
      </c>
      <c r="I66" s="22">
        <v>0.1</v>
      </c>
      <c r="J66" s="22">
        <v>0.1</v>
      </c>
      <c r="K66" s="22">
        <v>0.1</v>
      </c>
      <c r="L66" s="22">
        <v>0.1</v>
      </c>
      <c r="M66" s="22">
        <v>0.2</v>
      </c>
      <c r="N66" s="22">
        <v>0.2</v>
      </c>
      <c r="O66" s="22">
        <v>0.2</v>
      </c>
      <c r="P66" s="22">
        <v>0.25</v>
      </c>
      <c r="Q66" s="22">
        <v>0.2</v>
      </c>
      <c r="R66" s="22">
        <v>0.1</v>
      </c>
      <c r="S66" s="22">
        <v>0.1</v>
      </c>
      <c r="T66" s="22">
        <v>0.2</v>
      </c>
      <c r="U66" s="22">
        <v>0.2</v>
      </c>
      <c r="V66" s="23">
        <v>0.2</v>
      </c>
    </row>
    <row r="67" spans="1:22" ht="15" customHeight="1">
      <c r="H67" s="93" t="s">
        <v>68</v>
      </c>
      <c r="I67" s="22">
        <v>0.1</v>
      </c>
      <c r="J67" s="22">
        <v>0.1</v>
      </c>
      <c r="K67" s="22">
        <v>0.1</v>
      </c>
      <c r="L67" s="22">
        <v>0.1</v>
      </c>
      <c r="M67" s="22">
        <v>0.2</v>
      </c>
      <c r="N67" s="22">
        <v>0.2</v>
      </c>
      <c r="O67" s="22">
        <v>0.2</v>
      </c>
      <c r="P67" s="22">
        <v>0.15</v>
      </c>
      <c r="Q67" s="22">
        <v>0.15</v>
      </c>
      <c r="R67" s="22">
        <v>0.1</v>
      </c>
      <c r="S67" s="22">
        <v>0.1</v>
      </c>
      <c r="T67" s="22">
        <v>0.2</v>
      </c>
      <c r="U67" s="22">
        <v>0.2</v>
      </c>
      <c r="V67" s="23">
        <v>0.2</v>
      </c>
    </row>
    <row r="68" spans="1:22" ht="15" customHeight="1">
      <c r="H68" s="93" t="s">
        <v>69</v>
      </c>
      <c r="I68" s="22">
        <v>0.1</v>
      </c>
      <c r="J68" s="22">
        <v>0.1</v>
      </c>
      <c r="K68" s="22">
        <v>0.1</v>
      </c>
      <c r="L68" s="22">
        <v>0.1</v>
      </c>
      <c r="M68" s="22">
        <v>0.1</v>
      </c>
      <c r="N68" s="22">
        <v>0.1</v>
      </c>
      <c r="O68" s="22">
        <v>0.15</v>
      </c>
      <c r="P68" s="22">
        <v>0.1</v>
      </c>
      <c r="Q68" s="22">
        <v>0.1</v>
      </c>
      <c r="R68" s="22">
        <v>0.1</v>
      </c>
      <c r="S68" s="22">
        <v>0.1</v>
      </c>
      <c r="T68" s="22">
        <v>0.1</v>
      </c>
      <c r="U68" s="22">
        <v>0.1</v>
      </c>
      <c r="V68" s="23">
        <v>0.1</v>
      </c>
    </row>
    <row r="69" spans="1:22" ht="15" customHeight="1">
      <c r="H69" s="93" t="s">
        <v>70</v>
      </c>
      <c r="I69" s="22">
        <v>0.1</v>
      </c>
      <c r="J69" s="22">
        <v>0.1</v>
      </c>
      <c r="K69" s="22">
        <v>0.1</v>
      </c>
      <c r="L69" s="22">
        <v>0.1</v>
      </c>
      <c r="M69" s="22">
        <v>0.1</v>
      </c>
      <c r="N69" s="22">
        <v>0.1</v>
      </c>
      <c r="O69" s="22">
        <v>0.15</v>
      </c>
      <c r="P69" s="22">
        <v>0.1</v>
      </c>
      <c r="Q69" s="22">
        <v>0.1</v>
      </c>
      <c r="R69" s="22">
        <v>0.1</v>
      </c>
      <c r="S69" s="22">
        <v>0.1</v>
      </c>
      <c r="T69" s="22">
        <v>0.1</v>
      </c>
      <c r="U69" s="22">
        <v>0.1</v>
      </c>
      <c r="V69" s="23">
        <v>0.1</v>
      </c>
    </row>
    <row r="70" spans="1:22" ht="15" customHeight="1">
      <c r="H70" s="93" t="s">
        <v>71</v>
      </c>
      <c r="I70" s="22">
        <v>0.1</v>
      </c>
      <c r="J70" s="22">
        <v>0.1</v>
      </c>
      <c r="K70" s="22">
        <v>0.1</v>
      </c>
      <c r="L70" s="22">
        <v>0.1</v>
      </c>
      <c r="M70" s="22">
        <v>0.1</v>
      </c>
      <c r="N70" s="22">
        <v>0.1</v>
      </c>
      <c r="O70" s="22">
        <v>0.1</v>
      </c>
      <c r="P70" s="22">
        <v>0.1</v>
      </c>
      <c r="Q70" s="22">
        <v>0.1</v>
      </c>
      <c r="R70" s="22">
        <v>0.1</v>
      </c>
      <c r="S70" s="22">
        <v>0.1</v>
      </c>
      <c r="T70" s="22">
        <v>0.1</v>
      </c>
      <c r="U70" s="22">
        <v>0.1</v>
      </c>
      <c r="V70" s="23">
        <v>0.1</v>
      </c>
    </row>
    <row r="71" spans="1:22" ht="15" customHeight="1" thickBot="1">
      <c r="H71" s="94" t="s">
        <v>72</v>
      </c>
      <c r="I71" s="25">
        <v>0.1</v>
      </c>
      <c r="J71" s="25">
        <v>0.1</v>
      </c>
      <c r="K71" s="25">
        <v>0.1</v>
      </c>
      <c r="L71" s="25">
        <v>0.1</v>
      </c>
      <c r="M71" s="25">
        <v>0.1</v>
      </c>
      <c r="N71" s="25">
        <v>0.1</v>
      </c>
      <c r="O71" s="25">
        <v>0.1</v>
      </c>
      <c r="P71" s="25">
        <v>0.1</v>
      </c>
      <c r="Q71" s="25">
        <v>0.1</v>
      </c>
      <c r="R71" s="25">
        <v>0.1</v>
      </c>
      <c r="S71" s="25">
        <v>0.1</v>
      </c>
      <c r="T71" s="25">
        <v>0.1</v>
      </c>
      <c r="U71" s="25">
        <v>0.1</v>
      </c>
      <c r="V71" s="26">
        <v>0.1</v>
      </c>
    </row>
    <row r="72" spans="1:22" ht="15" customHeight="1" thickTop="1"/>
    <row r="73" spans="1:22" ht="15" customHeight="1">
      <c r="A73" s="14" t="s">
        <v>128</v>
      </c>
    </row>
    <row r="74" spans="1:22" ht="15" customHeight="1">
      <c r="A74" s="14" t="s">
        <v>127</v>
      </c>
    </row>
    <row r="75" spans="1:22" ht="15" customHeight="1" thickBot="1"/>
    <row r="76" spans="1:22" ht="15" customHeight="1" thickTop="1">
      <c r="A76" s="153" t="s">
        <v>138</v>
      </c>
      <c r="B76" s="154"/>
      <c r="C76" s="154"/>
      <c r="D76" s="154"/>
      <c r="E76" s="154"/>
      <c r="F76" s="155"/>
    </row>
    <row r="77" spans="1:22" ht="15" customHeight="1">
      <c r="A77" s="156"/>
      <c r="B77" s="157"/>
      <c r="C77" s="157"/>
      <c r="D77" s="157"/>
      <c r="E77" s="157"/>
      <c r="F77" s="158"/>
    </row>
    <row r="78" spans="1:22" ht="15" customHeight="1" thickBot="1">
      <c r="A78" s="159"/>
      <c r="B78" s="160"/>
      <c r="C78" s="160"/>
      <c r="D78" s="160"/>
      <c r="E78" s="160"/>
      <c r="F78" s="161"/>
    </row>
    <row r="79" spans="1:22" ht="15" customHeight="1" thickTop="1" thickBot="1"/>
    <row r="80" spans="1:22" ht="49.8" customHeight="1" thickTop="1" thickBot="1">
      <c r="A80" s="95" t="s">
        <v>137</v>
      </c>
      <c r="B80" s="82" t="s">
        <v>2</v>
      </c>
      <c r="C80" s="81" t="s">
        <v>0</v>
      </c>
      <c r="D80" s="75" t="s">
        <v>109</v>
      </c>
      <c r="E80" s="75" t="s">
        <v>110</v>
      </c>
      <c r="F80" s="76" t="s">
        <v>111</v>
      </c>
      <c r="H80" s="11" t="s">
        <v>2</v>
      </c>
      <c r="I80" s="11" t="s">
        <v>112</v>
      </c>
      <c r="J80" s="9" t="s">
        <v>113</v>
      </c>
      <c r="K80" s="10" t="s">
        <v>114</v>
      </c>
      <c r="L80" s="12" t="s">
        <v>115</v>
      </c>
      <c r="M80" s="10" t="s">
        <v>116</v>
      </c>
      <c r="N80" s="11" t="s">
        <v>117</v>
      </c>
      <c r="O80" s="10" t="s">
        <v>118</v>
      </c>
      <c r="P80" s="12" t="s">
        <v>119</v>
      </c>
      <c r="Q80" s="13" t="s">
        <v>120</v>
      </c>
      <c r="R80" s="13" t="s">
        <v>105</v>
      </c>
      <c r="S80" s="13" t="s">
        <v>121</v>
      </c>
      <c r="T80" s="13" t="s">
        <v>122</v>
      </c>
      <c r="U80" s="13" t="s">
        <v>123</v>
      </c>
      <c r="V80" s="10" t="s">
        <v>124</v>
      </c>
    </row>
    <row r="81" spans="1:22" ht="15" customHeight="1" thickTop="1">
      <c r="A81" s="77">
        <v>1870</v>
      </c>
      <c r="B81" s="71">
        <f>B8</f>
        <v>4.4695293333891382</v>
      </c>
      <c r="C81" s="71">
        <f t="shared" ref="C81:F104" si="31">C8*C38</f>
        <v>2.6651538344282288</v>
      </c>
      <c r="D81" s="71">
        <f t="shared" si="31"/>
        <v>0.48112567920886384</v>
      </c>
      <c r="E81" s="71">
        <f t="shared" si="31"/>
        <v>9.1190097703589046E-2</v>
      </c>
      <c r="F81" s="71">
        <f t="shared" si="31"/>
        <v>1.232059722048457</v>
      </c>
      <c r="H81" s="83">
        <f>H8*H38</f>
        <v>4.4695293333891382</v>
      </c>
      <c r="I81" s="84">
        <f t="shared" ref="I81:V81" si="32">I8*I38</f>
        <v>2.321626871526083</v>
      </c>
      <c r="J81" s="84">
        <f t="shared" si="32"/>
        <v>0.15288289470800209</v>
      </c>
      <c r="K81" s="84">
        <f t="shared" si="32"/>
        <v>0.19064406819414356</v>
      </c>
      <c r="L81" s="84">
        <f t="shared" si="32"/>
        <v>0.41042856501293218</v>
      </c>
      <c r="M81" s="84">
        <f t="shared" si="32"/>
        <v>7.0697114195931679E-2</v>
      </c>
      <c r="N81" s="84">
        <f t="shared" si="32"/>
        <v>2.7017053515471498E-2</v>
      </c>
      <c r="O81" s="84">
        <f t="shared" si="32"/>
        <v>6.4173044188117534E-2</v>
      </c>
      <c r="P81" s="84">
        <f t="shared" si="32"/>
        <v>0.5073514531540223</v>
      </c>
      <c r="Q81" s="84">
        <f t="shared" si="32"/>
        <v>0.3517570784136913</v>
      </c>
      <c r="R81" s="84">
        <f t="shared" si="32"/>
        <v>0.1406273570390624</v>
      </c>
      <c r="S81" s="84">
        <f t="shared" si="32"/>
        <v>1.5553591814929596E-2</v>
      </c>
      <c r="T81" s="84">
        <f t="shared" si="32"/>
        <v>7.1775591286916948E-2</v>
      </c>
      <c r="U81" s="84">
        <f t="shared" si="32"/>
        <v>3.2300194903475229E-2</v>
      </c>
      <c r="V81" s="85">
        <f t="shared" si="32"/>
        <v>0.11269445543635932</v>
      </c>
    </row>
    <row r="82" spans="1:22" ht="15" customHeight="1">
      <c r="A82" s="78">
        <v>1880</v>
      </c>
      <c r="B82" s="72">
        <f t="shared" ref="B82:B104" si="33">B9</f>
        <v>4.6449412278256448</v>
      </c>
      <c r="C82" s="72">
        <f t="shared" si="31"/>
        <v>2.6881177887484622</v>
      </c>
      <c r="D82" s="72">
        <f t="shared" si="31"/>
        <v>0.73927320033507515</v>
      </c>
      <c r="E82" s="72">
        <f t="shared" si="31"/>
        <v>9.4450843692964803E-2</v>
      </c>
      <c r="F82" s="72">
        <f t="shared" si="31"/>
        <v>1.1230993950491426</v>
      </c>
      <c r="H82" s="21">
        <f t="shared" ref="H82:V82" si="34">H9*H39</f>
        <v>4.6449412278256448</v>
      </c>
      <c r="I82" s="22">
        <f t="shared" si="34"/>
        <v>2.2948749219640763</v>
      </c>
      <c r="J82" s="22">
        <f t="shared" si="34"/>
        <v>0.17331361281248975</v>
      </c>
      <c r="K82" s="22">
        <f t="shared" si="34"/>
        <v>0.21992925397189597</v>
      </c>
      <c r="L82" s="22">
        <f t="shared" si="34"/>
        <v>0.63209318166426176</v>
      </c>
      <c r="M82" s="22">
        <f t="shared" si="34"/>
        <v>0.10718001867081335</v>
      </c>
      <c r="N82" s="22">
        <f t="shared" si="34"/>
        <v>2.7911008929536671E-2</v>
      </c>
      <c r="O82" s="22">
        <f t="shared" si="34"/>
        <v>6.6539834763428132E-2</v>
      </c>
      <c r="P82" s="22">
        <f t="shared" si="34"/>
        <v>0.4170339018750176</v>
      </c>
      <c r="Q82" s="22">
        <f t="shared" si="34"/>
        <v>0.30787534442276304</v>
      </c>
      <c r="R82" s="22">
        <f t="shared" si="34"/>
        <v>0.15100767373203178</v>
      </c>
      <c r="S82" s="22">
        <f t="shared" si="34"/>
        <v>2.4067464457062013E-2</v>
      </c>
      <c r="T82" s="22">
        <f t="shared" si="34"/>
        <v>6.7442717251420634E-2</v>
      </c>
      <c r="U82" s="22">
        <f t="shared" si="34"/>
        <v>3.7261887220293617E-2</v>
      </c>
      <c r="V82" s="23">
        <f t="shared" si="34"/>
        <v>0.11841040609055407</v>
      </c>
    </row>
    <row r="83" spans="1:22" ht="15" customHeight="1">
      <c r="A83" s="78">
        <v>1890</v>
      </c>
      <c r="B83" s="72">
        <f t="shared" si="33"/>
        <v>4.7346276188001859</v>
      </c>
      <c r="C83" s="72">
        <f t="shared" si="31"/>
        <v>2.6203684153207476</v>
      </c>
      <c r="D83" s="72">
        <f t="shared" si="31"/>
        <v>0.80647771084259512</v>
      </c>
      <c r="E83" s="72">
        <f t="shared" si="31"/>
        <v>0.10990581133253788</v>
      </c>
      <c r="F83" s="72">
        <f t="shared" si="31"/>
        <v>1.1978756813043054</v>
      </c>
      <c r="H83" s="21">
        <f t="shared" ref="H83:V83" si="35">H10*H40</f>
        <v>4.734627618800185</v>
      </c>
      <c r="I83" s="22">
        <f t="shared" si="35"/>
        <v>2.196876097245255</v>
      </c>
      <c r="J83" s="22">
        <f t="shared" si="35"/>
        <v>0.18664542918268129</v>
      </c>
      <c r="K83" s="22">
        <f t="shared" si="35"/>
        <v>0.23684688889281102</v>
      </c>
      <c r="L83" s="22">
        <f t="shared" si="35"/>
        <v>0.69105307535094995</v>
      </c>
      <c r="M83" s="22">
        <f t="shared" si="35"/>
        <v>0.11542463549164515</v>
      </c>
      <c r="N83" s="22">
        <f t="shared" si="35"/>
        <v>3.005800961642411E-2</v>
      </c>
      <c r="O83" s="22">
        <f t="shared" si="35"/>
        <v>7.9847801716113762E-2</v>
      </c>
      <c r="P83" s="22">
        <f t="shared" si="35"/>
        <v>0.44911343278848048</v>
      </c>
      <c r="Q83" s="22">
        <f t="shared" si="35"/>
        <v>0.33155806322451409</v>
      </c>
      <c r="R83" s="22">
        <f t="shared" si="35"/>
        <v>0.15100767373203178</v>
      </c>
      <c r="S83" s="22">
        <f t="shared" si="35"/>
        <v>2.5918807876836016E-2</v>
      </c>
      <c r="T83" s="22">
        <f t="shared" si="35"/>
        <v>7.2630618578453002E-2</v>
      </c>
      <c r="U83" s="22">
        <f t="shared" si="35"/>
        <v>4.012818623723928E-2</v>
      </c>
      <c r="V83" s="23">
        <f t="shared" si="35"/>
        <v>0.12751889886675055</v>
      </c>
    </row>
    <row r="84" spans="1:22" ht="15" customHeight="1">
      <c r="A84" s="78">
        <v>1900</v>
      </c>
      <c r="B84" s="72">
        <f t="shared" si="33"/>
        <v>4.8877881889200472</v>
      </c>
      <c r="C84" s="72">
        <f t="shared" si="31"/>
        <v>2.718312118073074</v>
      </c>
      <c r="D84" s="72">
        <f t="shared" si="31"/>
        <v>0.77146332431539444</v>
      </c>
      <c r="E84" s="72">
        <f t="shared" si="31"/>
        <v>0.12536077897211093</v>
      </c>
      <c r="F84" s="72">
        <f t="shared" si="31"/>
        <v>1.2726519675594676</v>
      </c>
      <c r="H84" s="21">
        <f t="shared" ref="H84:V84" si="36">H11*H41</f>
        <v>4.8877881889200481</v>
      </c>
      <c r="I84" s="22">
        <f t="shared" si="36"/>
        <v>2.2645703487064752</v>
      </c>
      <c r="J84" s="22">
        <f t="shared" si="36"/>
        <v>0.1999772455528728</v>
      </c>
      <c r="K84" s="22">
        <f t="shared" si="36"/>
        <v>0.25376452381372611</v>
      </c>
      <c r="L84" s="22">
        <f t="shared" si="36"/>
        <v>0.6477940720029175</v>
      </c>
      <c r="M84" s="22">
        <f t="shared" si="36"/>
        <v>0.12366925231247694</v>
      </c>
      <c r="N84" s="22">
        <f t="shared" si="36"/>
        <v>3.2205010303311542E-2</v>
      </c>
      <c r="O84" s="22">
        <f t="shared" si="36"/>
        <v>9.3155768668799391E-2</v>
      </c>
      <c r="P84" s="22">
        <f t="shared" si="36"/>
        <v>0.48119296370194337</v>
      </c>
      <c r="Q84" s="22">
        <f t="shared" si="36"/>
        <v>0.35524078202626508</v>
      </c>
      <c r="R84" s="22">
        <f t="shared" si="36"/>
        <v>0.15100767373203178</v>
      </c>
      <c r="S84" s="22">
        <f t="shared" si="36"/>
        <v>2.7770151296610014E-2</v>
      </c>
      <c r="T84" s="22">
        <f t="shared" si="36"/>
        <v>7.7818519905485356E-2</v>
      </c>
      <c r="U84" s="22">
        <f t="shared" si="36"/>
        <v>4.2994485254184943E-2</v>
      </c>
      <c r="V84" s="23">
        <f t="shared" si="36"/>
        <v>0.13662739164294702</v>
      </c>
    </row>
    <row r="85" spans="1:22" ht="15" customHeight="1">
      <c r="A85" s="79">
        <v>1910</v>
      </c>
      <c r="B85" s="72">
        <f t="shared" si="33"/>
        <v>5.0191970518583506</v>
      </c>
      <c r="C85" s="72">
        <f t="shared" si="31"/>
        <v>2.7650927017152087</v>
      </c>
      <c r="D85" s="72">
        <f t="shared" si="31"/>
        <v>1.0378556860722996</v>
      </c>
      <c r="E85" s="72">
        <f t="shared" si="31"/>
        <v>0.11726266682650428</v>
      </c>
      <c r="F85" s="72">
        <f t="shared" si="31"/>
        <v>1.0989859972443379</v>
      </c>
      <c r="H85" s="21">
        <f t="shared" ref="H85:V85" si="37">H12*H42</f>
        <v>5.0191970518583506</v>
      </c>
      <c r="I85" s="22">
        <f t="shared" si="37"/>
        <v>2.2551462109359921</v>
      </c>
      <c r="J85" s="22">
        <f t="shared" si="37"/>
        <v>0.22277426423545918</v>
      </c>
      <c r="K85" s="22">
        <f t="shared" si="37"/>
        <v>0.28717222654375768</v>
      </c>
      <c r="L85" s="22">
        <f t="shared" si="37"/>
        <v>0.86829076673359107</v>
      </c>
      <c r="M85" s="22">
        <f t="shared" si="37"/>
        <v>0.1695649193387086</v>
      </c>
      <c r="N85" s="22">
        <f t="shared" si="37"/>
        <v>3.2681283959769297E-2</v>
      </c>
      <c r="O85" s="22">
        <f t="shared" si="37"/>
        <v>8.4581382866734972E-2</v>
      </c>
      <c r="P85" s="22">
        <f t="shared" si="37"/>
        <v>0.35007638502544947</v>
      </c>
      <c r="Q85" s="22">
        <f t="shared" si="37"/>
        <v>0.28883756377111031</v>
      </c>
      <c r="R85" s="22">
        <f t="shared" si="37"/>
        <v>0.16138799042500118</v>
      </c>
      <c r="S85" s="22">
        <f t="shared" si="37"/>
        <v>3.8504867012861904E-2</v>
      </c>
      <c r="T85" s="22">
        <f t="shared" si="37"/>
        <v>7.0312054082479494E-2</v>
      </c>
      <c r="U85" s="22">
        <f t="shared" si="37"/>
        <v>4.8654642004294237E-2</v>
      </c>
      <c r="V85" s="23">
        <f t="shared" si="37"/>
        <v>0.14121249492314117</v>
      </c>
    </row>
    <row r="86" spans="1:22" ht="15" customHeight="1">
      <c r="A86" s="79">
        <v>1920</v>
      </c>
      <c r="B86" s="72">
        <f t="shared" si="33"/>
        <v>3.5763476995524139</v>
      </c>
      <c r="C86" s="72">
        <f t="shared" si="31"/>
        <v>1.2283014756963249</v>
      </c>
      <c r="D86" s="72">
        <f t="shared" si="31"/>
        <v>1.2206465634201258</v>
      </c>
      <c r="E86" s="72">
        <f t="shared" si="31"/>
        <v>0.13578674699833196</v>
      </c>
      <c r="F86" s="72">
        <f t="shared" si="31"/>
        <v>0.99161291343763136</v>
      </c>
      <c r="H86" s="21">
        <f t="shared" ref="H86:V86" si="38">H13*H43</f>
        <v>3.5763476995524144</v>
      </c>
      <c r="I86" s="22">
        <f t="shared" si="38"/>
        <v>1.0566546044447782</v>
      </c>
      <c r="J86" s="22">
        <f t="shared" si="38"/>
        <v>9.5107971304824901E-2</v>
      </c>
      <c r="K86" s="22">
        <f t="shared" si="38"/>
        <v>7.6538899946721722E-2</v>
      </c>
      <c r="L86" s="22">
        <f t="shared" si="38"/>
        <v>0.98557104303068011</v>
      </c>
      <c r="M86" s="22">
        <f t="shared" si="38"/>
        <v>0.23507552038944571</v>
      </c>
      <c r="N86" s="22">
        <f t="shared" si="38"/>
        <v>3.4871314532120334E-2</v>
      </c>
      <c r="O86" s="22">
        <f t="shared" si="38"/>
        <v>0.10091543246621162</v>
      </c>
      <c r="P86" s="22">
        <f t="shared" si="38"/>
        <v>0.26661244151920094</v>
      </c>
      <c r="Q86" s="22">
        <f t="shared" si="38"/>
        <v>0.22543272296162972</v>
      </c>
      <c r="R86" s="22">
        <f t="shared" si="38"/>
        <v>0.17415599658270342</v>
      </c>
      <c r="S86" s="22">
        <f t="shared" si="38"/>
        <v>4.4328515206877805E-2</v>
      </c>
      <c r="T86" s="22">
        <f t="shared" si="38"/>
        <v>8.2619503293634849E-2</v>
      </c>
      <c r="U86" s="22">
        <f t="shared" si="38"/>
        <v>5.1870932243411813E-2</v>
      </c>
      <c r="V86" s="23">
        <f t="shared" si="38"/>
        <v>0.14659280163017296</v>
      </c>
    </row>
    <row r="87" spans="1:22" ht="15" customHeight="1">
      <c r="A87" s="79">
        <v>1930</v>
      </c>
      <c r="B87" s="72">
        <f t="shared" si="33"/>
        <v>3.6115868198132768</v>
      </c>
      <c r="C87" s="72">
        <f t="shared" si="31"/>
        <v>1.3597353649737083</v>
      </c>
      <c r="D87" s="72">
        <f t="shared" si="31"/>
        <v>1.3516805815652009</v>
      </c>
      <c r="E87" s="72">
        <f t="shared" si="31"/>
        <v>0.10184006024874898</v>
      </c>
      <c r="F87" s="72">
        <f t="shared" si="31"/>
        <v>0.79833081302561881</v>
      </c>
      <c r="H87" s="21">
        <f t="shared" ref="H87:V87" si="39">H14*H44</f>
        <v>3.6115868198132759</v>
      </c>
      <c r="I87" s="22">
        <f t="shared" si="39"/>
        <v>1.1880884937221616</v>
      </c>
      <c r="J87" s="22">
        <f t="shared" si="39"/>
        <v>9.5107971304824901E-2</v>
      </c>
      <c r="K87" s="22">
        <f t="shared" si="39"/>
        <v>7.6538899946721722E-2</v>
      </c>
      <c r="L87" s="22">
        <f t="shared" si="39"/>
        <v>1.1753739412731166</v>
      </c>
      <c r="M87" s="22">
        <f t="shared" si="39"/>
        <v>0.17630664029208429</v>
      </c>
      <c r="N87" s="22">
        <f t="shared" si="39"/>
        <v>2.6153485899090251E-2</v>
      </c>
      <c r="O87" s="22">
        <f t="shared" si="39"/>
        <v>7.5686574349658725E-2</v>
      </c>
      <c r="P87" s="22">
        <f t="shared" si="39"/>
        <v>0.1999593311394007</v>
      </c>
      <c r="Q87" s="22">
        <f t="shared" si="39"/>
        <v>0.16907454222122228</v>
      </c>
      <c r="R87" s="22">
        <f t="shared" si="39"/>
        <v>0.17415599658270342</v>
      </c>
      <c r="S87" s="22">
        <f t="shared" si="39"/>
        <v>4.4328515206877805E-2</v>
      </c>
      <c r="T87" s="22">
        <f t="shared" si="39"/>
        <v>6.1964627470226137E-2</v>
      </c>
      <c r="U87" s="22">
        <f t="shared" si="39"/>
        <v>3.8903199182558856E-2</v>
      </c>
      <c r="V87" s="23">
        <f t="shared" si="39"/>
        <v>0.10994460122262972</v>
      </c>
    </row>
    <row r="88" spans="1:22" ht="15" customHeight="1">
      <c r="A88" s="79">
        <v>1940</v>
      </c>
      <c r="B88" s="72">
        <f t="shared" si="33"/>
        <v>3.0097212643966422</v>
      </c>
      <c r="C88" s="72">
        <f t="shared" si="31"/>
        <v>1.1792841901979121</v>
      </c>
      <c r="D88" s="72">
        <f t="shared" si="31"/>
        <v>0.9703743291565321</v>
      </c>
      <c r="E88" s="72">
        <f t="shared" si="31"/>
        <v>0.10184006024874898</v>
      </c>
      <c r="F88" s="72">
        <f t="shared" si="31"/>
        <v>0.75822268479344879</v>
      </c>
      <c r="H88" s="21">
        <f t="shared" ref="H88:V88" si="40">H15*H45</f>
        <v>3.0097212643966413</v>
      </c>
      <c r="I88" s="22">
        <f t="shared" si="40"/>
        <v>1.0076373189463654</v>
      </c>
      <c r="J88" s="22">
        <f t="shared" si="40"/>
        <v>9.5107971304824901E-2</v>
      </c>
      <c r="K88" s="22">
        <f t="shared" si="40"/>
        <v>7.6538899946721722E-2</v>
      </c>
      <c r="L88" s="22">
        <f t="shared" si="40"/>
        <v>0.79406768886444778</v>
      </c>
      <c r="M88" s="22">
        <f t="shared" si="40"/>
        <v>0.17630664029208429</v>
      </c>
      <c r="N88" s="22">
        <f t="shared" si="40"/>
        <v>2.6153485899090251E-2</v>
      </c>
      <c r="O88" s="22">
        <f t="shared" si="40"/>
        <v>7.5686574349658725E-2</v>
      </c>
      <c r="P88" s="22">
        <f t="shared" si="40"/>
        <v>0.1999593311394007</v>
      </c>
      <c r="Q88" s="22">
        <f t="shared" si="40"/>
        <v>0.16907454222122228</v>
      </c>
      <c r="R88" s="22">
        <f t="shared" si="40"/>
        <v>0.14512999715225283</v>
      </c>
      <c r="S88" s="22">
        <f t="shared" si="40"/>
        <v>3.3246386405158354E-2</v>
      </c>
      <c r="T88" s="22">
        <f t="shared" si="40"/>
        <v>6.1964627470226137E-2</v>
      </c>
      <c r="U88" s="22">
        <f t="shared" si="40"/>
        <v>3.8903199182558856E-2</v>
      </c>
      <c r="V88" s="23">
        <f t="shared" si="40"/>
        <v>0.10994460122262972</v>
      </c>
    </row>
    <row r="89" spans="1:22" ht="15" customHeight="1">
      <c r="A89" s="79">
        <v>1950</v>
      </c>
      <c r="B89" s="72">
        <f t="shared" si="33"/>
        <v>2.6123202774644358</v>
      </c>
      <c r="C89" s="72">
        <f t="shared" si="31"/>
        <v>0.75514259717654952</v>
      </c>
      <c r="D89" s="72">
        <f t="shared" si="31"/>
        <v>1.247723937835385</v>
      </c>
      <c r="E89" s="72">
        <f t="shared" si="31"/>
        <v>0.11573312037761971</v>
      </c>
      <c r="F89" s="72">
        <f t="shared" si="31"/>
        <v>0.49372062207488204</v>
      </c>
      <c r="H89" s="21">
        <f t="shared" ref="H89:V89" si="41">H16*H46</f>
        <v>2.6123202774644367</v>
      </c>
      <c r="I89" s="22">
        <f t="shared" si="41"/>
        <v>0.63444344867308544</v>
      </c>
      <c r="J89" s="22">
        <f t="shared" si="41"/>
        <v>3.9414405245960106E-2</v>
      </c>
      <c r="K89" s="22">
        <f t="shared" si="41"/>
        <v>8.1284743257504025E-2</v>
      </c>
      <c r="L89" s="22">
        <f t="shared" si="41"/>
        <v>1.022284346755248</v>
      </c>
      <c r="M89" s="22">
        <f t="shared" si="41"/>
        <v>0.22543959108013711</v>
      </c>
      <c r="N89" s="22">
        <f t="shared" si="41"/>
        <v>2.7796008828353522E-2</v>
      </c>
      <c r="O89" s="22">
        <f t="shared" si="41"/>
        <v>8.79371115492662E-2</v>
      </c>
      <c r="P89" s="22">
        <f t="shared" si="41"/>
        <v>4.5787124503238096E-2</v>
      </c>
      <c r="Q89" s="22">
        <f t="shared" si="41"/>
        <v>0.12152091161411185</v>
      </c>
      <c r="R89" s="22">
        <f t="shared" si="41"/>
        <v>6.2308000913468546E-2</v>
      </c>
      <c r="S89" s="22">
        <f t="shared" si="41"/>
        <v>3.761412255067028E-2</v>
      </c>
      <c r="T89" s="22">
        <f t="shared" si="41"/>
        <v>7.119521437859265E-2</v>
      </c>
      <c r="U89" s="22">
        <f t="shared" si="41"/>
        <v>4.1315416861897047E-2</v>
      </c>
      <c r="V89" s="23">
        <f t="shared" si="41"/>
        <v>0.11397983125290355</v>
      </c>
    </row>
    <row r="90" spans="1:22" ht="15" customHeight="1">
      <c r="A90" s="79">
        <v>1960</v>
      </c>
      <c r="B90" s="72">
        <f t="shared" si="33"/>
        <v>2.7540073873501356</v>
      </c>
      <c r="C90" s="72">
        <f t="shared" si="31"/>
        <v>0.85422857552356268</v>
      </c>
      <c r="D90" s="72">
        <f t="shared" si="31"/>
        <v>1.1909625349601529</v>
      </c>
      <c r="E90" s="72">
        <f t="shared" si="31"/>
        <v>0.11269686660381825</v>
      </c>
      <c r="F90" s="72">
        <f t="shared" si="31"/>
        <v>0.59611941026260173</v>
      </c>
      <c r="H90" s="21">
        <f t="shared" ref="H90:V90" si="42">H17*H47</f>
        <v>2.7540073873501356</v>
      </c>
      <c r="I90" s="22">
        <f t="shared" si="42"/>
        <v>0.7342143831364073</v>
      </c>
      <c r="J90" s="22">
        <f t="shared" si="42"/>
        <v>3.9209511920256512E-2</v>
      </c>
      <c r="K90" s="22">
        <f t="shared" si="42"/>
        <v>8.0804680466898857E-2</v>
      </c>
      <c r="L90" s="22">
        <f t="shared" si="42"/>
        <v>0.95659655858058856</v>
      </c>
      <c r="M90" s="22">
        <f t="shared" si="42"/>
        <v>0.2343659763795643</v>
      </c>
      <c r="N90" s="22">
        <f t="shared" si="42"/>
        <v>2.7808626753078471E-2</v>
      </c>
      <c r="O90" s="22">
        <f t="shared" si="42"/>
        <v>8.4888239850739775E-2</v>
      </c>
      <c r="P90" s="22">
        <f t="shared" si="42"/>
        <v>3.944276239192708E-2</v>
      </c>
      <c r="Q90" s="22">
        <f t="shared" si="42"/>
        <v>0.10327744009676959</v>
      </c>
      <c r="R90" s="22">
        <f t="shared" si="42"/>
        <v>0.16242839794007963</v>
      </c>
      <c r="S90" s="22">
        <f t="shared" si="42"/>
        <v>3.6370347437261821E-2</v>
      </c>
      <c r="T90" s="22">
        <f t="shared" si="42"/>
        <v>9.0091241750097695E-2</v>
      </c>
      <c r="U90" s="22">
        <f t="shared" si="42"/>
        <v>4.9421487227548362E-2</v>
      </c>
      <c r="V90" s="23">
        <f t="shared" si="42"/>
        <v>0.11508773341891762</v>
      </c>
    </row>
    <row r="91" spans="1:22" ht="15" customHeight="1">
      <c r="A91" s="79">
        <v>1970</v>
      </c>
      <c r="B91" s="72">
        <f t="shared" si="33"/>
        <v>3.0320237002705408</v>
      </c>
      <c r="C91" s="72">
        <f t="shared" si="31"/>
        <v>0.90706142714936</v>
      </c>
      <c r="D91" s="72">
        <f t="shared" si="31"/>
        <v>1.1284706713275503</v>
      </c>
      <c r="E91" s="72">
        <f t="shared" si="31"/>
        <v>0.14621415044002237</v>
      </c>
      <c r="F91" s="72">
        <f t="shared" si="31"/>
        <v>0.85027745135360866</v>
      </c>
      <c r="H91" s="21">
        <f t="shared" ref="H91:V91" si="43">H18*H48</f>
        <v>3.0320237002705417</v>
      </c>
      <c r="I91" s="22">
        <f t="shared" si="43"/>
        <v>0.78773219087851332</v>
      </c>
      <c r="J91" s="22">
        <f t="shared" si="43"/>
        <v>3.9004618594552919E-2</v>
      </c>
      <c r="K91" s="22">
        <f t="shared" si="43"/>
        <v>8.0324617676293689E-2</v>
      </c>
      <c r="L91" s="22">
        <f t="shared" si="43"/>
        <v>0.80408085575556165</v>
      </c>
      <c r="M91" s="22">
        <f t="shared" si="43"/>
        <v>0.3243898155719887</v>
      </c>
      <c r="N91" s="22">
        <f t="shared" si="43"/>
        <v>3.7094992903737897E-2</v>
      </c>
      <c r="O91" s="22">
        <f t="shared" si="43"/>
        <v>0.10911915753628447</v>
      </c>
      <c r="P91" s="22">
        <f t="shared" si="43"/>
        <v>3.3098400280616058E-2</v>
      </c>
      <c r="Q91" s="22">
        <f t="shared" si="43"/>
        <v>0.1133786247725698</v>
      </c>
      <c r="R91" s="22">
        <f t="shared" si="43"/>
        <v>0.28671800698922389</v>
      </c>
      <c r="S91" s="22">
        <f t="shared" si="43"/>
        <v>4.0135136244886717E-2</v>
      </c>
      <c r="T91" s="22">
        <f t="shared" si="43"/>
        <v>0.14531635882880362</v>
      </c>
      <c r="U91" s="22">
        <f t="shared" si="43"/>
        <v>7.6703410124266236E-2</v>
      </c>
      <c r="V91" s="23">
        <f t="shared" si="43"/>
        <v>0.15492751411324224</v>
      </c>
    </row>
    <row r="92" spans="1:22" ht="15" customHeight="1">
      <c r="A92" s="79">
        <v>1980</v>
      </c>
      <c r="B92" s="72">
        <f t="shared" si="33"/>
        <v>3.4014022093200929</v>
      </c>
      <c r="C92" s="72">
        <f t="shared" si="31"/>
        <v>0.96898107273723444</v>
      </c>
      <c r="D92" s="72">
        <f t="shared" si="31"/>
        <v>1.205890004679719</v>
      </c>
      <c r="E92" s="72">
        <f t="shared" si="31"/>
        <v>0.14512869625320457</v>
      </c>
      <c r="F92" s="72">
        <f t="shared" si="31"/>
        <v>1.081402435649935</v>
      </c>
      <c r="H92" s="21">
        <f t="shared" ref="H92:V92" si="44">H19*H49</f>
        <v>3.4014022093200929</v>
      </c>
      <c r="I92" s="22">
        <f t="shared" si="44"/>
        <v>0.86313850606867926</v>
      </c>
      <c r="J92" s="22">
        <f t="shared" si="44"/>
        <v>3.5256477509980719E-2</v>
      </c>
      <c r="K92" s="22">
        <f t="shared" si="44"/>
        <v>7.0586089158574311E-2</v>
      </c>
      <c r="L92" s="22">
        <f t="shared" si="44"/>
        <v>0.87358143776081232</v>
      </c>
      <c r="M92" s="22">
        <f t="shared" si="44"/>
        <v>0.33230856691890676</v>
      </c>
      <c r="N92" s="22">
        <f t="shared" si="44"/>
        <v>4.3778908221146606E-2</v>
      </c>
      <c r="O92" s="22">
        <f t="shared" si="44"/>
        <v>0.10134978803205796</v>
      </c>
      <c r="P92" s="22">
        <f t="shared" si="44"/>
        <v>3.4259969151304262E-2</v>
      </c>
      <c r="Q92" s="22">
        <f t="shared" si="44"/>
        <v>0.11662739646840352</v>
      </c>
      <c r="R92" s="22">
        <f t="shared" si="44"/>
        <v>0.45238723593926972</v>
      </c>
      <c r="S92" s="22">
        <f t="shared" si="44"/>
        <v>4.0762976633752224E-2</v>
      </c>
      <c r="T92" s="22">
        <f t="shared" si="44"/>
        <v>0.15777303130660739</v>
      </c>
      <c r="U92" s="22">
        <f t="shared" si="44"/>
        <v>6.8440881031182274E-2</v>
      </c>
      <c r="V92" s="23">
        <f t="shared" si="44"/>
        <v>0.21115094511941571</v>
      </c>
    </row>
    <row r="93" spans="1:22" ht="15" customHeight="1">
      <c r="A93" s="79">
        <v>1990</v>
      </c>
      <c r="B93" s="72">
        <f t="shared" si="33"/>
        <v>3.934174381055243</v>
      </c>
      <c r="C93" s="72">
        <f t="shared" si="31"/>
        <v>1.1710215347155055</v>
      </c>
      <c r="D93" s="72">
        <f t="shared" si="31"/>
        <v>1.3094718045116858</v>
      </c>
      <c r="E93" s="72">
        <f t="shared" si="31"/>
        <v>0.1440432420663868</v>
      </c>
      <c r="F93" s="72">
        <f t="shared" si="31"/>
        <v>1.3096377997616648</v>
      </c>
      <c r="H93" s="21">
        <f t="shared" ref="H93:V93" si="45">H20*H50</f>
        <v>3.9341743810552425</v>
      </c>
      <c r="I93" s="22">
        <f t="shared" si="45"/>
        <v>0.9863097405829786</v>
      </c>
      <c r="J93" s="22">
        <f t="shared" si="45"/>
        <v>6.3016672850817051E-2</v>
      </c>
      <c r="K93" s="22">
        <f t="shared" si="45"/>
        <v>0.12169512128170984</v>
      </c>
      <c r="L93" s="22">
        <f t="shared" si="45"/>
        <v>0.9692444862458609</v>
      </c>
      <c r="M93" s="22">
        <f t="shared" si="45"/>
        <v>0.34022731826582486</v>
      </c>
      <c r="N93" s="22">
        <f t="shared" si="45"/>
        <v>5.0462823538555315E-2</v>
      </c>
      <c r="O93" s="22">
        <f t="shared" si="45"/>
        <v>9.3580418527831472E-2</v>
      </c>
      <c r="P93" s="22">
        <f t="shared" si="45"/>
        <v>7.0843076043984918E-2</v>
      </c>
      <c r="Q93" s="22">
        <f t="shared" si="45"/>
        <v>0.11987616816423724</v>
      </c>
      <c r="R93" s="22">
        <f t="shared" si="45"/>
        <v>0.57414959987470293</v>
      </c>
      <c r="S93" s="22">
        <f t="shared" si="45"/>
        <v>4.6986523830641148E-2</v>
      </c>
      <c r="T93" s="22">
        <f t="shared" si="45"/>
        <v>0.17022970378441116</v>
      </c>
      <c r="U93" s="22">
        <f t="shared" si="45"/>
        <v>6.0178351938098305E-2</v>
      </c>
      <c r="V93" s="23">
        <f t="shared" si="45"/>
        <v>0.26737437612558917</v>
      </c>
    </row>
    <row r="94" spans="1:22" ht="15" customHeight="1">
      <c r="A94" s="79">
        <v>2000</v>
      </c>
      <c r="B94" s="72">
        <f t="shared" si="33"/>
        <v>4.269879558546112</v>
      </c>
      <c r="C94" s="72">
        <f t="shared" si="31"/>
        <v>1.2831864367565644</v>
      </c>
      <c r="D94" s="72">
        <f t="shared" si="31"/>
        <v>1.3458940635211118</v>
      </c>
      <c r="E94" s="72">
        <f t="shared" si="31"/>
        <v>0.15126146020606948</v>
      </c>
      <c r="F94" s="72">
        <f t="shared" si="31"/>
        <v>1.489537598062366</v>
      </c>
      <c r="H94" s="21">
        <f t="shared" ref="H94:V94" si="46">H21*H51</f>
        <v>4.269879558546112</v>
      </c>
      <c r="I94" s="22">
        <f t="shared" si="46"/>
        <v>1.0372719359209142</v>
      </c>
      <c r="J94" s="22">
        <f t="shared" si="46"/>
        <v>8.9659093355661329E-2</v>
      </c>
      <c r="K94" s="22">
        <f t="shared" si="46"/>
        <v>0.15625540747998898</v>
      </c>
      <c r="L94" s="22">
        <f t="shared" si="46"/>
        <v>0.99890645485701546</v>
      </c>
      <c r="M94" s="22">
        <f t="shared" si="46"/>
        <v>0.3469876086640965</v>
      </c>
      <c r="N94" s="22">
        <f t="shared" si="46"/>
        <v>5.2782322727044806E-2</v>
      </c>
      <c r="O94" s="22">
        <f t="shared" si="46"/>
        <v>9.8479137479024675E-2</v>
      </c>
      <c r="P94" s="22">
        <f t="shared" si="46"/>
        <v>0.27202710242852879</v>
      </c>
      <c r="Q94" s="22">
        <f t="shared" si="46"/>
        <v>0.17309825252856118</v>
      </c>
      <c r="R94" s="22">
        <f t="shared" si="46"/>
        <v>0.42923267578768154</v>
      </c>
      <c r="S94" s="22">
        <f t="shared" si="46"/>
        <v>5.7177944058475143E-2</v>
      </c>
      <c r="T94" s="22">
        <f t="shared" si="46"/>
        <v>0.19810045467693782</v>
      </c>
      <c r="U94" s="22">
        <f t="shared" si="46"/>
        <v>4.4240991271519446E-2</v>
      </c>
      <c r="V94" s="23">
        <f t="shared" si="46"/>
        <v>0.31566017731066204</v>
      </c>
    </row>
    <row r="95" spans="1:22" ht="15" customHeight="1">
      <c r="A95" s="79">
        <v>2010</v>
      </c>
      <c r="B95" s="72">
        <f t="shared" si="33"/>
        <v>4.398796337405904</v>
      </c>
      <c r="C95" s="72">
        <f t="shared" si="31"/>
        <v>1.2580028380377057</v>
      </c>
      <c r="D95" s="72">
        <f t="shared" si="31"/>
        <v>1.1748859539655188</v>
      </c>
      <c r="E95" s="72">
        <f t="shared" si="31"/>
        <v>0.15847967834575219</v>
      </c>
      <c r="F95" s="72">
        <f t="shared" si="31"/>
        <v>1.8074278670569273</v>
      </c>
      <c r="H95" s="21">
        <f t="shared" ref="H95:V95" si="47">H22*H52</f>
        <v>4.398796337405904</v>
      </c>
      <c r="I95" s="22">
        <f t="shared" si="47"/>
        <v>0.97165442407435887</v>
      </c>
      <c r="J95" s="22">
        <f t="shared" si="47"/>
        <v>0.11305756991346276</v>
      </c>
      <c r="K95" s="22">
        <f t="shared" si="47"/>
        <v>0.17329084404988426</v>
      </c>
      <c r="L95" s="22">
        <f t="shared" si="47"/>
        <v>0.82113805490315062</v>
      </c>
      <c r="M95" s="22">
        <f t="shared" si="47"/>
        <v>0.35374789906236809</v>
      </c>
      <c r="N95" s="22">
        <f t="shared" si="47"/>
        <v>5.5101821915534296E-2</v>
      </c>
      <c r="O95" s="22">
        <f t="shared" si="47"/>
        <v>0.10337785643021789</v>
      </c>
      <c r="P95" s="22">
        <f t="shared" si="47"/>
        <v>0.58371945438810691</v>
      </c>
      <c r="Q95" s="22">
        <f t="shared" si="47"/>
        <v>0.22632033689288511</v>
      </c>
      <c r="R95" s="22">
        <f t="shared" si="47"/>
        <v>0.32041661890074963</v>
      </c>
      <c r="S95" s="22">
        <f t="shared" si="47"/>
        <v>5.875064220504566E-2</v>
      </c>
      <c r="T95" s="22">
        <f t="shared" si="47"/>
        <v>0.22597120556946451</v>
      </c>
      <c r="U95" s="22">
        <f t="shared" si="47"/>
        <v>2.8303630604940583E-2</v>
      </c>
      <c r="V95" s="23">
        <f t="shared" si="47"/>
        <v>0.3639459784957349</v>
      </c>
    </row>
    <row r="96" spans="1:22" ht="15" customHeight="1">
      <c r="A96" s="79">
        <v>2020</v>
      </c>
      <c r="B96" s="72">
        <f t="shared" si="33"/>
        <v>4.4962588514181228</v>
      </c>
      <c r="C96" s="72">
        <f t="shared" si="31"/>
        <v>1.0729004659793642</v>
      </c>
      <c r="D96" s="72">
        <f t="shared" si="31"/>
        <v>1.1297523576830009</v>
      </c>
      <c r="E96" s="72">
        <f t="shared" si="31"/>
        <v>0.19378165826321408</v>
      </c>
      <c r="F96" s="72">
        <f t="shared" si="31"/>
        <v>2.0998243694925431</v>
      </c>
      <c r="H96" s="21">
        <f t="shared" ref="H96:V96" si="48">H23*H53</f>
        <v>4.4962588514181219</v>
      </c>
      <c r="I96" s="22">
        <f t="shared" si="48"/>
        <v>0.81488710560061473</v>
      </c>
      <c r="J96" s="22">
        <f t="shared" si="48"/>
        <v>0.10198185326393318</v>
      </c>
      <c r="K96" s="22">
        <f t="shared" si="48"/>
        <v>0.15603150711481628</v>
      </c>
      <c r="L96" s="22">
        <f t="shared" si="48"/>
        <v>0.73041086427265012</v>
      </c>
      <c r="M96" s="22">
        <f t="shared" si="48"/>
        <v>0.39934149341035086</v>
      </c>
      <c r="N96" s="22">
        <f t="shared" si="48"/>
        <v>6.5722266136257854E-2</v>
      </c>
      <c r="O96" s="22">
        <f t="shared" si="48"/>
        <v>0.12805939212695622</v>
      </c>
      <c r="P96" s="22">
        <f t="shared" si="48"/>
        <v>0.81404112556849539</v>
      </c>
      <c r="Q96" s="22">
        <f t="shared" si="48"/>
        <v>0.26962030684845911</v>
      </c>
      <c r="R96" s="22">
        <f t="shared" si="48"/>
        <v>0.2636795691150714</v>
      </c>
      <c r="S96" s="22">
        <f t="shared" si="48"/>
        <v>5.0013757217878874E-2</v>
      </c>
      <c r="T96" s="22">
        <f t="shared" si="48"/>
        <v>0.25834419893475086</v>
      </c>
      <c r="U96" s="22">
        <f t="shared" si="48"/>
        <v>3.1946950552837299E-2</v>
      </c>
      <c r="V96" s="23">
        <f t="shared" si="48"/>
        <v>0.41217846125505037</v>
      </c>
    </row>
    <row r="97" spans="1:22" ht="15" customHeight="1">
      <c r="A97" s="79">
        <v>2030</v>
      </c>
      <c r="B97" s="72">
        <f t="shared" si="33"/>
        <v>5.0187134483966771</v>
      </c>
      <c r="C97" s="72">
        <f t="shared" si="31"/>
        <v>0.99956196823695653</v>
      </c>
      <c r="D97" s="72">
        <f t="shared" si="31"/>
        <v>1.1745005352840781</v>
      </c>
      <c r="E97" s="72">
        <f t="shared" si="31"/>
        <v>0.26320517675347332</v>
      </c>
      <c r="F97" s="72">
        <f t="shared" si="31"/>
        <v>2.581445768122169</v>
      </c>
      <c r="H97" s="21">
        <f t="shared" ref="H97:V97" si="49">H24*H54</f>
        <v>5.0187134483966789</v>
      </c>
      <c r="I97" s="22">
        <f t="shared" si="49"/>
        <v>0.74479132928409886</v>
      </c>
      <c r="J97" s="22">
        <f t="shared" si="49"/>
        <v>0.10098465564401429</v>
      </c>
      <c r="K97" s="22">
        <f t="shared" si="49"/>
        <v>0.15378598330884341</v>
      </c>
      <c r="L97" s="22">
        <f t="shared" si="49"/>
        <v>0.70437462121900829</v>
      </c>
      <c r="M97" s="22">
        <f t="shared" si="49"/>
        <v>0.47012591406506982</v>
      </c>
      <c r="N97" s="22">
        <f t="shared" si="49"/>
        <v>8.5667839350176689E-2</v>
      </c>
      <c r="O97" s="22">
        <f t="shared" si="49"/>
        <v>0.17753733740329661</v>
      </c>
      <c r="P97" s="22">
        <f t="shared" si="49"/>
        <v>1.1102615948757442</v>
      </c>
      <c r="Q97" s="22">
        <f t="shared" si="49"/>
        <v>0.35072795087349573</v>
      </c>
      <c r="R97" s="22">
        <f t="shared" si="49"/>
        <v>0.23586588292476443</v>
      </c>
      <c r="S97" s="22">
        <f t="shared" si="49"/>
        <v>4.683533279669555E-2</v>
      </c>
      <c r="T97" s="22">
        <f t="shared" si="49"/>
        <v>0.31179515077816555</v>
      </c>
      <c r="U97" s="22">
        <f t="shared" si="49"/>
        <v>3.7598657874530463E-2</v>
      </c>
      <c r="V97" s="23">
        <f t="shared" si="49"/>
        <v>0.48836119799877342</v>
      </c>
    </row>
    <row r="98" spans="1:22" ht="15" customHeight="1">
      <c r="A98" s="79">
        <v>2040</v>
      </c>
      <c r="B98" s="72">
        <f t="shared" si="33"/>
        <v>5.1330976368792971</v>
      </c>
      <c r="C98" s="72">
        <f t="shared" si="31"/>
        <v>0.85418270594447487</v>
      </c>
      <c r="D98" s="72">
        <f t="shared" si="31"/>
        <v>1.1115362165255138</v>
      </c>
      <c r="E98" s="72">
        <f t="shared" si="31"/>
        <v>0.3311030528119564</v>
      </c>
      <c r="F98" s="72">
        <f t="shared" si="31"/>
        <v>2.8362756615973526</v>
      </c>
      <c r="H98" s="21">
        <f t="shared" ref="H98:V98" si="50">H25*H55</f>
        <v>5.1330976368792971</v>
      </c>
      <c r="I98" s="22">
        <f t="shared" si="50"/>
        <v>0.62336953010388207</v>
      </c>
      <c r="J98" s="22">
        <f t="shared" si="50"/>
        <v>9.1806956750920779E-2</v>
      </c>
      <c r="K98" s="22">
        <f t="shared" si="50"/>
        <v>0.13900621908967209</v>
      </c>
      <c r="L98" s="22">
        <f t="shared" si="50"/>
        <v>0.6202903554668221</v>
      </c>
      <c r="M98" s="22">
        <f t="shared" si="50"/>
        <v>0.49124586105869167</v>
      </c>
      <c r="N98" s="22">
        <f t="shared" si="50"/>
        <v>0.10125675823524287</v>
      </c>
      <c r="O98" s="22">
        <f t="shared" si="50"/>
        <v>0.22984629457671354</v>
      </c>
      <c r="P98" s="22">
        <f t="shared" si="50"/>
        <v>1.298925883978713</v>
      </c>
      <c r="Q98" s="22">
        <f t="shared" si="50"/>
        <v>0.41383528887833287</v>
      </c>
      <c r="R98" s="22">
        <f t="shared" si="50"/>
        <v>0.19263521805189704</v>
      </c>
      <c r="S98" s="22">
        <f t="shared" si="50"/>
        <v>4.0418412978062125E-2</v>
      </c>
      <c r="T98" s="22">
        <f t="shared" si="50"/>
        <v>0.33665252902548043</v>
      </c>
      <c r="U98" s="22">
        <f t="shared" si="50"/>
        <v>3.9324243649893988E-2</v>
      </c>
      <c r="V98" s="23">
        <f t="shared" si="50"/>
        <v>0.514484085034973</v>
      </c>
    </row>
    <row r="99" spans="1:22" ht="15" customHeight="1">
      <c r="A99" s="79">
        <v>2050</v>
      </c>
      <c r="B99" s="72">
        <f t="shared" si="33"/>
        <v>5.5712672108199266</v>
      </c>
      <c r="C99" s="72">
        <f t="shared" si="31"/>
        <v>0.79250140931573598</v>
      </c>
      <c r="D99" s="72">
        <f t="shared" si="31"/>
        <v>1.1329519282609692</v>
      </c>
      <c r="E99" s="72">
        <f t="shared" si="31"/>
        <v>0.44503281946481432</v>
      </c>
      <c r="F99" s="72">
        <f t="shared" si="31"/>
        <v>3.2007810537784067</v>
      </c>
      <c r="H99" s="21">
        <f t="shared" ref="H99:V99" si="51">H26*H56</f>
        <v>5.5712672108199257</v>
      </c>
      <c r="I99" s="22">
        <f t="shared" si="51"/>
        <v>0.56619992712304723</v>
      </c>
      <c r="J99" s="22">
        <f t="shared" si="51"/>
        <v>9.0310656215920229E-2</v>
      </c>
      <c r="K99" s="22">
        <f t="shared" si="51"/>
        <v>0.1359908259767684</v>
      </c>
      <c r="L99" s="22">
        <f t="shared" si="51"/>
        <v>0.59139277761918096</v>
      </c>
      <c r="M99" s="22">
        <f t="shared" si="51"/>
        <v>0.54155915064178817</v>
      </c>
      <c r="N99" s="22">
        <f t="shared" si="51"/>
        <v>0.12683015076714518</v>
      </c>
      <c r="O99" s="22">
        <f t="shared" si="51"/>
        <v>0.31820266869766917</v>
      </c>
      <c r="P99" s="22">
        <f t="shared" si="51"/>
        <v>1.4737936783227403</v>
      </c>
      <c r="Q99" s="22">
        <f t="shared" si="51"/>
        <v>0.51776886188549565</v>
      </c>
      <c r="R99" s="22">
        <f t="shared" si="51"/>
        <v>0.17027975027885428</v>
      </c>
      <c r="S99" s="22">
        <f t="shared" si="51"/>
        <v>3.7959821272641144E-2</v>
      </c>
      <c r="T99" s="22">
        <f t="shared" si="51"/>
        <v>0.38519627490876895</v>
      </c>
      <c r="U99" s="22">
        <f t="shared" si="51"/>
        <v>4.3458990377650809E-2</v>
      </c>
      <c r="V99" s="23">
        <f t="shared" si="51"/>
        <v>0.57232367673225548</v>
      </c>
    </row>
    <row r="100" spans="1:22" ht="15" customHeight="1">
      <c r="A100" s="79">
        <v>2060</v>
      </c>
      <c r="B100" s="72">
        <f t="shared" si="33"/>
        <v>6.0456084998934472</v>
      </c>
      <c r="C100" s="72">
        <f t="shared" si="31"/>
        <v>0.77791705068346706</v>
      </c>
      <c r="D100" s="72">
        <f t="shared" si="31"/>
        <v>1.2129815550806999</v>
      </c>
      <c r="E100" s="72">
        <f t="shared" si="31"/>
        <v>0.59890466762397732</v>
      </c>
      <c r="F100" s="72">
        <f t="shared" si="31"/>
        <v>3.4558052265053036</v>
      </c>
      <c r="H100" s="21">
        <f t="shared" ref="H100:V100" si="52">H27*H57</f>
        <v>6.0456084998934481</v>
      </c>
      <c r="I100" s="22">
        <f t="shared" si="52"/>
        <v>0.54570312450400627</v>
      </c>
      <c r="J100" s="22">
        <f t="shared" si="52"/>
        <v>9.2907933366529444E-2</v>
      </c>
      <c r="K100" s="22">
        <f t="shared" si="52"/>
        <v>0.1393059928129313</v>
      </c>
      <c r="L100" s="22">
        <f t="shared" si="52"/>
        <v>0.59727141692649965</v>
      </c>
      <c r="M100" s="22">
        <f t="shared" si="52"/>
        <v>0.61571013815420028</v>
      </c>
      <c r="N100" s="22">
        <f t="shared" si="52"/>
        <v>0.15883337324794186</v>
      </c>
      <c r="O100" s="22">
        <f t="shared" si="52"/>
        <v>0.44007129437603543</v>
      </c>
      <c r="P100" s="22">
        <f t="shared" si="52"/>
        <v>1.5042192302676962</v>
      </c>
      <c r="Q100" s="22">
        <f t="shared" si="52"/>
        <v>0.59338696453517059</v>
      </c>
      <c r="R100" s="22">
        <f t="shared" si="52"/>
        <v>0.15947731844458318</v>
      </c>
      <c r="S100" s="22">
        <f t="shared" si="52"/>
        <v>3.7879421620929318E-2</v>
      </c>
      <c r="T100" s="22">
        <f t="shared" si="52"/>
        <v>0.4549733149265151</v>
      </c>
      <c r="U100" s="22">
        <f t="shared" si="52"/>
        <v>4.9595371755340366E-2</v>
      </c>
      <c r="V100" s="23">
        <f t="shared" si="52"/>
        <v>0.65627360495506881</v>
      </c>
    </row>
    <row r="101" spans="1:22" ht="15" customHeight="1">
      <c r="A101" s="79">
        <v>2070</v>
      </c>
      <c r="B101" s="72">
        <f t="shared" si="33"/>
        <v>6.1419796480526152</v>
      </c>
      <c r="C101" s="72">
        <f t="shared" si="31"/>
        <v>0.7780236799639052</v>
      </c>
      <c r="D101" s="72">
        <f t="shared" si="31"/>
        <v>1.2292776757329129</v>
      </c>
      <c r="E101" s="72">
        <f t="shared" si="31"/>
        <v>0.69680724196628019</v>
      </c>
      <c r="F101" s="72">
        <f t="shared" si="31"/>
        <v>3.4378710503895173</v>
      </c>
      <c r="H101" s="21">
        <f t="shared" ref="H101:V101" si="53">H28*H58</f>
        <v>6.1419796480526152</v>
      </c>
      <c r="I101" s="22">
        <f t="shared" si="53"/>
        <v>0.53874791385895637</v>
      </c>
      <c r="J101" s="22">
        <f t="shared" si="53"/>
        <v>9.5884424042305572E-2</v>
      </c>
      <c r="K101" s="22">
        <f t="shared" si="53"/>
        <v>0.14339134206264328</v>
      </c>
      <c r="L101" s="22">
        <f t="shared" si="53"/>
        <v>0.61715513287885826</v>
      </c>
      <c r="M101" s="22">
        <f t="shared" si="53"/>
        <v>0.61212254285405476</v>
      </c>
      <c r="N101" s="22">
        <f t="shared" si="53"/>
        <v>0.16364321278052171</v>
      </c>
      <c r="O101" s="22">
        <f t="shared" si="53"/>
        <v>0.53316402918575845</v>
      </c>
      <c r="P101" s="22">
        <f t="shared" si="53"/>
        <v>1.4583749837684328</v>
      </c>
      <c r="Q101" s="22">
        <f t="shared" si="53"/>
        <v>0.6210169328087537</v>
      </c>
      <c r="R101" s="22">
        <f t="shared" si="53"/>
        <v>0.15293357035423438</v>
      </c>
      <c r="S101" s="22">
        <f t="shared" si="53"/>
        <v>3.8718439504795747E-2</v>
      </c>
      <c r="T101" s="22">
        <f t="shared" si="53"/>
        <v>0.46212126782725887</v>
      </c>
      <c r="U101" s="22">
        <f t="shared" si="53"/>
        <v>4.9439504017978496E-2</v>
      </c>
      <c r="V101" s="23">
        <f t="shared" si="53"/>
        <v>0.65526635210806317</v>
      </c>
    </row>
    <row r="102" spans="1:22" ht="15" customHeight="1">
      <c r="A102" s="79">
        <v>2080</v>
      </c>
      <c r="B102" s="72">
        <f t="shared" si="33"/>
        <v>6.2667112552780715</v>
      </c>
      <c r="C102" s="72">
        <f t="shared" si="31"/>
        <v>0.77729586734765477</v>
      </c>
      <c r="D102" s="72">
        <f t="shared" si="31"/>
        <v>1.2507069753515814</v>
      </c>
      <c r="E102" s="72">
        <f t="shared" si="31"/>
        <v>0.80659527249342178</v>
      </c>
      <c r="F102" s="72">
        <f t="shared" si="31"/>
        <v>3.4321131400854132</v>
      </c>
      <c r="H102" s="21">
        <f t="shared" ref="H102:V102" si="54">H29*H59</f>
        <v>6.2667112552780706</v>
      </c>
      <c r="I102" s="22">
        <f t="shared" si="54"/>
        <v>0.53329136085595585</v>
      </c>
      <c r="J102" s="22">
        <f t="shared" si="54"/>
        <v>9.7842389611639852E-2</v>
      </c>
      <c r="K102" s="22">
        <f t="shared" si="54"/>
        <v>0.14616211688005909</v>
      </c>
      <c r="L102" s="22">
        <f t="shared" si="54"/>
        <v>0.63784899856506194</v>
      </c>
      <c r="M102" s="22">
        <f t="shared" si="54"/>
        <v>0.61285797678651943</v>
      </c>
      <c r="N102" s="22">
        <f t="shared" si="54"/>
        <v>0.16891448590706185</v>
      </c>
      <c r="O102" s="22">
        <f t="shared" si="54"/>
        <v>0.63768078658635996</v>
      </c>
      <c r="P102" s="22">
        <f t="shared" si="54"/>
        <v>1.4135562580017553</v>
      </c>
      <c r="Q102" s="22">
        <f t="shared" si="54"/>
        <v>0.64876062049311245</v>
      </c>
      <c r="R102" s="22">
        <f t="shared" si="54"/>
        <v>0.14704378415601757</v>
      </c>
      <c r="S102" s="22">
        <f t="shared" si="54"/>
        <v>3.9622545558703405E-2</v>
      </c>
      <c r="T102" s="22">
        <f t="shared" si="54"/>
        <v>0.4744366708000744</v>
      </c>
      <c r="U102" s="22">
        <f t="shared" si="54"/>
        <v>4.9706001394988417E-2</v>
      </c>
      <c r="V102" s="23">
        <f t="shared" si="54"/>
        <v>0.65898725968076122</v>
      </c>
    </row>
    <row r="103" spans="1:22" ht="15" customHeight="1">
      <c r="A103" s="79">
        <v>2090</v>
      </c>
      <c r="B103" s="72">
        <f t="shared" si="33"/>
        <v>6.4315976047035903</v>
      </c>
      <c r="C103" s="72">
        <f t="shared" si="31"/>
        <v>0.78912393729610864</v>
      </c>
      <c r="D103" s="72">
        <f t="shared" si="31"/>
        <v>1.2931804118013757</v>
      </c>
      <c r="E103" s="72">
        <f t="shared" si="31"/>
        <v>0.86975462931538206</v>
      </c>
      <c r="F103" s="72">
        <f t="shared" si="31"/>
        <v>3.4795386262907244</v>
      </c>
      <c r="H103" s="21">
        <f t="shared" ref="H103:V103" si="55">H30*H60</f>
        <v>6.4315976047035903</v>
      </c>
      <c r="I103" s="22">
        <f t="shared" si="55"/>
        <v>0.53776904762332933</v>
      </c>
      <c r="J103" s="22">
        <f t="shared" si="55"/>
        <v>0.1007625646084148</v>
      </c>
      <c r="K103" s="22">
        <f t="shared" si="55"/>
        <v>0.15059232506436451</v>
      </c>
      <c r="L103" s="22">
        <f t="shared" si="55"/>
        <v>0.66920017134623477</v>
      </c>
      <c r="M103" s="22">
        <f t="shared" si="55"/>
        <v>0.623980240455141</v>
      </c>
      <c r="N103" s="22">
        <f t="shared" si="55"/>
        <v>0.17636588499960057</v>
      </c>
      <c r="O103" s="22">
        <f t="shared" si="55"/>
        <v>0.69338874431578146</v>
      </c>
      <c r="P103" s="22">
        <f t="shared" si="55"/>
        <v>1.3900465791203049</v>
      </c>
      <c r="Q103" s="22">
        <f t="shared" si="55"/>
        <v>0.6830582794086395</v>
      </c>
      <c r="R103" s="22">
        <f t="shared" si="55"/>
        <v>0.14411029440930304</v>
      </c>
      <c r="S103" s="22">
        <f t="shared" si="55"/>
        <v>4.1193914948550701E-2</v>
      </c>
      <c r="T103" s="22">
        <f t="shared" si="55"/>
        <v>0.49643128949161847</v>
      </c>
      <c r="U103" s="22">
        <f t="shared" si="55"/>
        <v>5.0904772419440684E-2</v>
      </c>
      <c r="V103" s="23">
        <f t="shared" si="55"/>
        <v>0.67379349649286713</v>
      </c>
    </row>
    <row r="104" spans="1:22" ht="15" customHeight="1" thickBot="1">
      <c r="A104" s="80">
        <v>2100</v>
      </c>
      <c r="B104" s="73">
        <f t="shared" si="33"/>
        <v>6.6701131122732651</v>
      </c>
      <c r="C104" s="73">
        <f t="shared" si="31"/>
        <v>0.80888279679624098</v>
      </c>
      <c r="D104" s="73">
        <f t="shared" si="31"/>
        <v>1.3498828339825253</v>
      </c>
      <c r="E104" s="73">
        <f t="shared" si="31"/>
        <v>0.95148870111109463</v>
      </c>
      <c r="F104" s="73">
        <f t="shared" si="31"/>
        <v>3.5598587803834043</v>
      </c>
      <c r="H104" s="24">
        <f t="shared" ref="H104:V104" si="56">H31*H61</f>
        <v>6.6701131122732651</v>
      </c>
      <c r="I104" s="25">
        <f t="shared" si="56"/>
        <v>0.54872851068194117</v>
      </c>
      <c r="J104" s="25">
        <f t="shared" si="56"/>
        <v>0.104185062084759</v>
      </c>
      <c r="K104" s="25">
        <f t="shared" si="56"/>
        <v>0.15596922402954086</v>
      </c>
      <c r="L104" s="25">
        <f t="shared" si="56"/>
        <v>0.70804515051316164</v>
      </c>
      <c r="M104" s="25">
        <f t="shared" si="56"/>
        <v>0.64183768346936354</v>
      </c>
      <c r="N104" s="25">
        <f t="shared" si="56"/>
        <v>0.18521364129438464</v>
      </c>
      <c r="O104" s="25">
        <f t="shared" si="56"/>
        <v>0.76627505981670985</v>
      </c>
      <c r="P104" s="25">
        <f t="shared" si="56"/>
        <v>1.3782196862958445</v>
      </c>
      <c r="Q104" s="25">
        <f t="shared" si="56"/>
        <v>0.72130535028201415</v>
      </c>
      <c r="R104" s="25">
        <f t="shared" si="56"/>
        <v>0.14302368514796843</v>
      </c>
      <c r="S104" s="25">
        <f t="shared" si="56"/>
        <v>4.3223624705047696E-2</v>
      </c>
      <c r="T104" s="25">
        <f t="shared" si="56"/>
        <v>0.52549083613649539</v>
      </c>
      <c r="U104" s="25">
        <f t="shared" si="56"/>
        <v>5.2737644960375092E-2</v>
      </c>
      <c r="V104" s="26">
        <f t="shared" si="56"/>
        <v>0.69585795285565888</v>
      </c>
    </row>
    <row r="105" spans="1:22" ht="15" customHeight="1" thickTop="1"/>
    <row r="107" spans="1:22" ht="15" customHeight="1" thickBot="1"/>
    <row r="108" spans="1:22" ht="15" customHeight="1" thickTop="1" thickBot="1">
      <c r="A108" s="166"/>
      <c r="B108" s="167"/>
      <c r="C108" s="167"/>
      <c r="D108" s="167"/>
      <c r="E108" s="15"/>
      <c r="F108" s="15"/>
      <c r="G108" s="15"/>
      <c r="H108" s="15"/>
    </row>
    <row r="109" spans="1:22" ht="15" customHeight="1" thickTop="1">
      <c r="A109" s="16"/>
      <c r="B109" s="164" t="s">
        <v>73</v>
      </c>
      <c r="C109" s="165"/>
      <c r="D109" s="164" t="s">
        <v>74</v>
      </c>
      <c r="E109" s="165"/>
      <c r="F109" s="164" t="s">
        <v>75</v>
      </c>
      <c r="G109" s="165"/>
      <c r="H109" s="164" t="s">
        <v>76</v>
      </c>
      <c r="I109" s="165"/>
    </row>
    <row r="110" spans="1:22" ht="15" customHeight="1">
      <c r="A110" s="17"/>
      <c r="B110" s="18" t="s">
        <v>1</v>
      </c>
      <c r="C110" s="19" t="s">
        <v>0</v>
      </c>
      <c r="D110" s="18" t="s">
        <v>1</v>
      </c>
      <c r="E110" s="19" t="s">
        <v>0</v>
      </c>
      <c r="F110" s="18" t="s">
        <v>1</v>
      </c>
      <c r="G110" s="19" t="s">
        <v>0</v>
      </c>
      <c r="H110" s="18" t="s">
        <v>1</v>
      </c>
      <c r="I110" s="19" t="s">
        <v>0</v>
      </c>
    </row>
    <row r="111" spans="1:22" ht="15" customHeight="1">
      <c r="A111" s="20">
        <v>1870</v>
      </c>
      <c r="B111" s="21">
        <v>4.4585177326228838</v>
      </c>
      <c r="C111" s="29">
        <v>6.7977348427767881</v>
      </c>
      <c r="D111" s="21">
        <v>4.4272347386605411</v>
      </c>
      <c r="E111" s="23">
        <v>7.0057951490262553</v>
      </c>
      <c r="F111" s="21">
        <f>D111-B111</f>
        <v>-3.1282993962342687E-2</v>
      </c>
      <c r="G111" s="21">
        <f t="shared" ref="G111:G125" si="57">E111-C111</f>
        <v>0.20806030624946725</v>
      </c>
      <c r="H111" s="21">
        <f>F111/D111</f>
        <v>-7.0660346263472238E-3</v>
      </c>
      <c r="I111" s="21">
        <f t="shared" ref="I111:I125" si="58">G111/E111</f>
        <v>2.9698314298896654E-2</v>
      </c>
    </row>
    <row r="112" spans="1:22" ht="15" customHeight="1">
      <c r="A112" s="20">
        <f t="shared" ref="A112:A125" si="59">A111+10</f>
        <v>1880</v>
      </c>
      <c r="B112" s="21">
        <v>4.3683453281278561</v>
      </c>
      <c r="C112" s="29">
        <v>6.7131410202501689</v>
      </c>
      <c r="D112" s="21">
        <v>4.5184487694187192</v>
      </c>
      <c r="E112" s="23">
        <v>6.8801271691140116</v>
      </c>
      <c r="F112" s="21">
        <f t="shared" ref="F112:F125" si="60">D112-B112</f>
        <v>0.15010344129086306</v>
      </c>
      <c r="G112" s="23">
        <f t="shared" si="57"/>
        <v>0.16698614886384266</v>
      </c>
      <c r="H112" s="21">
        <f t="shared" ref="H112:H125" si="61">F112/D112</f>
        <v>3.3220126851227591E-2</v>
      </c>
      <c r="I112" s="21">
        <f t="shared" si="58"/>
        <v>2.4270793948906952E-2</v>
      </c>
    </row>
    <row r="113" spans="1:9" ht="15" customHeight="1">
      <c r="A113" s="20">
        <f t="shared" si="59"/>
        <v>1890</v>
      </c>
      <c r="B113" s="21">
        <v>4.7758124288724453</v>
      </c>
      <c r="C113" s="29">
        <v>6.4264674748383008</v>
      </c>
      <c r="D113" s="21">
        <v>5.0521643664216001</v>
      </c>
      <c r="E113" s="23">
        <v>6.6546284172017325</v>
      </c>
      <c r="F113" s="21">
        <f t="shared" si="60"/>
        <v>0.27635193754915477</v>
      </c>
      <c r="G113" s="23">
        <f t="shared" si="57"/>
        <v>0.22816094236343165</v>
      </c>
      <c r="H113" s="21">
        <f t="shared" si="61"/>
        <v>5.469971234227524E-2</v>
      </c>
      <c r="I113" s="21">
        <f t="shared" si="58"/>
        <v>3.4286052963325819E-2</v>
      </c>
    </row>
    <row r="114" spans="1:9" ht="15" customHeight="1">
      <c r="A114" s="20">
        <f t="shared" si="59"/>
        <v>1900</v>
      </c>
      <c r="B114" s="21">
        <v>4.4768529231278995</v>
      </c>
      <c r="C114" s="29">
        <v>6.6244917993755665</v>
      </c>
      <c r="D114" s="21">
        <v>4.7503513406101217</v>
      </c>
      <c r="E114" s="23">
        <v>6.7305894868857221</v>
      </c>
      <c r="F114" s="21">
        <f t="shared" si="60"/>
        <v>0.27349841748222214</v>
      </c>
      <c r="G114" s="23">
        <f t="shared" si="57"/>
        <v>0.10609768751015558</v>
      </c>
      <c r="H114" s="21">
        <f t="shared" si="61"/>
        <v>5.7574355636417995E-2</v>
      </c>
      <c r="I114" s="21">
        <f t="shared" si="58"/>
        <v>1.576350596287035E-2</v>
      </c>
    </row>
    <row r="115" spans="1:9" ht="15" customHeight="1">
      <c r="A115" s="20">
        <f t="shared" si="59"/>
        <v>1910</v>
      </c>
      <c r="B115" s="21">
        <v>4.3999257776882539</v>
      </c>
      <c r="C115" s="29">
        <v>6.5907795258862203</v>
      </c>
      <c r="D115" s="21">
        <v>4.746976882929677</v>
      </c>
      <c r="E115" s="23">
        <v>6.6443231164132097</v>
      </c>
      <c r="F115" s="21">
        <f t="shared" si="60"/>
        <v>0.34705110524142313</v>
      </c>
      <c r="G115" s="23">
        <f t="shared" si="57"/>
        <v>5.3543590526989426E-2</v>
      </c>
      <c r="H115" s="21">
        <f t="shared" si="61"/>
        <v>7.3109921071963319E-2</v>
      </c>
      <c r="I115" s="21">
        <f t="shared" si="58"/>
        <v>8.0585470617349723E-3</v>
      </c>
    </row>
    <row r="116" spans="1:9" ht="15" customHeight="1">
      <c r="A116" s="20">
        <f t="shared" si="59"/>
        <v>1920</v>
      </c>
      <c r="B116" s="21">
        <v>4.0694668777118208</v>
      </c>
      <c r="C116" s="29">
        <v>3.4349955547153139</v>
      </c>
      <c r="D116" s="21">
        <v>4.3436609547792333</v>
      </c>
      <c r="E116" s="23">
        <v>3.1102172106564372</v>
      </c>
      <c r="F116" s="21">
        <f t="shared" si="60"/>
        <v>0.2741940770674125</v>
      </c>
      <c r="G116" s="23">
        <f t="shared" si="57"/>
        <v>-0.32477834405887673</v>
      </c>
      <c r="H116" s="21">
        <f t="shared" si="61"/>
        <v>6.3125110344011276E-2</v>
      </c>
      <c r="I116" s="21">
        <f t="shared" si="58"/>
        <v>-0.10442304252773701</v>
      </c>
    </row>
    <row r="117" spans="1:9" ht="15" customHeight="1">
      <c r="A117" s="20">
        <f t="shared" si="59"/>
        <v>1930</v>
      </c>
      <c r="B117" s="21">
        <v>4.8531715260506605</v>
      </c>
      <c r="C117" s="29">
        <v>3.8622636738411331</v>
      </c>
      <c r="D117" s="21">
        <v>5.3660348478623128</v>
      </c>
      <c r="E117" s="23">
        <v>3.7480577099484598</v>
      </c>
      <c r="F117" s="21">
        <f t="shared" si="60"/>
        <v>0.51286332181165228</v>
      </c>
      <c r="G117" s="23">
        <f t="shared" si="57"/>
        <v>-0.11420596389267335</v>
      </c>
      <c r="H117" s="21">
        <f t="shared" si="61"/>
        <v>9.5575846291039934E-2</v>
      </c>
      <c r="I117" s="21">
        <f t="shared" si="58"/>
        <v>-3.047070582438919E-2</v>
      </c>
    </row>
    <row r="118" spans="1:9" ht="15" customHeight="1">
      <c r="A118" s="20">
        <f t="shared" si="59"/>
        <v>1940</v>
      </c>
      <c r="B118" s="21">
        <v>3.278740970877382</v>
      </c>
      <c r="C118" s="29">
        <v>3.2756491068949951</v>
      </c>
      <c r="D118" s="21">
        <v>3.5027993542478577</v>
      </c>
      <c r="E118" s="23">
        <v>2.774209403050675</v>
      </c>
      <c r="F118" s="21">
        <f t="shared" si="60"/>
        <v>0.22405838337047568</v>
      </c>
      <c r="G118" s="23">
        <f t="shared" si="57"/>
        <v>-0.50143970384432013</v>
      </c>
      <c r="H118" s="21">
        <f t="shared" si="61"/>
        <v>6.3965520348391994E-2</v>
      </c>
      <c r="I118" s="21">
        <f t="shared" si="58"/>
        <v>-0.18075048815453842</v>
      </c>
    </row>
    <row r="119" spans="1:9" ht="15" customHeight="1">
      <c r="A119" s="20">
        <f t="shared" si="59"/>
        <v>1950</v>
      </c>
      <c r="B119" s="21">
        <v>3.5615766691562092</v>
      </c>
      <c r="C119" s="29">
        <v>2.3234388423458228</v>
      </c>
      <c r="D119" s="21">
        <v>3.8449814897586494</v>
      </c>
      <c r="E119" s="23">
        <v>2.4859681714665469</v>
      </c>
      <c r="F119" s="21">
        <f t="shared" si="60"/>
        <v>0.28340482060244021</v>
      </c>
      <c r="G119" s="23">
        <f t="shared" si="57"/>
        <v>0.16252932912072415</v>
      </c>
      <c r="H119" s="21">
        <f t="shared" si="61"/>
        <v>7.370772040315586E-2</v>
      </c>
      <c r="I119" s="21">
        <f t="shared" si="58"/>
        <v>6.5378684645364241E-2</v>
      </c>
    </row>
    <row r="120" spans="1:9" ht="15" customHeight="1">
      <c r="A120" s="20">
        <f t="shared" si="59"/>
        <v>1960</v>
      </c>
      <c r="B120" s="21">
        <v>3.6149770694248078</v>
      </c>
      <c r="C120" s="29">
        <v>2.6730180228036051</v>
      </c>
      <c r="D120" s="21">
        <v>4.0909364582455172</v>
      </c>
      <c r="E120" s="23">
        <v>3.0053943817029101</v>
      </c>
      <c r="F120" s="21">
        <f t="shared" si="60"/>
        <v>0.47595938882070943</v>
      </c>
      <c r="G120" s="23">
        <f t="shared" si="57"/>
        <v>0.33237635889930495</v>
      </c>
      <c r="H120" s="21">
        <f t="shared" si="61"/>
        <v>0.11634485005539159</v>
      </c>
      <c r="I120" s="21">
        <f t="shared" si="58"/>
        <v>0.1105932588823749</v>
      </c>
    </row>
    <row r="121" spans="1:9" ht="15" customHeight="1">
      <c r="A121" s="20">
        <f t="shared" si="59"/>
        <v>1970</v>
      </c>
      <c r="B121" s="21">
        <v>3.3197765398596837</v>
      </c>
      <c r="C121" s="29">
        <v>2.8511052977721274</v>
      </c>
      <c r="D121" s="21">
        <v>4.0014725114387248</v>
      </c>
      <c r="E121" s="23">
        <v>3.2224407516040845</v>
      </c>
      <c r="F121" s="21">
        <f t="shared" si="60"/>
        <v>0.68169597157904116</v>
      </c>
      <c r="G121" s="23">
        <f t="shared" si="57"/>
        <v>0.3713354538319571</v>
      </c>
      <c r="H121" s="21">
        <f t="shared" si="61"/>
        <v>0.17036127816205793</v>
      </c>
      <c r="I121" s="21">
        <f t="shared" si="58"/>
        <v>0.11523422227301205</v>
      </c>
    </row>
    <row r="122" spans="1:9" ht="15" customHeight="1">
      <c r="A122" s="20">
        <f t="shared" si="59"/>
        <v>1980</v>
      </c>
      <c r="B122" s="21">
        <v>3.5709503136359402</v>
      </c>
      <c r="C122" s="29">
        <v>3.3115208947461983</v>
      </c>
      <c r="D122" s="21">
        <v>4.1750808350237971</v>
      </c>
      <c r="E122" s="23">
        <v>3.7132925237293679</v>
      </c>
      <c r="F122" s="21">
        <f t="shared" si="60"/>
        <v>0.60413052138785694</v>
      </c>
      <c r="G122" s="23">
        <f t="shared" si="57"/>
        <v>0.40177162898316965</v>
      </c>
      <c r="H122" s="21">
        <f t="shared" si="61"/>
        <v>0.14469911967211374</v>
      </c>
      <c r="I122" s="21">
        <f t="shared" si="58"/>
        <v>0.10819821665427498</v>
      </c>
    </row>
    <row r="123" spans="1:9" ht="15" customHeight="1">
      <c r="A123" s="20">
        <f t="shared" si="59"/>
        <v>1990</v>
      </c>
      <c r="B123" s="21">
        <v>3.9230852881724898</v>
      </c>
      <c r="C123" s="29">
        <v>4.0256849391281486</v>
      </c>
      <c r="D123" s="21">
        <v>4.1897823346393901</v>
      </c>
      <c r="E123" s="23">
        <v>4.2811873608616722</v>
      </c>
      <c r="F123" s="21">
        <f t="shared" si="60"/>
        <v>0.26669704646690029</v>
      </c>
      <c r="G123" s="23">
        <f t="shared" si="57"/>
        <v>0.25550242173352355</v>
      </c>
      <c r="H123" s="21">
        <f t="shared" si="61"/>
        <v>6.3654153167327865E-2</v>
      </c>
      <c r="I123" s="21">
        <f t="shared" si="58"/>
        <v>5.9680270961581725E-2</v>
      </c>
    </row>
    <row r="124" spans="1:9" ht="15" customHeight="1">
      <c r="A124" s="20">
        <f t="shared" si="59"/>
        <v>2000</v>
      </c>
      <c r="B124" s="21">
        <v>4.4656085447498972</v>
      </c>
      <c r="C124" s="29">
        <v>4.9003887459806919</v>
      </c>
      <c r="D124" s="21">
        <v>4.9205117496859803</v>
      </c>
      <c r="E124" s="23">
        <v>4.9904712456083136</v>
      </c>
      <c r="F124" s="21">
        <f t="shared" si="60"/>
        <v>0.45490320493608305</v>
      </c>
      <c r="G124" s="23">
        <f t="shared" si="57"/>
        <v>9.0082499627621715E-2</v>
      </c>
      <c r="H124" s="21">
        <f t="shared" si="61"/>
        <v>9.2450384853793768E-2</v>
      </c>
      <c r="I124" s="21">
        <f t="shared" si="58"/>
        <v>1.8050900444901995E-2</v>
      </c>
    </row>
    <row r="125" spans="1:9" ht="15" customHeight="1" thickBot="1">
      <c r="A125" s="20">
        <f t="shared" si="59"/>
        <v>2010</v>
      </c>
      <c r="B125" s="24">
        <v>4.099218953934022</v>
      </c>
      <c r="C125" s="29">
        <v>5.4483713718338214</v>
      </c>
      <c r="D125" s="24">
        <v>4.3075769382874594</v>
      </c>
      <c r="E125" s="26">
        <v>5.5337456325422538</v>
      </c>
      <c r="F125" s="24">
        <f t="shared" si="60"/>
        <v>0.20835798435343733</v>
      </c>
      <c r="G125" s="26">
        <f t="shared" si="57"/>
        <v>8.5374260708432459E-2</v>
      </c>
      <c r="H125" s="21">
        <f t="shared" si="61"/>
        <v>4.8370113253571538E-2</v>
      </c>
      <c r="I125" s="21">
        <f t="shared" si="58"/>
        <v>1.5427933695826698E-2</v>
      </c>
    </row>
    <row r="126" spans="1:9" ht="15" customHeight="1" thickTop="1"/>
  </sheetData>
  <mergeCells count="9">
    <mergeCell ref="H109:I109"/>
    <mergeCell ref="A108:D108"/>
    <mergeCell ref="D109:E109"/>
    <mergeCell ref="F109:G109"/>
    <mergeCell ref="A3:F5"/>
    <mergeCell ref="A33:F35"/>
    <mergeCell ref="A76:F78"/>
    <mergeCell ref="G50:G51"/>
    <mergeCell ref="B109:C109"/>
  </mergeCells>
  <phoneticPr fontId="24" type="noConversion"/>
  <printOptions horizontalCentered="1" verticalCentered="1"/>
  <pageMargins left="0.79000000000000015" right="0.79000000000000015" top="0.98" bottom="0.98" header="0.51" footer="0.51"/>
  <pageSetup paperSize="9" scale="9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31"/>
  <sheetViews>
    <sheetView workbookViewId="0">
      <pane xSplit="1" ySplit="4" topLeftCell="B10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baseColWidth="10" defaultRowHeight="15.6"/>
  <cols>
    <col min="1" max="6" width="13.69921875" customWidth="1"/>
  </cols>
  <sheetData>
    <row r="1" spans="1:8" ht="16.2" thickBot="1"/>
    <row r="2" spans="1:8" ht="49.8" customHeight="1" thickTop="1" thickBot="1">
      <c r="A2" s="166" t="s">
        <v>139</v>
      </c>
      <c r="B2" s="167"/>
      <c r="C2" s="167"/>
      <c r="D2" s="167"/>
      <c r="E2" s="167"/>
      <c r="F2" s="168"/>
    </row>
    <row r="3" spans="1:8" ht="19.8" customHeight="1" thickTop="1" thickBot="1">
      <c r="A3" s="70"/>
      <c r="B3" s="70"/>
      <c r="C3" s="70"/>
      <c r="D3" s="70"/>
      <c r="E3" s="70"/>
      <c r="F3" s="70"/>
    </row>
    <row r="4" spans="1:8" s="65" customFormat="1" ht="70.05" customHeight="1" thickTop="1" thickBot="1">
      <c r="A4" s="126" t="s">
        <v>104</v>
      </c>
      <c r="B4" s="126" t="s">
        <v>0</v>
      </c>
      <c r="C4" s="126" t="s">
        <v>1</v>
      </c>
      <c r="D4" s="126" t="s">
        <v>105</v>
      </c>
      <c r="E4" s="126" t="s">
        <v>106</v>
      </c>
      <c r="F4" s="126" t="s">
        <v>107</v>
      </c>
    </row>
    <row r="5" spans="1:8" ht="16.2" thickTop="1">
      <c r="A5" s="108">
        <v>1985</v>
      </c>
      <c r="B5" s="112">
        <v>-1.2004805989699247E-2</v>
      </c>
      <c r="C5" s="112">
        <v>4.9659767911306683E-3</v>
      </c>
      <c r="D5" s="112">
        <v>1.0442152820767658E-2</v>
      </c>
      <c r="E5" s="112">
        <v>3.4033236221990802E-3</v>
      </c>
      <c r="F5" s="112"/>
      <c r="H5" s="66"/>
    </row>
    <row r="6" spans="1:8">
      <c r="A6" s="86">
        <v>1986</v>
      </c>
      <c r="B6" s="120">
        <v>-9.9854420211758256E-3</v>
      </c>
      <c r="C6" s="120">
        <v>-1.8869563168744678E-3</v>
      </c>
      <c r="D6" s="120">
        <v>1.2259608008380241E-2</v>
      </c>
      <c r="E6" s="120">
        <v>3.8720967032994727E-4</v>
      </c>
      <c r="F6" s="120"/>
      <c r="H6" s="66"/>
    </row>
    <row r="7" spans="1:8">
      <c r="A7" s="86">
        <v>1987</v>
      </c>
      <c r="B7" s="120">
        <v>-6.3174458243781956E-3</v>
      </c>
      <c r="C7" s="120">
        <v>-4.2433438063761725E-3</v>
      </c>
      <c r="D7" s="120">
        <v>1.4404596248145423E-2</v>
      </c>
      <c r="E7" s="120">
        <v>3.8438066173910549E-3</v>
      </c>
      <c r="F7" s="120"/>
      <c r="H7" s="66"/>
    </row>
    <row r="8" spans="1:8">
      <c r="A8" s="86">
        <v>1988</v>
      </c>
      <c r="B8" s="120">
        <v>-6.7724789410642701E-3</v>
      </c>
      <c r="C8" s="120">
        <v>-8.9577727306821286E-3</v>
      </c>
      <c r="D8" s="120">
        <v>1.5606267619854461E-2</v>
      </c>
      <c r="E8" s="120">
        <v>-1.2398405189193752E-4</v>
      </c>
      <c r="F8" s="120"/>
      <c r="H8" s="66"/>
    </row>
    <row r="9" spans="1:8">
      <c r="A9" s="86">
        <v>1989</v>
      </c>
      <c r="B9" s="120">
        <v>-9.8015183936196841E-3</v>
      </c>
      <c r="C9" s="120">
        <v>-1.2553472240961426E-2</v>
      </c>
      <c r="D9" s="120">
        <v>1.4948773364686573E-2</v>
      </c>
      <c r="E9" s="120">
        <v>-7.4062172698945369E-3</v>
      </c>
      <c r="F9" s="120"/>
      <c r="H9" s="66"/>
    </row>
    <row r="10" spans="1:8">
      <c r="A10" s="86">
        <v>1990</v>
      </c>
      <c r="B10" s="120">
        <v>-1.47777560190214E-2</v>
      </c>
      <c r="C10" s="120">
        <v>-1.0517120284416093E-2</v>
      </c>
      <c r="D10" s="120">
        <v>1.4976607545893691E-2</v>
      </c>
      <c r="E10" s="120">
        <v>-1.0318268757543802E-2</v>
      </c>
      <c r="F10" s="120"/>
      <c r="H10" s="66"/>
    </row>
    <row r="11" spans="1:8">
      <c r="A11" s="86">
        <v>1991</v>
      </c>
      <c r="B11" s="120">
        <v>-1.9148537771995103E-2</v>
      </c>
      <c r="C11" s="120">
        <v>-1.2694478506168311E-2</v>
      </c>
      <c r="D11" s="120">
        <v>1.6667806680679294E-2</v>
      </c>
      <c r="E11" s="120">
        <v>-1.517520959748412E-2</v>
      </c>
      <c r="F11" s="120"/>
      <c r="H11" s="66"/>
    </row>
    <row r="12" spans="1:8">
      <c r="A12" s="86">
        <v>1992</v>
      </c>
      <c r="B12" s="120">
        <v>-1.8874224110505662E-2</v>
      </c>
      <c r="C12" s="120">
        <v>-1.6743561277149873E-2</v>
      </c>
      <c r="D12" s="120">
        <v>2.0923045780163158E-2</v>
      </c>
      <c r="E12" s="120">
        <v>-1.4694739607492378E-2</v>
      </c>
      <c r="F12" s="120"/>
      <c r="H12" s="66"/>
    </row>
    <row r="13" spans="1:8">
      <c r="A13" s="86">
        <v>1993</v>
      </c>
      <c r="B13" s="120">
        <v>-2.0845757698725088E-2</v>
      </c>
      <c r="C13" s="120">
        <v>-1.1420012420651379E-2</v>
      </c>
      <c r="D13" s="120">
        <v>2.4522033771866042E-2</v>
      </c>
      <c r="E13" s="120">
        <v>-7.7437363475104243E-3</v>
      </c>
      <c r="F13" s="120"/>
      <c r="H13" s="66"/>
    </row>
    <row r="14" spans="1:8">
      <c r="A14" s="86">
        <v>1994</v>
      </c>
      <c r="B14" s="120">
        <v>-1.9279584584172955E-2</v>
      </c>
      <c r="C14" s="120">
        <v>-1.115486647144282E-2</v>
      </c>
      <c r="D14" s="120">
        <v>2.5750400298520545E-2</v>
      </c>
      <c r="E14" s="120">
        <v>-4.6840507570952306E-3</v>
      </c>
      <c r="F14" s="120"/>
      <c r="H14" s="66"/>
    </row>
    <row r="15" spans="1:8">
      <c r="A15" s="86">
        <v>1995</v>
      </c>
      <c r="B15" s="120">
        <v>-2.2429214701801436E-2</v>
      </c>
      <c r="C15" s="120">
        <v>-1.4488148897157037E-2</v>
      </c>
      <c r="D15" s="120">
        <v>2.7534683890597468E-2</v>
      </c>
      <c r="E15" s="120">
        <v>-9.3826797083610049E-3</v>
      </c>
      <c r="F15" s="120"/>
      <c r="H15" s="66"/>
    </row>
    <row r="16" spans="1:8">
      <c r="A16" s="86">
        <v>1996</v>
      </c>
      <c r="B16" s="120">
        <v>-2.1420117515253929E-2</v>
      </c>
      <c r="C16" s="120">
        <v>-1.5284913238261767E-2</v>
      </c>
      <c r="D16" s="120">
        <v>2.9393775159325446E-2</v>
      </c>
      <c r="E16" s="120">
        <v>-7.31125559419025E-3</v>
      </c>
      <c r="F16" s="120"/>
      <c r="H16" s="66"/>
    </row>
    <row r="17" spans="1:8">
      <c r="A17" s="86">
        <v>1997</v>
      </c>
      <c r="B17" s="120">
        <v>-1.5351018472534683E-2</v>
      </c>
      <c r="C17" s="120">
        <v>-2.6019420009682267E-2</v>
      </c>
      <c r="D17" s="120">
        <v>3.1730387743865981E-2</v>
      </c>
      <c r="E17" s="120">
        <v>-9.6400507383509679E-3</v>
      </c>
      <c r="F17" s="120"/>
      <c r="H17" s="66"/>
    </row>
    <row r="18" spans="1:8">
      <c r="A18" s="86">
        <v>1998</v>
      </c>
      <c r="B18" s="120">
        <v>-3.0543201851203086E-2</v>
      </c>
      <c r="C18" s="120">
        <v>-2.8539621021681828E-2</v>
      </c>
      <c r="D18" s="120">
        <v>3.8332006457663076E-2</v>
      </c>
      <c r="E18" s="120">
        <v>-2.0750816415221838E-2</v>
      </c>
      <c r="F18" s="120"/>
      <c r="H18" s="66"/>
    </row>
    <row r="19" spans="1:8">
      <c r="A19" s="86">
        <v>1999</v>
      </c>
      <c r="B19" s="120">
        <v>-2.8349467382465861E-2</v>
      </c>
      <c r="C19" s="120">
        <v>-2.3428517064085722E-2</v>
      </c>
      <c r="D19" s="120">
        <v>2.6570453302355482E-2</v>
      </c>
      <c r="E19" s="120">
        <v>-2.5207531144196101E-2</v>
      </c>
      <c r="F19" s="120"/>
      <c r="H19" s="66"/>
    </row>
    <row r="20" spans="1:8">
      <c r="A20" s="86">
        <v>2000</v>
      </c>
      <c r="B20" s="120">
        <v>-2.3121348829318149E-2</v>
      </c>
      <c r="C20" s="120">
        <v>-4.1509659164161911E-2</v>
      </c>
      <c r="D20" s="120">
        <v>3.5949948306175025E-2</v>
      </c>
      <c r="E20" s="120">
        <v>-2.8681059687305034E-2</v>
      </c>
      <c r="F20" s="120"/>
      <c r="H20" s="66"/>
    </row>
    <row r="21" spans="1:8">
      <c r="A21" s="86">
        <v>2001</v>
      </c>
      <c r="B21" s="120">
        <v>-1.723548714351171E-2</v>
      </c>
      <c r="C21" s="120">
        <v>-5.857878490513193E-2</v>
      </c>
      <c r="D21" s="120">
        <v>4.2490553515754079E-2</v>
      </c>
      <c r="E21" s="120">
        <v>-3.3323718532889561E-2</v>
      </c>
      <c r="F21" s="120">
        <v>7.9102530750153791E-2</v>
      </c>
      <c r="H21" s="66"/>
    </row>
    <row r="22" spans="1:8">
      <c r="A22" s="86">
        <v>2002</v>
      </c>
      <c r="B22" s="120">
        <v>-2.885719354371126E-2</v>
      </c>
      <c r="C22" s="120">
        <v>-6.144845204889212E-2</v>
      </c>
      <c r="D22" s="120">
        <v>4.3941872328157654E-2</v>
      </c>
      <c r="E22" s="120">
        <v>-4.6363773264445726E-2</v>
      </c>
      <c r="F22" s="120">
        <v>7.1888548512927031E-2</v>
      </c>
      <c r="H22" s="66"/>
    </row>
    <row r="23" spans="1:8">
      <c r="A23" s="86">
        <v>2003</v>
      </c>
      <c r="B23" s="120">
        <v>-3.3221933796831499E-2</v>
      </c>
      <c r="C23" s="120">
        <v>-5.5912998219960527E-2</v>
      </c>
      <c r="D23" s="120">
        <v>4.3090182558137499E-2</v>
      </c>
      <c r="E23" s="120">
        <v>-4.6044749458654527E-2</v>
      </c>
      <c r="F23" s="120">
        <v>7.6311969037810554E-2</v>
      </c>
      <c r="H23" s="66"/>
    </row>
    <row r="24" spans="1:8">
      <c r="A24" s="86">
        <v>2004</v>
      </c>
      <c r="B24" s="120">
        <v>-3.9904661158082944E-2</v>
      </c>
      <c r="C24" s="120">
        <v>-5.3393875083014776E-2</v>
      </c>
      <c r="D24" s="120">
        <v>4.2289229790249988E-2</v>
      </c>
      <c r="E24" s="120">
        <v>-5.1009306450847731E-2</v>
      </c>
      <c r="F24" s="120">
        <v>7.8585623735660901E-2</v>
      </c>
      <c r="H24" s="66"/>
    </row>
    <row r="25" spans="1:8">
      <c r="A25" s="86">
        <v>2005</v>
      </c>
      <c r="B25" s="120">
        <v>-2.8095413836121352E-2</v>
      </c>
      <c r="C25" s="120">
        <v>-4.234310569905559E-2</v>
      </c>
      <c r="D25" s="120">
        <v>3.3568061629098422E-2</v>
      </c>
      <c r="E25" s="120">
        <v>-3.687045790607852E-2</v>
      </c>
      <c r="F25" s="120">
        <v>8.0551710839556978E-2</v>
      </c>
      <c r="H25" s="66"/>
    </row>
    <row r="26" spans="1:8">
      <c r="A26" s="86">
        <v>2006</v>
      </c>
      <c r="B26" s="120">
        <v>-3.9953695577458384E-2</v>
      </c>
      <c r="C26" s="120">
        <v>-4.4311646249515078E-2</v>
      </c>
      <c r="D26" s="120">
        <v>3.6558106311125306E-2</v>
      </c>
      <c r="E26" s="120">
        <v>-4.7707235515848156E-2</v>
      </c>
      <c r="F26" s="120">
        <v>7.6021126287704702E-2</v>
      </c>
      <c r="H26" s="66"/>
    </row>
    <row r="27" spans="1:8">
      <c r="A27" s="86">
        <v>2007</v>
      </c>
      <c r="B27" s="120">
        <v>-4.2057384175997359E-2</v>
      </c>
      <c r="C27" s="120">
        <v>-3.2155761410362499E-2</v>
      </c>
      <c r="D27" s="120">
        <v>3.929797393827008E-2</v>
      </c>
      <c r="E27" s="120">
        <v>-3.4915171648089778E-2</v>
      </c>
      <c r="F27" s="120">
        <v>9.1871500388364752E-2</v>
      </c>
      <c r="H27" s="66"/>
    </row>
    <row r="28" spans="1:8" ht="16.2" thickBot="1">
      <c r="A28" s="87">
        <v>2008</v>
      </c>
      <c r="B28" s="125">
        <v>-3.7720289395050295E-2</v>
      </c>
      <c r="C28" s="125">
        <v>-5.3114676485869775E-2</v>
      </c>
      <c r="D28" s="125">
        <v>4.0484726714061524E-2</v>
      </c>
      <c r="E28" s="125">
        <v>-5.0350239166858546E-2</v>
      </c>
      <c r="F28" s="125">
        <v>7.3150965586511491E-2</v>
      </c>
      <c r="H28" s="66"/>
    </row>
    <row r="29" spans="1:8" ht="16.2" thickTop="1"/>
    <row r="31" spans="1:8">
      <c r="A31" t="s">
        <v>130</v>
      </c>
    </row>
  </sheetData>
  <mergeCells count="1">
    <mergeCell ref="A2:F2"/>
  </mergeCells>
  <phoneticPr fontId="24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42"/>
  <sheetViews>
    <sheetView workbookViewId="0"/>
  </sheetViews>
  <sheetFormatPr baseColWidth="10" defaultColWidth="10.296875" defaultRowHeight="13.2"/>
  <cols>
    <col min="1" max="16384" width="10.296875" style="37"/>
  </cols>
  <sheetData>
    <row r="1" spans="1:10">
      <c r="A1" s="38" t="s">
        <v>78</v>
      </c>
    </row>
    <row r="3" spans="1:10">
      <c r="B3" s="169" t="s">
        <v>3</v>
      </c>
      <c r="C3" s="170"/>
      <c r="D3" s="171"/>
      <c r="E3" s="172" t="s">
        <v>4</v>
      </c>
      <c r="F3" s="173"/>
      <c r="G3" s="174"/>
    </row>
    <row r="4" spans="1:10">
      <c r="B4" s="39" t="s">
        <v>5</v>
      </c>
      <c r="C4" s="40"/>
      <c r="D4" s="41"/>
      <c r="E4" s="39"/>
      <c r="F4" s="40"/>
      <c r="G4" s="41"/>
    </row>
    <row r="5" spans="1:10">
      <c r="B5" s="39"/>
      <c r="C5" s="40"/>
      <c r="D5" s="41"/>
      <c r="E5" s="39"/>
      <c r="F5" s="40"/>
      <c r="G5" s="41"/>
    </row>
    <row r="6" spans="1:10">
      <c r="B6" s="42" t="s">
        <v>6</v>
      </c>
      <c r="C6" s="43" t="s">
        <v>7</v>
      </c>
      <c r="D6" s="44" t="s">
        <v>8</v>
      </c>
      <c r="E6" s="42" t="s">
        <v>9</v>
      </c>
      <c r="F6" s="43" t="s">
        <v>10</v>
      </c>
      <c r="G6" s="45" t="s">
        <v>11</v>
      </c>
    </row>
    <row r="7" spans="1:10">
      <c r="A7" s="46" t="s">
        <v>12</v>
      </c>
      <c r="B7" s="47">
        <v>4.3999999999999997E-2</v>
      </c>
      <c r="C7" s="48">
        <v>0.15</v>
      </c>
      <c r="D7" s="49">
        <v>0.14799999999999999</v>
      </c>
      <c r="E7" s="47">
        <f>((1+D7)*(1+C7)*(1+B7))^(1/3)-1</f>
        <v>0.11287591218613113</v>
      </c>
      <c r="F7" s="48">
        <f t="shared" ref="F7:G9" si="0">((1+B7)*(1+C7))^(1/2)-1</f>
        <v>9.5718942064980439E-2</v>
      </c>
      <c r="G7" s="49">
        <f t="shared" si="0"/>
        <v>0.14899956483890797</v>
      </c>
    </row>
    <row r="8" spans="1:10">
      <c r="A8" s="46" t="s">
        <v>13</v>
      </c>
      <c r="B8" s="47">
        <v>3.4000000000000002E-2</v>
      </c>
      <c r="C8" s="48">
        <v>0.13200000000000001</v>
      </c>
      <c r="D8" s="49">
        <v>0.13400000000000001</v>
      </c>
      <c r="E8" s="47">
        <f>((1+D8)*(1+C8)*(1+B8))^(1/3)-1</f>
        <v>9.8988986209942231E-2</v>
      </c>
      <c r="F8" s="48">
        <f t="shared" si="0"/>
        <v>8.1890937202082403E-2</v>
      </c>
      <c r="G8" s="49">
        <f t="shared" si="0"/>
        <v>0.13299955869364743</v>
      </c>
    </row>
    <row r="9" spans="1:10">
      <c r="A9" s="50" t="s">
        <v>14</v>
      </c>
      <c r="B9" s="47">
        <v>2.3E-2</v>
      </c>
      <c r="C9" s="48">
        <v>2.1000000000000001E-2</v>
      </c>
      <c r="D9" s="49">
        <v>4.2000000000000003E-2</v>
      </c>
      <c r="E9" s="47">
        <f>((1+D9)*(1+C9)*(1+B9))^(1/3)-1</f>
        <v>2.8623317394421477E-2</v>
      </c>
      <c r="F9" s="48">
        <f t="shared" si="0"/>
        <v>2.1999510763092145E-2</v>
      </c>
      <c r="G9" s="49">
        <f t="shared" si="0"/>
        <v>3.1446557025617272E-2</v>
      </c>
    </row>
    <row r="10" spans="1:10">
      <c r="A10" s="46" t="s">
        <v>15</v>
      </c>
      <c r="B10" s="47">
        <f t="shared" ref="B10:G10" si="1">(1+B7)/(1+B9)-1</f>
        <v>2.0527859237536861E-2</v>
      </c>
      <c r="C10" s="48">
        <f t="shared" si="1"/>
        <v>0.12634671890303628</v>
      </c>
      <c r="D10" s="49">
        <f t="shared" si="1"/>
        <v>0.10172744721689053</v>
      </c>
      <c r="E10" s="47">
        <f t="shared" si="1"/>
        <v>8.1908112879579331E-2</v>
      </c>
      <c r="F10" s="48">
        <f t="shared" si="1"/>
        <v>7.2132550481207591E-2</v>
      </c>
      <c r="G10" s="49">
        <f t="shared" si="1"/>
        <v>0.11396907286430658</v>
      </c>
    </row>
    <row r="11" spans="1:10">
      <c r="A11" s="46" t="s">
        <v>16</v>
      </c>
      <c r="B11" s="47">
        <f t="shared" ref="B11:G11" si="2">(1+B8)/(1+B9)-1</f>
        <v>1.0752688172043223E-2</v>
      </c>
      <c r="C11" s="48">
        <f t="shared" si="2"/>
        <v>0.10871694417238031</v>
      </c>
      <c r="D11" s="49">
        <f t="shared" si="2"/>
        <v>8.8291746641074642E-2</v>
      </c>
      <c r="E11" s="47">
        <f t="shared" si="2"/>
        <v>6.8407615913046005E-2</v>
      </c>
      <c r="F11" s="48">
        <f t="shared" si="2"/>
        <v>5.860220656492432E-2</v>
      </c>
      <c r="G11" s="49">
        <f t="shared" si="2"/>
        <v>9.8456872027260944E-2</v>
      </c>
    </row>
    <row r="12" spans="1:10">
      <c r="A12" s="50"/>
      <c r="B12" s="47"/>
      <c r="C12" s="48"/>
      <c r="D12" s="49"/>
      <c r="E12" s="47"/>
      <c r="F12" s="48"/>
      <c r="G12" s="49"/>
    </row>
    <row r="13" spans="1:10">
      <c r="A13" s="50" t="s">
        <v>17</v>
      </c>
      <c r="B13" s="47"/>
      <c r="C13" s="48"/>
      <c r="D13" s="49"/>
      <c r="E13" s="48"/>
      <c r="F13" s="48"/>
      <c r="G13" s="49"/>
      <c r="J13" s="64"/>
    </row>
    <row r="14" spans="1:10">
      <c r="A14" s="50" t="s">
        <v>18</v>
      </c>
      <c r="B14" s="47">
        <v>0.05</v>
      </c>
      <c r="C14" s="48">
        <v>0.156</v>
      </c>
      <c r="D14" s="49">
        <v>0.156</v>
      </c>
      <c r="E14" s="48">
        <f>((1+D14)*(1+C14)*(1+B14))^(1/3)-1</f>
        <v>0.1195280749863652</v>
      </c>
      <c r="F14" s="48">
        <f t="shared" ref="F14:G17" si="3">((1+B14)*(1+C14))^(1/2)-1</f>
        <v>0.10172591872933623</v>
      </c>
      <c r="G14" s="49">
        <f t="shared" si="3"/>
        <v>0.15599999999999992</v>
      </c>
    </row>
    <row r="15" spans="1:10">
      <c r="A15" s="50" t="s">
        <v>19</v>
      </c>
      <c r="B15" s="47">
        <v>3.5999999999999997E-2</v>
      </c>
      <c r="C15" s="48">
        <v>0.14000000000000001</v>
      </c>
      <c r="D15" s="49">
        <v>0.153</v>
      </c>
      <c r="E15" s="48">
        <f>((1+D15)*(1+C15)*(1+B15))^(1/3)-1</f>
        <v>0.10840371148751493</v>
      </c>
      <c r="F15" s="48">
        <f t="shared" si="3"/>
        <v>8.6756642491776947E-2</v>
      </c>
      <c r="G15" s="49">
        <f t="shared" si="3"/>
        <v>0.14648157420867447</v>
      </c>
    </row>
    <row r="16" spans="1:10">
      <c r="A16" s="50" t="s">
        <v>20</v>
      </c>
      <c r="B16" s="47">
        <v>3.3000000000000002E-2</v>
      </c>
      <c r="C16" s="48">
        <v>0.13300000000000001</v>
      </c>
      <c r="D16" s="49">
        <v>0.14099999999999999</v>
      </c>
      <c r="E16" s="48">
        <f>((1+D16)*(1+C16)*(1+B16))^(1/3)-1</f>
        <v>0.10121459474239658</v>
      </c>
      <c r="F16" s="48">
        <f t="shared" si="3"/>
        <v>8.1845183009103151E-2</v>
      </c>
      <c r="G16" s="49">
        <f t="shared" si="3"/>
        <v>0.13699296391842286</v>
      </c>
      <c r="J16" s="64"/>
    </row>
    <row r="17" spans="1:7">
      <c r="A17" s="50" t="s">
        <v>21</v>
      </c>
      <c r="B17" s="47">
        <v>2.9000000000000001E-2</v>
      </c>
      <c r="C17" s="48">
        <v>0.122</v>
      </c>
      <c r="D17" s="49">
        <v>0.128</v>
      </c>
      <c r="E17" s="48">
        <f>((1+D17)*(1+C17)*(1+B17))^(1/3)-1</f>
        <v>9.2041418547356146E-2</v>
      </c>
      <c r="F17" s="48">
        <f t="shared" si="3"/>
        <v>7.4494299659146668E-2</v>
      </c>
      <c r="G17" s="49">
        <f t="shared" si="3"/>
        <v>0.12499599999288891</v>
      </c>
    </row>
    <row r="18" spans="1:7">
      <c r="A18" s="50"/>
      <c r="B18" s="47"/>
      <c r="C18" s="48"/>
      <c r="D18" s="49"/>
      <c r="E18" s="48"/>
      <c r="F18" s="48"/>
      <c r="G18" s="49"/>
    </row>
    <row r="19" spans="1:7">
      <c r="A19" s="50" t="s">
        <v>22</v>
      </c>
      <c r="B19" s="47"/>
      <c r="C19" s="48"/>
      <c r="D19" s="49"/>
      <c r="E19" s="48"/>
      <c r="F19" s="48"/>
      <c r="G19" s="49"/>
    </row>
    <row r="20" spans="1:7">
      <c r="A20" s="50" t="s">
        <v>18</v>
      </c>
      <c r="B20" s="47">
        <f t="shared" ref="B20:G23" si="4">(1+B14)/(1+B$9)-1</f>
        <v>2.6392961876833043E-2</v>
      </c>
      <c r="C20" s="48">
        <f t="shared" si="4"/>
        <v>0.13222331047992175</v>
      </c>
      <c r="D20" s="49">
        <f t="shared" si="4"/>
        <v>0.10940499040307095</v>
      </c>
      <c r="E20" s="48">
        <f t="shared" si="4"/>
        <v>8.8375167133302179E-2</v>
      </c>
      <c r="F20" s="48">
        <f t="shared" si="4"/>
        <v>7.8010221263917323E-2</v>
      </c>
      <c r="G20" s="49">
        <f t="shared" si="4"/>
        <v>0.1207560800179095</v>
      </c>
    </row>
    <row r="21" spans="1:7">
      <c r="A21" s="50" t="s">
        <v>19</v>
      </c>
      <c r="B21" s="47">
        <f t="shared" si="4"/>
        <v>1.2707722385141951E-2</v>
      </c>
      <c r="C21" s="48">
        <f t="shared" si="4"/>
        <v>0.11655239960822739</v>
      </c>
      <c r="D21" s="49">
        <f t="shared" si="4"/>
        <v>0.10652591170825332</v>
      </c>
      <c r="E21" s="48">
        <f t="shared" si="4"/>
        <v>7.7560359311300786E-2</v>
      </c>
      <c r="F21" s="48">
        <f t="shared" si="4"/>
        <v>6.3363172923960542E-2</v>
      </c>
      <c r="G21" s="49">
        <f t="shared" si="4"/>
        <v>0.11152785027930445</v>
      </c>
    </row>
    <row r="22" spans="1:7">
      <c r="A22" s="50" t="s">
        <v>20</v>
      </c>
      <c r="B22" s="47">
        <f t="shared" si="4"/>
        <v>9.7751710654936375E-3</v>
      </c>
      <c r="C22" s="48">
        <f t="shared" si="4"/>
        <v>0.109696376101861</v>
      </c>
      <c r="D22" s="49">
        <f t="shared" si="4"/>
        <v>9.5009596928982809E-2</v>
      </c>
      <c r="E22" s="48">
        <f t="shared" si="4"/>
        <v>7.0571292834245902E-2</v>
      </c>
      <c r="F22" s="48">
        <f t="shared" si="4"/>
        <v>5.8557437274433077E-2</v>
      </c>
      <c r="G22" s="49">
        <f t="shared" si="4"/>
        <v>0.1023285270321419</v>
      </c>
    </row>
    <row r="23" spans="1:7">
      <c r="A23" s="50" t="s">
        <v>21</v>
      </c>
      <c r="B23" s="47">
        <f t="shared" si="4"/>
        <v>5.8651026392961825E-3</v>
      </c>
      <c r="C23" s="48">
        <f t="shared" si="4"/>
        <v>9.8922624877570975E-2</v>
      </c>
      <c r="D23" s="49">
        <f t="shared" si="4"/>
        <v>8.253358925143961E-2</v>
      </c>
      <c r="E23" s="48">
        <f t="shared" si="4"/>
        <v>6.1653376975331797E-2</v>
      </c>
      <c r="F23" s="48">
        <f t="shared" si="4"/>
        <v>5.1364788674760131E-2</v>
      </c>
      <c r="G23" s="49">
        <f t="shared" si="4"/>
        <v>9.0697324383960609E-2</v>
      </c>
    </row>
    <row r="24" spans="1:7">
      <c r="A24" s="50"/>
      <c r="B24" s="47"/>
      <c r="C24" s="48"/>
      <c r="D24" s="49"/>
      <c r="E24" s="48"/>
      <c r="F24" s="48"/>
      <c r="G24" s="49"/>
    </row>
    <row r="25" spans="1:7">
      <c r="A25" s="51" t="s">
        <v>17</v>
      </c>
      <c r="B25" s="39"/>
      <c r="C25" s="40"/>
      <c r="D25" s="41"/>
      <c r="E25" s="48"/>
      <c r="F25" s="48"/>
      <c r="G25" s="49"/>
    </row>
    <row r="26" spans="1:7">
      <c r="A26" s="51" t="s">
        <v>23</v>
      </c>
      <c r="B26" s="47">
        <v>7.0575258565241494E-2</v>
      </c>
      <c r="C26" s="52">
        <v>0.16975349916532312</v>
      </c>
      <c r="D26" s="53">
        <v>0.1466820160368647</v>
      </c>
      <c r="E26" s="48">
        <f>((1+D26)*(1+C26)*(1+B26))^(1/3)-1</f>
        <v>0.12819677060967938</v>
      </c>
      <c r="F26" s="48">
        <f t="shared" ref="F26:G28" si="5">((1+B26)*(1+C26))^(1/2)-1</f>
        <v>0.11906619769632565</v>
      </c>
      <c r="G26" s="49">
        <f t="shared" si="5"/>
        <v>0.15816030871769637</v>
      </c>
    </row>
    <row r="27" spans="1:7">
      <c r="A27" s="51" t="s">
        <v>24</v>
      </c>
      <c r="B27" s="47">
        <v>8.8999999999999996E-2</v>
      </c>
      <c r="C27" s="52">
        <v>0.17499999999999999</v>
      </c>
      <c r="D27" s="49">
        <f>D14</f>
        <v>0.156</v>
      </c>
      <c r="E27" s="48">
        <f>((1+D27)*(1+C27)*(1+B27))^(1/3)-1</f>
        <v>0.13939557063085828</v>
      </c>
      <c r="F27" s="48">
        <f t="shared" si="5"/>
        <v>0.13118300906617231</v>
      </c>
      <c r="G27" s="49">
        <f t="shared" si="5"/>
        <v>0.16546128206817756</v>
      </c>
    </row>
    <row r="28" spans="1:7">
      <c r="A28" s="51" t="s">
        <v>25</v>
      </c>
      <c r="B28" s="47">
        <v>7.9000000000000001E-2</v>
      </c>
      <c r="C28" s="52">
        <v>0.16800000000000001</v>
      </c>
      <c r="D28" s="49">
        <f>D14</f>
        <v>0.156</v>
      </c>
      <c r="E28" s="48">
        <f>((1+D28)*(1+C28)*(1+B28))^(1/3)-1</f>
        <v>0.13363707414374204</v>
      </c>
      <c r="F28" s="48">
        <f t="shared" si="5"/>
        <v>0.12261836792384617</v>
      </c>
      <c r="G28" s="49">
        <f t="shared" si="5"/>
        <v>0.1619845093631842</v>
      </c>
    </row>
    <row r="29" spans="1:7">
      <c r="B29" s="39"/>
      <c r="C29" s="40"/>
      <c r="D29" s="41"/>
      <c r="G29" s="41"/>
    </row>
    <row r="30" spans="1:7">
      <c r="A30" s="51" t="s">
        <v>22</v>
      </c>
      <c r="B30" s="39"/>
      <c r="C30" s="40"/>
      <c r="D30" s="41"/>
      <c r="E30" s="48"/>
      <c r="F30" s="48"/>
      <c r="G30" s="49"/>
    </row>
    <row r="31" spans="1:7">
      <c r="A31" s="51" t="s">
        <v>23</v>
      </c>
      <c r="B31" s="47">
        <f t="shared" ref="B31:D33" si="6">(1+B26)/(1+B$9)-1</f>
        <v>4.6505629096032841E-2</v>
      </c>
      <c r="C31" s="52">
        <f t="shared" si="6"/>
        <v>0.14569392670452808</v>
      </c>
      <c r="D31" s="53">
        <f t="shared" si="6"/>
        <v>0.10046258736743252</v>
      </c>
      <c r="E31" s="48">
        <f>((1+D31)*(1+C31)*(1+B31))^(1/3)-1</f>
        <v>9.6802640511285398E-2</v>
      </c>
      <c r="F31" s="48">
        <f t="shared" ref="F31:G33" si="7">((1+B31)*(1+C31))^(1/2)-1</f>
        <v>9.4977234246185649E-2</v>
      </c>
      <c r="G31" s="49">
        <f t="shared" si="7"/>
        <v>0.12285052563216015</v>
      </c>
    </row>
    <row r="32" spans="1:7">
      <c r="A32" s="51" t="s">
        <v>24</v>
      </c>
      <c r="B32" s="47">
        <f t="shared" si="6"/>
        <v>6.4516129032258229E-2</v>
      </c>
      <c r="C32" s="48">
        <f t="shared" si="6"/>
        <v>0.15083251714005885</v>
      </c>
      <c r="D32" s="49">
        <f t="shared" si="6"/>
        <v>0.10940499040307095</v>
      </c>
      <c r="E32" s="48">
        <f>((1+D32)*(1+C32)*(1+B32))^(1/3)-1</f>
        <v>0.10768981352379892</v>
      </c>
      <c r="F32" s="48">
        <f t="shared" si="7"/>
        <v>0.10683321973564985</v>
      </c>
      <c r="G32" s="49">
        <f t="shared" si="7"/>
        <v>0.12992890822091496</v>
      </c>
    </row>
    <row r="33" spans="1:7">
      <c r="A33" s="51" t="s">
        <v>25</v>
      </c>
      <c r="B33" s="47">
        <f t="shared" si="6"/>
        <v>5.474095796676437E-2</v>
      </c>
      <c r="C33" s="48">
        <f t="shared" si="6"/>
        <v>0.14397649363369247</v>
      </c>
      <c r="D33" s="49">
        <f t="shared" si="6"/>
        <v>0.10940499040307095</v>
      </c>
      <c r="E33" s="48">
        <f>((1+D33)*(1+C33)*(1+B33))^(1/3)-1</f>
        <v>0.10209155769026124</v>
      </c>
      <c r="F33" s="48">
        <f t="shared" si="7"/>
        <v>9.8452940633626307E-2</v>
      </c>
      <c r="G33" s="49">
        <f t="shared" si="7"/>
        <v>0.12655813473651922</v>
      </c>
    </row>
    <row r="35" spans="1:7">
      <c r="A35" s="55" t="s">
        <v>28</v>
      </c>
    </row>
    <row r="36" spans="1:7">
      <c r="A36" s="54" t="s">
        <v>26</v>
      </c>
    </row>
    <row r="37" spans="1:7">
      <c r="A37" s="37" t="s">
        <v>27</v>
      </c>
    </row>
    <row r="39" spans="1:7">
      <c r="A39" s="38" t="s">
        <v>53</v>
      </c>
    </row>
    <row r="40" spans="1:7">
      <c r="B40" s="42" t="s">
        <v>6</v>
      </c>
      <c r="C40" s="43" t="s">
        <v>7</v>
      </c>
      <c r="D40" s="44" t="s">
        <v>8</v>
      </c>
    </row>
    <row r="41" spans="1:7">
      <c r="A41" s="50" t="s">
        <v>14</v>
      </c>
      <c r="B41" s="47">
        <v>2.8000000000000001E-2</v>
      </c>
      <c r="C41" s="48">
        <v>2.9000000000000001E-2</v>
      </c>
      <c r="D41" s="49">
        <v>4.3999999999999997E-2</v>
      </c>
    </row>
    <row r="42" spans="1:7">
      <c r="A42" s="63" t="s">
        <v>52</v>
      </c>
      <c r="B42" s="47">
        <v>2.3E-2</v>
      </c>
      <c r="C42" s="48">
        <v>2.1000000000000001E-2</v>
      </c>
      <c r="D42" s="49">
        <v>4.2000000000000003E-2</v>
      </c>
    </row>
  </sheetData>
  <mergeCells count="2">
    <mergeCell ref="B3:D3"/>
    <mergeCell ref="E3:G3"/>
  </mergeCells>
  <phoneticPr fontId="35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T12.1</vt:lpstr>
      <vt:lpstr>T12.2</vt:lpstr>
      <vt:lpstr>TS12.1</vt:lpstr>
      <vt:lpstr>TS12.2</vt:lpstr>
      <vt:lpstr>TS12.3</vt:lpstr>
      <vt:lpstr>TS12.4</vt:lpstr>
      <vt:lpstr>TS12.5</vt:lpstr>
      <vt:lpstr>DetailsTS12.2</vt:lpstr>
      <vt:lpstr>F12.1</vt:lpstr>
      <vt:lpstr>F12.2</vt:lpstr>
      <vt:lpstr>F12.3</vt:lpstr>
      <vt:lpstr>F12.4</vt:lpstr>
      <vt:lpstr>F12.5</vt:lpstr>
      <vt:lpstr>F12.6</vt:lpstr>
      <vt:lpstr>'TS12.4'!Zone_d_impression</vt:lpstr>
    </vt:vector>
  </TitlesOfParts>
  <Company>PSE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Thomas Piketty</cp:lastModifiedBy>
  <cp:lastPrinted>2014-01-19T16:06:31Z</cp:lastPrinted>
  <dcterms:created xsi:type="dcterms:W3CDTF">2012-12-17T09:50:54Z</dcterms:created>
  <dcterms:modified xsi:type="dcterms:W3CDTF">2014-01-22T19:38:52Z</dcterms:modified>
</cp:coreProperties>
</file>