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0" yWindow="0" windowWidth="25600" windowHeight="15480"/>
  </bookViews>
  <sheets>
    <sheet name="TS15.1a" sheetId="73" r:id="rId1"/>
    <sheet name="TS15.1b" sheetId="74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column_headings" localSheetId="0">#REF!</definedName>
    <definedName name="column_headings" localSheetId="1">#REF!</definedName>
    <definedName name="column_headings">#REF!</definedName>
    <definedName name="column_numbers" localSheetId="0">#REF!</definedName>
    <definedName name="column_numbers" localSheetId="1">#REF!</definedName>
    <definedName name="column_numbers">#REF!</definedName>
    <definedName name="data" localSheetId="0">#REF!</definedName>
    <definedName name="data" localSheetId="1">#REF!</definedName>
    <definedName name="data">#REF!</definedName>
    <definedName name="data2" localSheetId="0">#REF!</definedName>
    <definedName name="data2" localSheetId="1">#REF!</definedName>
    <definedName name="data2">#REF!</definedName>
    <definedName name="ea_flux" localSheetId="0">#REF!</definedName>
    <definedName name="ea_flux" localSheetId="1">#REF!</definedName>
    <definedName name="ea_flux">#REF!</definedName>
    <definedName name="Equilibre" localSheetId="0">#REF!</definedName>
    <definedName name="Equilibre" localSheetId="1">#REF!</definedName>
    <definedName name="Equilibre">#REF!</definedName>
    <definedName name="footnotes" localSheetId="0">#REF!</definedName>
    <definedName name="footnotes" localSheetId="1">#REF!</definedName>
    <definedName name="footnotes">#REF!</definedName>
    <definedName name="PIB" localSheetId="0">#REF!</definedName>
    <definedName name="PIB" localSheetId="1">#REF!</definedName>
    <definedName name="PIB">#REF!</definedName>
    <definedName name="ressources" localSheetId="0">#REF!</definedName>
    <definedName name="ressources" localSheetId="1">#REF!</definedName>
    <definedName name="ressources">#REF!</definedName>
    <definedName name="rpflux" localSheetId="0">#REF!</definedName>
    <definedName name="rpflux" localSheetId="1">#REF!</definedName>
    <definedName name="rpflux">#REF!</definedName>
    <definedName name="rptof" localSheetId="0">#REF!</definedName>
    <definedName name="rptof" localSheetId="1">#REF!</definedName>
    <definedName name="rptof">#REF!</definedName>
    <definedName name="spanners_level1" localSheetId="0">#REF!</definedName>
    <definedName name="spanners_level1" localSheetId="1">#REF!</definedName>
    <definedName name="spanners_level1">#REF!</definedName>
    <definedName name="spanners_level2" localSheetId="0">#REF!</definedName>
    <definedName name="spanners_level2" localSheetId="1">#REF!</definedName>
    <definedName name="spanners_level2">#REF!</definedName>
    <definedName name="spanners_level3" localSheetId="0">#REF!</definedName>
    <definedName name="spanners_level3" localSheetId="1">#REF!</definedName>
    <definedName name="spanners_level3">#REF!</definedName>
    <definedName name="spanners_level4" localSheetId="0">#REF!</definedName>
    <definedName name="spanners_level4" localSheetId="1">#REF!</definedName>
    <definedName name="spanners_level4">#REF!</definedName>
    <definedName name="spanners_level5" localSheetId="0">#REF!</definedName>
    <definedName name="spanners_level5" localSheetId="1">#REF!</definedName>
    <definedName name="spanners_level5">#REF!</definedName>
    <definedName name="stub_lines" localSheetId="0">#REF!</definedName>
    <definedName name="stub_lines" localSheetId="1">#REF!</definedName>
    <definedName name="stub_lines">#REF!</definedName>
    <definedName name="temp" localSheetId="0">#REF!</definedName>
    <definedName name="temp" localSheetId="1">#REF!</definedName>
    <definedName name="temp">#REF!</definedName>
    <definedName name="titles" localSheetId="0">#REF!</definedName>
    <definedName name="titles" localSheetId="1">#REF!</definedName>
    <definedName name="titles">#REF!</definedName>
    <definedName name="totals" localSheetId="0">#REF!</definedName>
    <definedName name="totals" localSheetId="1">#REF!</definedName>
    <definedName name="totals">#REF!</definedName>
    <definedName name="xxx" localSheetId="0">#REF!</definedName>
    <definedName name="xxx" localSheetId="1">#REF!</definedName>
    <definedName name="xxx">#REF!</definedName>
    <definedName name="_xlnm.Print_Area" localSheetId="0">TS15.1a!$A$3:$G$33</definedName>
    <definedName name="_xlnm.Print_Area" localSheetId="1">TS15.1b!$A$3:$G$34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74" l="1"/>
  <c r="B43" i="74"/>
  <c r="B44" i="74"/>
  <c r="F44" i="74"/>
  <c r="F43" i="74"/>
  <c r="F42" i="74"/>
  <c r="B42" i="74"/>
  <c r="F41" i="74"/>
  <c r="F40" i="74"/>
  <c r="F39" i="74"/>
  <c r="K27" i="74"/>
  <c r="L27" i="74"/>
  <c r="I28" i="74"/>
  <c r="J28" i="74"/>
  <c r="K28" i="74"/>
  <c r="L28" i="74"/>
  <c r="I29" i="74"/>
  <c r="J29" i="74"/>
  <c r="K29" i="74"/>
  <c r="L29" i="74"/>
  <c r="I30" i="74"/>
  <c r="J30" i="74"/>
  <c r="K30" i="74"/>
  <c r="L30" i="74"/>
  <c r="I31" i="74"/>
  <c r="J31" i="74"/>
  <c r="K31" i="74"/>
  <c r="L31" i="74"/>
  <c r="I32" i="74"/>
  <c r="J32" i="74"/>
  <c r="K32" i="74"/>
  <c r="L32" i="74"/>
  <c r="L33" i="74"/>
  <c r="D27" i="74"/>
  <c r="E27" i="74"/>
  <c r="G27" i="74"/>
  <c r="D28" i="74"/>
  <c r="E28" i="74"/>
  <c r="G28" i="74"/>
  <c r="D29" i="74"/>
  <c r="E29" i="74"/>
  <c r="G29" i="74"/>
  <c r="D30" i="74"/>
  <c r="E30" i="74"/>
  <c r="G30" i="74"/>
  <c r="D31" i="74"/>
  <c r="E31" i="74"/>
  <c r="G31" i="74"/>
  <c r="D32" i="74"/>
  <c r="E32" i="74"/>
  <c r="G32" i="74"/>
  <c r="G33" i="74"/>
  <c r="B27" i="74"/>
  <c r="F27" i="74"/>
  <c r="B28" i="74"/>
  <c r="F28" i="74"/>
  <c r="B29" i="74"/>
  <c r="F29" i="74"/>
  <c r="B30" i="74"/>
  <c r="F30" i="74"/>
  <c r="B31" i="74"/>
  <c r="F31" i="74"/>
  <c r="B32" i="74"/>
  <c r="F32" i="74"/>
  <c r="F33" i="74"/>
  <c r="E33" i="74"/>
  <c r="D33" i="74"/>
  <c r="C27" i="74"/>
  <c r="C28" i="74"/>
  <c r="C29" i="74"/>
  <c r="C30" i="74"/>
  <c r="C31" i="74"/>
  <c r="C32" i="74"/>
  <c r="C33" i="74"/>
  <c r="B33" i="74"/>
  <c r="C15" i="74"/>
  <c r="C14" i="74"/>
  <c r="C13" i="74"/>
  <c r="C12" i="74"/>
  <c r="C11" i="74"/>
  <c r="D45" i="73"/>
  <c r="B43" i="73"/>
  <c r="B44" i="73"/>
  <c r="F41" i="73"/>
  <c r="I29" i="73"/>
  <c r="J29" i="73"/>
  <c r="K29" i="73"/>
  <c r="L29" i="73"/>
  <c r="F39" i="73"/>
  <c r="I28" i="73"/>
  <c r="J28" i="73"/>
  <c r="K28" i="73"/>
  <c r="L28" i="73"/>
  <c r="F42" i="73"/>
  <c r="I30" i="73"/>
  <c r="J30" i="73"/>
  <c r="K30" i="73"/>
  <c r="L30" i="73"/>
  <c r="F43" i="73"/>
  <c r="I31" i="73"/>
  <c r="J31" i="73"/>
  <c r="K31" i="73"/>
  <c r="L31" i="73"/>
  <c r="F44" i="73"/>
  <c r="I32" i="73"/>
  <c r="J32" i="73"/>
  <c r="K32" i="73"/>
  <c r="D32" i="73"/>
  <c r="L32" i="73"/>
  <c r="K27" i="73"/>
  <c r="L27" i="73"/>
  <c r="E32" i="73"/>
  <c r="G32" i="73"/>
  <c r="D31" i="73"/>
  <c r="E31" i="73"/>
  <c r="G31" i="73"/>
  <c r="D30" i="73"/>
  <c r="E30" i="73"/>
  <c r="G30" i="73"/>
  <c r="D29" i="73"/>
  <c r="E29" i="73"/>
  <c r="G29" i="73"/>
  <c r="D28" i="73"/>
  <c r="E28" i="73"/>
  <c r="G28" i="73"/>
  <c r="D27" i="73"/>
  <c r="E27" i="73"/>
  <c r="G27" i="73"/>
  <c r="G33" i="73"/>
  <c r="B28" i="73"/>
  <c r="B42" i="73"/>
  <c r="F28" i="73"/>
  <c r="B29" i="73"/>
  <c r="F29" i="73"/>
  <c r="B27" i="73"/>
  <c r="F27" i="73"/>
  <c r="B30" i="73"/>
  <c r="F30" i="73"/>
  <c r="B31" i="73"/>
  <c r="F31" i="73"/>
  <c r="B32" i="73"/>
  <c r="F32" i="73"/>
  <c r="F33" i="73"/>
  <c r="L33" i="73"/>
  <c r="E33" i="73"/>
  <c r="D33" i="73"/>
  <c r="C27" i="73"/>
  <c r="C28" i="73"/>
  <c r="C29" i="73"/>
  <c r="C30" i="73"/>
  <c r="C31" i="73"/>
  <c r="C32" i="73"/>
  <c r="C33" i="73"/>
  <c r="B33" i="73"/>
  <c r="C15" i="73"/>
  <c r="C14" i="73"/>
  <c r="C12" i="73"/>
  <c r="C11" i="73"/>
  <c r="C13" i="73"/>
  <c r="F40" i="73"/>
</calcChain>
</file>

<file path=xl/sharedStrings.xml><?xml version="1.0" encoding="utf-8"?>
<sst xmlns="http://schemas.openxmlformats.org/spreadsheetml/2006/main" count="124" uniqueCount="62">
  <si>
    <t>Per adult GDP</t>
  </si>
  <si>
    <t>Pareto coeff a</t>
  </si>
  <si>
    <t>Inverted Pareto coeff b</t>
  </si>
  <si>
    <t>EU total population (millions, 2013)</t>
  </si>
  <si>
    <t>EU GDP (billions €, 2013)</t>
  </si>
  <si>
    <t>Ratio adult/total population: 80% (see Piketty-Zucman 2013 country tables: 82% in Germany, 78% in France, etc.)</t>
  </si>
  <si>
    <t>Per adult private wealth</t>
  </si>
  <si>
    <t>Private wealth-GDP ratio</t>
  </si>
  <si>
    <t>EU GDP and population: 15 000 billions € and 540 millions (see Table 1.1, 14 700 billions € for enlarged EU GDP in 2012 and 540 millions for population)</t>
  </si>
  <si>
    <t>Ratio adult/total population</t>
  </si>
  <si>
    <t>Pareto coeff: average estimate; the true inverted Pareto coeff varies with threshold and is closer to 3 at the very top (see Forbes ranking), which would increase tax revenues</t>
  </si>
  <si>
    <t>Adult population</t>
  </si>
  <si>
    <t>Tranche 1</t>
  </si>
  <si>
    <t>Tranche 2</t>
  </si>
  <si>
    <t>Tranche 3</t>
  </si>
  <si>
    <t>Tranche 4</t>
  </si>
  <si>
    <t>Tranche 5</t>
  </si>
  <si>
    <t>Tranche 6</t>
  </si>
  <si>
    <t>Top 10% wealth share</t>
  </si>
  <si>
    <t>Top 5% wealth share</t>
  </si>
  <si>
    <t>Top 1% wealth share</t>
  </si>
  <si>
    <t>P90 threshold</t>
  </si>
  <si>
    <t>P95 threshold</t>
  </si>
  <si>
    <t>P99 threshold</t>
  </si>
  <si>
    <t>P99,9 threshold</t>
  </si>
  <si>
    <t>P99,99 threshold</t>
  </si>
  <si>
    <t>P99,999 threshold</t>
  </si>
  <si>
    <t>Top 0,1% wealth share</t>
  </si>
  <si>
    <t>Top 0,01% wealth share</t>
  </si>
  <si>
    <t>Top 0,001% wealth share</t>
  </si>
  <si>
    <t>Total</t>
  </si>
  <si>
    <t>Simulation parameters</t>
  </si>
  <si>
    <t>Private wealth-GDP ratio: 510% (see graph 5.1: average ratio private wealth/national income = about 550-560% in Europe) (somewhat higher with tax havens)</t>
  </si>
  <si>
    <t>Top wealth shares: 65% for top 10%, 28% for top 1% (see Table S10.1: slighltly above European averages in order to take into account downward biases in national estimates; according to Roine-Waldenstrom, corrected top 1% share could be even higher)</t>
  </si>
  <si>
    <t>Marginal tax rate</t>
  </si>
  <si>
    <t>Between…</t>
  </si>
  <si>
    <t>And…</t>
  </si>
  <si>
    <t>Simulation results</t>
  </si>
  <si>
    <t>Intermediary results</t>
  </si>
  <si>
    <t>( % total private wealth)</t>
  </si>
  <si>
    <t>(% GDP)</t>
  </si>
  <si>
    <t>Tax bracket 1</t>
  </si>
  <si>
    <t>Tax bracket 2</t>
  </si>
  <si>
    <t>Tax bracket 3</t>
  </si>
  <si>
    <t>Tax bracket 4</t>
  </si>
  <si>
    <t>Tax bracket 5</t>
  </si>
  <si>
    <t>Tax bracket 6</t>
  </si>
  <si>
    <t>and more…</t>
  </si>
  <si>
    <t xml:space="preserve">% tax base affected by this tax bracket </t>
  </si>
  <si>
    <t xml:space="preserve">% population affected by this tax bracket </t>
  </si>
  <si>
    <t xml:space="preserve">Choice of the tax rate schedule                                                                                  </t>
  </si>
  <si>
    <t>Wealth brackets</t>
  </si>
  <si>
    <t>Tax revenues due to this tax bracket (% GDP)</t>
  </si>
  <si>
    <t>Number of tax-payers affected by this tax bracket (thousand)</t>
  </si>
  <si>
    <t>Tax revenues due to this tax bracket (billion €)</t>
  </si>
  <si>
    <t>% population above the lower threshold of the bracket</t>
  </si>
  <si>
    <t>% tax base above the lower threshold of the bracket</t>
  </si>
  <si>
    <t>Tax revenues above the threshold (% GDP)</t>
  </si>
  <si>
    <t>(you can modify the red paremeters)</t>
  </si>
  <si>
    <t>and more …</t>
  </si>
  <si>
    <t>Table S15.1a. Basic similation for a European wealth tax (example a)</t>
  </si>
  <si>
    <t>Table S15.1b. Basic similation for a European wealth tax (example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</si>
</sst>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.0%"/>
    <numFmt numFmtId="176" formatCode="\$#,##0\ ;\(\$#,##0\)"/>
    <numFmt numFmtId="180" formatCode="0.000%"/>
    <numFmt numFmtId="185" formatCode="#,##0\ &quot;€&quot;"/>
  </numFmts>
  <fonts count="28" x14ac:knownFonts="1">
    <font>
      <sz val="10"/>
      <name val="Arial"/>
    </font>
    <font>
      <sz val="10"/>
      <name val="Arial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7"/>
      <name val="Helvetic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</font>
    <font>
      <sz val="8"/>
      <name val="Arial"/>
    </font>
    <font>
      <sz val="12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7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21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7" fillId="0" borderId="2" applyNumberFormat="0" applyFill="0" applyAlignment="0" applyProtection="0"/>
    <xf numFmtId="0" fontId="10" fillId="21" borderId="3" applyNumberFormat="0" applyAlignment="0" applyProtection="0"/>
    <xf numFmtId="0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7" borderId="1" applyNumberFormat="0" applyAlignment="0" applyProtection="0"/>
    <xf numFmtId="0" fontId="11" fillId="0" borderId="0" applyNumberFormat="0" applyFill="0" applyBorder="0" applyAlignment="0" applyProtection="0"/>
    <xf numFmtId="3" fontId="2" fillId="0" borderId="0" applyFont="0" applyFill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8" fillId="3" borderId="0" applyNumberFormat="0" applyBorder="0" applyAlignment="0" applyProtection="0"/>
    <xf numFmtId="0" fontId="17" fillId="0" borderId="2" applyNumberFormat="0" applyFill="0" applyAlignment="0" applyProtection="0"/>
    <xf numFmtId="176" fontId="2" fillId="0" borderId="0" applyFont="0" applyFill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22" fillId="0" borderId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5" fillId="0" borderId="9">
      <alignment horizontal="center"/>
    </xf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ont="0" applyFill="0" applyAlignment="0" applyProtection="0"/>
    <xf numFmtId="2" fontId="2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88">
    <xf numFmtId="0" fontId="0" fillId="0" borderId="0" xfId="0"/>
    <xf numFmtId="0" fontId="22" fillId="0" borderId="0" xfId="66"/>
    <xf numFmtId="0" fontId="23" fillId="0" borderId="0" xfId="66" applyFont="1"/>
    <xf numFmtId="0" fontId="23" fillId="0" borderId="0" xfId="66" applyFont="1" applyAlignment="1">
      <alignment horizontal="center" vertical="center"/>
    </xf>
    <xf numFmtId="9" fontId="23" fillId="0" borderId="0" xfId="66" applyNumberFormat="1" applyFont="1" applyAlignment="1">
      <alignment horizontal="center" vertical="center"/>
    </xf>
    <xf numFmtId="172" fontId="24" fillId="0" borderId="0" xfId="66" applyNumberFormat="1" applyFont="1" applyAlignment="1">
      <alignment horizontal="center" vertical="center"/>
    </xf>
    <xf numFmtId="0" fontId="23" fillId="0" borderId="11" xfId="66" applyFont="1" applyBorder="1" applyAlignment="1">
      <alignment horizontal="center" vertical="center" wrapText="1"/>
    </xf>
    <xf numFmtId="0" fontId="23" fillId="0" borderId="11" xfId="66" applyFont="1" applyBorder="1" applyAlignment="1">
      <alignment horizontal="center" vertical="center"/>
    </xf>
    <xf numFmtId="185" fontId="23" fillId="0" borderId="11" xfId="66" applyNumberFormat="1" applyFont="1" applyBorder="1" applyAlignment="1">
      <alignment horizontal="center" vertical="center"/>
    </xf>
    <xf numFmtId="0" fontId="23" fillId="0" borderId="12" xfId="66" applyFont="1" applyBorder="1" applyAlignment="1">
      <alignment horizontal="center" vertical="center"/>
    </xf>
    <xf numFmtId="185" fontId="23" fillId="0" borderId="12" xfId="66" applyNumberFormat="1" applyFont="1" applyBorder="1" applyAlignment="1">
      <alignment horizontal="center" vertical="center"/>
    </xf>
    <xf numFmtId="0" fontId="23" fillId="0" borderId="13" xfId="66" applyFont="1" applyBorder="1" applyAlignment="1">
      <alignment horizontal="center" vertical="center"/>
    </xf>
    <xf numFmtId="185" fontId="23" fillId="0" borderId="13" xfId="66" applyNumberFormat="1" applyFont="1" applyBorder="1" applyAlignment="1">
      <alignment horizontal="center" vertical="center"/>
    </xf>
    <xf numFmtId="0" fontId="23" fillId="0" borderId="0" xfId="66" applyFont="1" applyAlignment="1">
      <alignment horizontal="left" vertical="center"/>
    </xf>
    <xf numFmtId="0" fontId="23" fillId="0" borderId="13" xfId="66" applyFont="1" applyBorder="1" applyAlignment="1">
      <alignment horizontal="center" vertical="center" wrapText="1"/>
    </xf>
    <xf numFmtId="0" fontId="23" fillId="0" borderId="12" xfId="66" applyFont="1" applyBorder="1" applyAlignment="1">
      <alignment horizontal="center" vertical="center" wrapText="1"/>
    </xf>
    <xf numFmtId="10" fontId="23" fillId="0" borderId="11" xfId="66" applyNumberFormat="1" applyFont="1" applyBorder="1" applyAlignment="1">
      <alignment horizontal="center" vertical="center"/>
    </xf>
    <xf numFmtId="9" fontId="23" fillId="0" borderId="11" xfId="66" applyNumberFormat="1" applyFont="1" applyBorder="1" applyAlignment="1">
      <alignment horizontal="center" vertical="center"/>
    </xf>
    <xf numFmtId="172" fontId="24" fillId="0" borderId="11" xfId="66" applyNumberFormat="1" applyFont="1" applyBorder="1" applyAlignment="1">
      <alignment horizontal="center" vertical="center"/>
    </xf>
    <xf numFmtId="10" fontId="23" fillId="0" borderId="12" xfId="66" applyNumberFormat="1" applyFont="1" applyBorder="1" applyAlignment="1">
      <alignment horizontal="center" vertical="center"/>
    </xf>
    <xf numFmtId="9" fontId="23" fillId="0" borderId="12" xfId="66" applyNumberFormat="1" applyFont="1" applyBorder="1" applyAlignment="1">
      <alignment horizontal="center" vertical="center"/>
    </xf>
    <xf numFmtId="172" fontId="24" fillId="0" borderId="12" xfId="66" applyNumberFormat="1" applyFont="1" applyBorder="1" applyAlignment="1">
      <alignment horizontal="center" vertical="center"/>
    </xf>
    <xf numFmtId="180" fontId="23" fillId="0" borderId="12" xfId="66" applyNumberFormat="1" applyFont="1" applyBorder="1" applyAlignment="1">
      <alignment horizontal="center" vertical="center"/>
    </xf>
    <xf numFmtId="0" fontId="22" fillId="0" borderId="13" xfId="66" applyBorder="1"/>
    <xf numFmtId="172" fontId="24" fillId="0" borderId="13" xfId="66" applyNumberFormat="1" applyFont="1" applyBorder="1" applyAlignment="1">
      <alignment horizontal="center"/>
    </xf>
    <xf numFmtId="172" fontId="23" fillId="0" borderId="11" xfId="66" applyNumberFormat="1" applyFont="1" applyBorder="1" applyAlignment="1">
      <alignment horizontal="center" vertical="center"/>
    </xf>
    <xf numFmtId="172" fontId="23" fillId="0" borderId="11" xfId="66" applyNumberFormat="1" applyFont="1" applyBorder="1" applyAlignment="1">
      <alignment horizontal="center"/>
    </xf>
    <xf numFmtId="3" fontId="23" fillId="0" borderId="11" xfId="66" applyNumberFormat="1" applyFont="1" applyBorder="1" applyAlignment="1">
      <alignment horizontal="center"/>
    </xf>
    <xf numFmtId="172" fontId="23" fillId="0" borderId="12" xfId="66" applyNumberFormat="1" applyFont="1" applyBorder="1" applyAlignment="1">
      <alignment horizontal="center" vertical="center"/>
    </xf>
    <xf numFmtId="172" fontId="23" fillId="0" borderId="12" xfId="66" applyNumberFormat="1" applyFont="1" applyBorder="1" applyAlignment="1">
      <alignment horizontal="center"/>
    </xf>
    <xf numFmtId="3" fontId="23" fillId="0" borderId="12" xfId="66" applyNumberFormat="1" applyFont="1" applyBorder="1" applyAlignment="1">
      <alignment horizontal="center"/>
    </xf>
    <xf numFmtId="172" fontId="24" fillId="0" borderId="14" xfId="66" applyNumberFormat="1" applyFont="1" applyBorder="1" applyAlignment="1">
      <alignment horizontal="center" vertical="center"/>
    </xf>
    <xf numFmtId="3" fontId="23" fillId="0" borderId="11" xfId="66" applyNumberFormat="1" applyFont="1" applyBorder="1" applyAlignment="1">
      <alignment horizontal="center" vertical="center"/>
    </xf>
    <xf numFmtId="1" fontId="23" fillId="0" borderId="12" xfId="66" applyNumberFormat="1" applyFont="1" applyBorder="1" applyAlignment="1">
      <alignment horizontal="center" vertical="center"/>
    </xf>
    <xf numFmtId="2" fontId="23" fillId="0" borderId="12" xfId="66" applyNumberFormat="1" applyFont="1" applyBorder="1" applyAlignment="1">
      <alignment horizontal="center" vertical="center"/>
    </xf>
    <xf numFmtId="2" fontId="23" fillId="0" borderId="13" xfId="66" applyNumberFormat="1" applyFont="1" applyBorder="1" applyAlignment="1">
      <alignment horizontal="center" vertical="center"/>
    </xf>
    <xf numFmtId="3" fontId="24" fillId="0" borderId="14" xfId="66" applyNumberFormat="1" applyFont="1" applyBorder="1" applyAlignment="1">
      <alignment horizontal="center"/>
    </xf>
    <xf numFmtId="0" fontId="22" fillId="0" borderId="0" xfId="66" applyBorder="1"/>
    <xf numFmtId="0" fontId="23" fillId="0" borderId="0" xfId="66" applyFont="1" applyBorder="1" applyAlignment="1">
      <alignment vertical="center" wrapText="1"/>
    </xf>
    <xf numFmtId="0" fontId="22" fillId="0" borderId="15" xfId="66" applyBorder="1"/>
    <xf numFmtId="0" fontId="23" fillId="0" borderId="15" xfId="66" applyFont="1" applyBorder="1" applyAlignment="1">
      <alignment vertical="center" wrapText="1"/>
    </xf>
    <xf numFmtId="185" fontId="27" fillId="24" borderId="11" xfId="66" applyNumberFormat="1" applyFont="1" applyFill="1" applyBorder="1" applyAlignment="1">
      <alignment horizontal="center" vertical="center"/>
    </xf>
    <xf numFmtId="185" fontId="27" fillId="24" borderId="12" xfId="66" applyNumberFormat="1" applyFont="1" applyFill="1" applyBorder="1" applyAlignment="1">
      <alignment horizontal="center" vertical="center"/>
    </xf>
    <xf numFmtId="185" fontId="27" fillId="24" borderId="13" xfId="66" applyNumberFormat="1" applyFont="1" applyFill="1" applyBorder="1" applyAlignment="1">
      <alignment horizontal="center" vertical="center"/>
    </xf>
    <xf numFmtId="172" fontId="27" fillId="24" borderId="11" xfId="66" applyNumberFormat="1" applyFont="1" applyFill="1" applyBorder="1" applyAlignment="1">
      <alignment horizontal="center" vertical="center"/>
    </xf>
    <xf numFmtId="172" fontId="27" fillId="24" borderId="12" xfId="66" applyNumberFormat="1" applyFont="1" applyFill="1" applyBorder="1" applyAlignment="1">
      <alignment horizontal="center" vertical="center"/>
    </xf>
    <xf numFmtId="172" fontId="27" fillId="24" borderId="13" xfId="66" applyNumberFormat="1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1" xfId="66" applyFont="1" applyBorder="1" applyAlignment="1">
      <alignment horizontal="center" vertical="center" wrapText="1"/>
    </xf>
    <xf numFmtId="0" fontId="23" fillId="0" borderId="12" xfId="66" applyFont="1" applyBorder="1" applyAlignment="1">
      <alignment horizontal="center" vertical="center" wrapText="1"/>
    </xf>
    <xf numFmtId="0" fontId="23" fillId="0" borderId="13" xfId="66" applyFont="1" applyBorder="1" applyAlignment="1">
      <alignment horizontal="center" vertical="center" wrapText="1"/>
    </xf>
    <xf numFmtId="0" fontId="23" fillId="0" borderId="16" xfId="66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23" fillId="0" borderId="14" xfId="66" applyFont="1" applyBorder="1" applyAlignment="1">
      <alignment horizontal="center" vertical="center" wrapText="1"/>
    </xf>
    <xf numFmtId="0" fontId="24" fillId="0" borderId="16" xfId="66" applyFont="1" applyBorder="1" applyAlignment="1">
      <alignment horizontal="center" vertical="center"/>
    </xf>
    <xf numFmtId="0" fontId="24" fillId="0" borderId="17" xfId="66" applyFont="1" applyBorder="1" applyAlignment="1">
      <alignment horizontal="center" vertical="center"/>
    </xf>
    <xf numFmtId="0" fontId="24" fillId="0" borderId="18" xfId="66" applyFont="1" applyBorder="1" applyAlignment="1">
      <alignment horizontal="center" vertical="center"/>
    </xf>
    <xf numFmtId="0" fontId="24" fillId="0" borderId="19" xfId="66" applyFont="1" applyBorder="1" applyAlignment="1">
      <alignment horizontal="center" vertical="center"/>
    </xf>
    <xf numFmtId="0" fontId="24" fillId="0" borderId="0" xfId="66" applyFont="1" applyBorder="1" applyAlignment="1">
      <alignment horizontal="center" vertical="center"/>
    </xf>
    <xf numFmtId="0" fontId="24" fillId="0" borderId="15" xfId="66" applyFont="1" applyBorder="1" applyAlignment="1">
      <alignment horizontal="center" vertical="center"/>
    </xf>
    <xf numFmtId="0" fontId="24" fillId="0" borderId="20" xfId="66" applyFont="1" applyBorder="1" applyAlignment="1">
      <alignment horizontal="center" vertical="center"/>
    </xf>
    <xf numFmtId="0" fontId="24" fillId="0" borderId="21" xfId="66" applyFont="1" applyBorder="1" applyAlignment="1">
      <alignment horizontal="center" vertical="center"/>
    </xf>
    <xf numFmtId="0" fontId="24" fillId="0" borderId="22" xfId="66" applyFont="1" applyBorder="1" applyAlignment="1">
      <alignment horizontal="center" vertical="center"/>
    </xf>
    <xf numFmtId="0" fontId="24" fillId="0" borderId="16" xfId="66" applyFont="1" applyBorder="1" applyAlignment="1">
      <alignment horizontal="center" vertical="center" wrapText="1"/>
    </xf>
    <xf numFmtId="0" fontId="24" fillId="0" borderId="17" xfId="66" applyFont="1" applyBorder="1" applyAlignment="1">
      <alignment horizontal="center" vertical="center" wrapText="1"/>
    </xf>
    <xf numFmtId="0" fontId="24" fillId="0" borderId="18" xfId="66" applyFont="1" applyBorder="1" applyAlignment="1">
      <alignment horizontal="center" vertical="center" wrapText="1"/>
    </xf>
    <xf numFmtId="0" fontId="24" fillId="0" borderId="19" xfId="66" applyFont="1" applyBorder="1" applyAlignment="1">
      <alignment horizontal="center" vertical="center" wrapText="1"/>
    </xf>
    <xf numFmtId="0" fontId="24" fillId="0" borderId="0" xfId="66" applyFont="1" applyBorder="1" applyAlignment="1">
      <alignment horizontal="center" vertical="center" wrapText="1"/>
    </xf>
    <xf numFmtId="0" fontId="24" fillId="0" borderId="15" xfId="66" applyFont="1" applyBorder="1" applyAlignment="1">
      <alignment horizontal="center" vertical="center" wrapText="1"/>
    </xf>
    <xf numFmtId="0" fontId="24" fillId="0" borderId="20" xfId="66" applyFont="1" applyBorder="1" applyAlignment="1">
      <alignment horizontal="center" vertical="center" wrapText="1"/>
    </xf>
    <xf numFmtId="0" fontId="24" fillId="0" borderId="21" xfId="66" applyFont="1" applyBorder="1" applyAlignment="1">
      <alignment horizontal="center" vertical="center" wrapText="1"/>
    </xf>
    <xf numFmtId="0" fontId="24" fillId="0" borderId="22" xfId="66" applyFont="1" applyBorder="1" applyAlignment="1">
      <alignment horizontal="center" vertical="center" wrapText="1"/>
    </xf>
    <xf numFmtId="0" fontId="27" fillId="24" borderId="20" xfId="0" applyFont="1" applyFill="1" applyBorder="1" applyAlignment="1">
      <alignment horizontal="center" vertical="center" wrapText="1"/>
    </xf>
    <xf numFmtId="0" fontId="27" fillId="24" borderId="21" xfId="0" applyFont="1" applyFill="1" applyBorder="1" applyAlignment="1">
      <alignment horizontal="center" vertical="center" wrapText="1"/>
    </xf>
    <xf numFmtId="0" fontId="27" fillId="24" borderId="22" xfId="0" applyFont="1" applyFill="1" applyBorder="1" applyAlignment="1">
      <alignment horizontal="center" vertical="center" wrapText="1"/>
    </xf>
    <xf numFmtId="0" fontId="23" fillId="0" borderId="23" xfId="66" applyFont="1" applyBorder="1" applyAlignment="1">
      <alignment horizontal="center" vertical="center" wrapText="1"/>
    </xf>
    <xf numFmtId="0" fontId="23" fillId="0" borderId="24" xfId="66" applyFont="1" applyBorder="1" applyAlignment="1">
      <alignment horizontal="center" vertical="center" wrapText="1"/>
    </xf>
    <xf numFmtId="0" fontId="25" fillId="0" borderId="17" xfId="0" applyFont="1" applyBorder="1" applyAlignment="1">
      <alignment wrapText="1"/>
    </xf>
    <xf numFmtId="0" fontId="25" fillId="0" borderId="18" xfId="0" applyFont="1" applyBorder="1" applyAlignment="1">
      <alignment wrapText="1"/>
    </xf>
    <xf numFmtId="0" fontId="25" fillId="0" borderId="20" xfId="0" applyFont="1" applyBorder="1" applyAlignment="1">
      <alignment wrapText="1"/>
    </xf>
    <xf numFmtId="0" fontId="25" fillId="0" borderId="21" xfId="0" applyFont="1" applyBorder="1" applyAlignment="1">
      <alignment wrapText="1"/>
    </xf>
    <xf numFmtId="0" fontId="25" fillId="0" borderId="22" xfId="0" applyFont="1" applyBorder="1" applyAlignment="1">
      <alignment wrapText="1"/>
    </xf>
  </cellXfs>
  <cellStyles count="76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vertissement" xfId="43" builtinId="11" customBuiltin="1"/>
    <cellStyle name="Bad" xfId="44"/>
    <cellStyle name="Calcul" xfId="45" builtinId="22" customBuiltin="1"/>
    <cellStyle name="Calculation" xfId="46"/>
    <cellStyle name="Cellule liée" xfId="47" builtinId="24" customBuiltin="1"/>
    <cellStyle name="Check Cell" xfId="48"/>
    <cellStyle name="Date" xfId="49"/>
    <cellStyle name="En-tête 1" xfId="50"/>
    <cellStyle name="En-tête 2" xfId="51"/>
    <cellStyle name="Entrée" xfId="52" builtinId="20" customBuiltin="1"/>
    <cellStyle name="Explanatory Text" xfId="53"/>
    <cellStyle name="Financier0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Insatisfaisant" xfId="61" builtinId="27" customBuiltin="1"/>
    <cellStyle name="Linked Cell" xfId="62"/>
    <cellStyle name="Monétaire0" xfId="63"/>
    <cellStyle name="Neutral" xfId="64"/>
    <cellStyle name="Neutre" xfId="65" builtinId="28" customBuiltin="1"/>
    <cellStyle name="Normal" xfId="0" builtinId="0"/>
    <cellStyle name="Normal 2" xfId="66"/>
    <cellStyle name="Note" xfId="67"/>
    <cellStyle name="Output" xfId="68"/>
    <cellStyle name="Sortie" xfId="69" builtinId="21" customBuiltin="1"/>
    <cellStyle name="style_col_headings" xfId="70"/>
    <cellStyle name="Texte explicatif" xfId="71" builtinId="53" customBuiltin="1"/>
    <cellStyle name="Title" xfId="72"/>
    <cellStyle name="Total" xfId="73" builtinId="25" customBuiltin="1"/>
    <cellStyle name="Virgule fixe" xfId="74"/>
    <cellStyle name="Warning Text" xfId="7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optKtax/AppendixEstateTaxData/VariousDMTGComputations/AggregateEstateTaxSer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optKtax/AppendixDemoData/OldComputations190020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iketty/Successions2000s/PaperLongRunInheritance/PaperApril2010/AppendixEstateTaxData/VariousDMTGComputations/AggregateEstateTaxSeri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@/pse-srv-01/t.piketty$/Successions2000s/PaperLongRunInheritance/PaperSept2010(RevQJE)/RevWPVersion(Sept2010)/AppendixEstateTaxData/VariousDMTGComputations/AggregateEstateTaxSeri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@/pse-srv-01/t.piketty$/Successions2000s/PaperLongRunInheritance/PaperSept2010(RevQJE)/RevWPVersion(Sept2010)/AppendixDemoData/OldComputations1900205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@/pse-srv-01/t.piketty$/piketty/Successions2000s/PaperLongRunInheritance/PaperApril2010/AppendixEstateTaxData/VariousDMTGComputations/AggregateEstateTaxSeri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uly2009"/>
      <sheetName val="SériesArrondel2006"/>
      <sheetName val="SourcesDivers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uly2009"/>
      <sheetName val="PopulationAdjTableFR"/>
      <sheetName val="BirthsAdjTableFR-Ax"/>
      <sheetName val="DecedentsAdjTableFR-Ax"/>
      <sheetName val="MortalityMultiplierTableFR(old)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uly2009"/>
      <sheetName val="SériesArrondel2006"/>
      <sheetName val="SourcesDivers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July2009"/>
      <sheetName val="SériesArrondel2006"/>
      <sheetName val="SourcesDivers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July2009"/>
      <sheetName val="PopulationAdjTableFR"/>
      <sheetName val="BirthsAdjTableFR-Ax"/>
      <sheetName val="DecedentsAdjTableFR-Ax"/>
      <sheetName val="MortalityMultiplierTableFR(old)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July2009"/>
      <sheetName val="SériesArrondel2006"/>
      <sheetName val="SourcesDivers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L60"/>
  <sheetViews>
    <sheetView tabSelected="1" workbookViewId="0">
      <selection activeCell="A2" sqref="A2"/>
    </sheetView>
  </sheetViews>
  <sheetFormatPr baseColWidth="10" defaultColWidth="11.5" defaultRowHeight="12" x14ac:dyDescent="0"/>
  <cols>
    <col min="1" max="7" width="18.83203125" style="1" customWidth="1"/>
    <col min="8" max="17" width="15.83203125" style="1" customWidth="1"/>
    <col min="18" max="16384" width="11.5" style="1"/>
  </cols>
  <sheetData>
    <row r="2" spans="1:10" ht="13" thickBot="1"/>
    <row r="3" spans="1:10" ht="13" thickTop="1">
      <c r="A3" s="69" t="s">
        <v>60</v>
      </c>
      <c r="B3" s="70"/>
      <c r="C3" s="70"/>
      <c r="D3" s="70"/>
      <c r="E3" s="70"/>
      <c r="F3" s="70"/>
      <c r="G3" s="71"/>
    </row>
    <row r="4" spans="1:10">
      <c r="A4" s="72"/>
      <c r="B4" s="73"/>
      <c r="C4" s="73"/>
      <c r="D4" s="73"/>
      <c r="E4" s="73"/>
      <c r="F4" s="73"/>
      <c r="G4" s="74"/>
    </row>
    <row r="5" spans="1:10" ht="13" thickBot="1">
      <c r="A5" s="75"/>
      <c r="B5" s="76"/>
      <c r="C5" s="76"/>
      <c r="D5" s="76"/>
      <c r="E5" s="76"/>
      <c r="F5" s="76"/>
      <c r="G5" s="77"/>
    </row>
    <row r="6" spans="1:10" ht="17" thickTop="1" thickBo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9.75" customHeight="1" thickTop="1">
      <c r="A7" s="39"/>
      <c r="B7" s="69" t="s">
        <v>50</v>
      </c>
      <c r="C7" s="70"/>
      <c r="D7" s="71"/>
      <c r="H7" s="2"/>
      <c r="I7" s="2"/>
      <c r="J7" s="2"/>
    </row>
    <row r="8" spans="1:10" ht="19.75" customHeight="1" thickBot="1">
      <c r="A8" s="40"/>
      <c r="B8" s="78" t="s">
        <v>58</v>
      </c>
      <c r="C8" s="79"/>
      <c r="D8" s="80"/>
      <c r="H8" s="2"/>
      <c r="I8" s="2"/>
      <c r="J8" s="2"/>
    </row>
    <row r="9" spans="1:10" ht="25" customHeight="1" thickTop="1" thickBot="1">
      <c r="A9" s="2"/>
      <c r="B9" s="81" t="s">
        <v>51</v>
      </c>
      <c r="C9" s="82"/>
      <c r="D9" s="50" t="s">
        <v>34</v>
      </c>
    </row>
    <row r="10" spans="1:10" ht="25" customHeight="1" thickTop="1" thickBot="1">
      <c r="A10" s="2"/>
      <c r="B10" s="6" t="s">
        <v>35</v>
      </c>
      <c r="C10" s="6" t="s">
        <v>36</v>
      </c>
      <c r="D10" s="52"/>
    </row>
    <row r="11" spans="1:10" ht="15" customHeight="1" thickTop="1">
      <c r="A11" s="7" t="s">
        <v>41</v>
      </c>
      <c r="B11" s="41">
        <v>0</v>
      </c>
      <c r="C11" s="8">
        <f>B12</f>
        <v>200000</v>
      </c>
      <c r="D11" s="44">
        <v>0</v>
      </c>
    </row>
    <row r="12" spans="1:10" ht="15" customHeight="1">
      <c r="A12" s="9" t="s">
        <v>42</v>
      </c>
      <c r="B12" s="42">
        <v>200000</v>
      </c>
      <c r="C12" s="10">
        <f>B13</f>
        <v>1000000</v>
      </c>
      <c r="D12" s="45">
        <v>0</v>
      </c>
    </row>
    <row r="13" spans="1:10" ht="15" customHeight="1">
      <c r="A13" s="9" t="s">
        <v>43</v>
      </c>
      <c r="B13" s="42">
        <v>1000000</v>
      </c>
      <c r="C13" s="10">
        <f>B14</f>
        <v>5000000</v>
      </c>
      <c r="D13" s="45">
        <v>0.01</v>
      </c>
    </row>
    <row r="14" spans="1:10" ht="15" customHeight="1">
      <c r="A14" s="9" t="s">
        <v>44</v>
      </c>
      <c r="B14" s="42">
        <v>5000000</v>
      </c>
      <c r="C14" s="10">
        <f>B15</f>
        <v>20000000</v>
      </c>
      <c r="D14" s="45">
        <v>0.02</v>
      </c>
    </row>
    <row r="15" spans="1:10" ht="15" customHeight="1">
      <c r="A15" s="9" t="s">
        <v>45</v>
      </c>
      <c r="B15" s="42">
        <v>20000000</v>
      </c>
      <c r="C15" s="10">
        <f>B16</f>
        <v>100000000</v>
      </c>
      <c r="D15" s="45">
        <v>0.02</v>
      </c>
    </row>
    <row r="16" spans="1:10" ht="15" customHeight="1" thickBot="1">
      <c r="A16" s="11" t="s">
        <v>46</v>
      </c>
      <c r="B16" s="43">
        <v>100000000</v>
      </c>
      <c r="C16" s="12" t="s">
        <v>47</v>
      </c>
      <c r="D16" s="46">
        <v>0.02</v>
      </c>
    </row>
    <row r="17" spans="1:12" ht="15" customHeight="1" thickTop="1" thickBot="1">
      <c r="A17" s="3"/>
      <c r="B17" s="3"/>
      <c r="C17" s="3"/>
      <c r="D17" s="3"/>
      <c r="H17" s="3"/>
      <c r="I17" s="3"/>
      <c r="J17" s="3"/>
    </row>
    <row r="18" spans="1:12" ht="15" customHeight="1" thickTop="1">
      <c r="A18" s="37"/>
      <c r="B18" s="69" t="s">
        <v>37</v>
      </c>
      <c r="C18" s="70"/>
      <c r="D18" s="70"/>
      <c r="E18" s="70"/>
      <c r="F18" s="70"/>
      <c r="G18" s="71"/>
      <c r="H18" s="3"/>
      <c r="I18" s="53" t="s">
        <v>38</v>
      </c>
      <c r="J18" s="54"/>
      <c r="K18" s="54"/>
      <c r="L18" s="55"/>
    </row>
    <row r="19" spans="1:12" ht="15" customHeight="1" thickBot="1">
      <c r="A19" s="38"/>
      <c r="B19" s="75"/>
      <c r="C19" s="76"/>
      <c r="D19" s="76"/>
      <c r="E19" s="76"/>
      <c r="F19" s="76"/>
      <c r="G19" s="77"/>
      <c r="H19" s="3"/>
      <c r="I19" s="56"/>
      <c r="J19" s="57"/>
      <c r="K19" s="57"/>
      <c r="L19" s="58"/>
    </row>
    <row r="20" spans="1:12" ht="15" customHeight="1" thickTop="1" thickBot="1">
      <c r="A20" s="3"/>
      <c r="B20" s="50" t="s">
        <v>49</v>
      </c>
      <c r="C20" s="59" t="s">
        <v>48</v>
      </c>
      <c r="D20" s="59"/>
      <c r="E20" s="50" t="s">
        <v>52</v>
      </c>
      <c r="F20" s="50" t="s">
        <v>53</v>
      </c>
      <c r="G20" s="50" t="s">
        <v>54</v>
      </c>
      <c r="H20" s="3"/>
      <c r="I20" s="50" t="s">
        <v>55</v>
      </c>
      <c r="J20" s="59" t="s">
        <v>56</v>
      </c>
      <c r="K20" s="59"/>
      <c r="L20" s="50" t="s">
        <v>57</v>
      </c>
    </row>
    <row r="21" spans="1:12" ht="15" customHeight="1" thickTop="1" thickBot="1">
      <c r="A21" s="3"/>
      <c r="B21" s="51"/>
      <c r="C21" s="59"/>
      <c r="D21" s="59"/>
      <c r="E21" s="51"/>
      <c r="F21" s="51"/>
      <c r="G21" s="51"/>
      <c r="H21" s="3"/>
      <c r="I21" s="51"/>
      <c r="J21" s="59"/>
      <c r="K21" s="59"/>
      <c r="L21" s="51"/>
    </row>
    <row r="22" spans="1:12" ht="15" customHeight="1" thickTop="1" thickBot="1">
      <c r="A22" s="3"/>
      <c r="B22" s="51"/>
      <c r="C22" s="59"/>
      <c r="D22" s="59"/>
      <c r="E22" s="51"/>
      <c r="F22" s="51"/>
      <c r="G22" s="51"/>
      <c r="H22" s="3"/>
      <c r="I22" s="51"/>
      <c r="J22" s="59"/>
      <c r="K22" s="59"/>
      <c r="L22" s="51"/>
    </row>
    <row r="23" spans="1:12" ht="15" customHeight="1" thickTop="1" thickBot="1">
      <c r="A23" s="3"/>
      <c r="B23" s="51"/>
      <c r="C23" s="59"/>
      <c r="D23" s="59"/>
      <c r="E23" s="51"/>
      <c r="F23" s="51"/>
      <c r="G23" s="51"/>
      <c r="H23" s="3"/>
      <c r="I23" s="51"/>
      <c r="J23" s="59"/>
      <c r="K23" s="59"/>
      <c r="L23" s="51"/>
    </row>
    <row r="24" spans="1:12" ht="15" customHeight="1" thickTop="1" thickBot="1">
      <c r="A24" s="3"/>
      <c r="B24" s="51"/>
      <c r="C24" s="59" t="s">
        <v>39</v>
      </c>
      <c r="D24" s="59" t="s">
        <v>40</v>
      </c>
      <c r="E24" s="51"/>
      <c r="F24" s="51"/>
      <c r="G24" s="51"/>
      <c r="H24" s="3"/>
      <c r="I24" s="51"/>
      <c r="J24" s="59" t="s">
        <v>39</v>
      </c>
      <c r="K24" s="59" t="s">
        <v>40</v>
      </c>
      <c r="L24" s="51"/>
    </row>
    <row r="25" spans="1:12" ht="15" customHeight="1" thickTop="1" thickBot="1">
      <c r="A25" s="3"/>
      <c r="B25" s="51"/>
      <c r="C25" s="59"/>
      <c r="D25" s="59"/>
      <c r="E25" s="51"/>
      <c r="F25" s="51"/>
      <c r="G25" s="51"/>
      <c r="H25" s="3"/>
      <c r="I25" s="51"/>
      <c r="J25" s="59"/>
      <c r="K25" s="59"/>
      <c r="L25" s="51"/>
    </row>
    <row r="26" spans="1:12" ht="15" customHeight="1" thickTop="1" thickBot="1">
      <c r="A26" s="3"/>
      <c r="B26" s="52"/>
      <c r="C26" s="59"/>
      <c r="D26" s="59"/>
      <c r="E26" s="52"/>
      <c r="F26" s="52"/>
      <c r="G26" s="52"/>
      <c r="H26" s="3"/>
      <c r="I26" s="52"/>
      <c r="J26" s="59"/>
      <c r="K26" s="59"/>
      <c r="L26" s="52"/>
    </row>
    <row r="27" spans="1:12" ht="15" customHeight="1" thickTop="1">
      <c r="A27" s="47" t="s">
        <v>41</v>
      </c>
      <c r="B27" s="25">
        <f t="shared" ref="B27:D31" si="0">I27-I28</f>
        <v>0.6362797217223003</v>
      </c>
      <c r="C27" s="25">
        <f t="shared" si="0"/>
        <v>5.0000000000000044E-2</v>
      </c>
      <c r="D27" s="26">
        <f t="shared" si="0"/>
        <v>0.25499999999999989</v>
      </c>
      <c r="E27" s="26">
        <f>L$27*D27/K$27</f>
        <v>0</v>
      </c>
      <c r="F27" s="27">
        <f t="shared" ref="F27:F32" si="1">B27*B$42*1000</f>
        <v>274872.83978403371</v>
      </c>
      <c r="G27" s="27">
        <f t="shared" ref="G27:G32" si="2">E27*B$39</f>
        <v>0</v>
      </c>
      <c r="H27" s="3"/>
      <c r="I27" s="16">
        <v>1</v>
      </c>
      <c r="J27" s="17">
        <v>1</v>
      </c>
      <c r="K27" s="17">
        <f t="shared" ref="K27:K32" si="3">B$45*J27</f>
        <v>5.0999999999999996</v>
      </c>
      <c r="L27" s="18">
        <f>D11*K27*(D$46-1)/D$46</f>
        <v>0</v>
      </c>
    </row>
    <row r="28" spans="1:12" ht="15" customHeight="1">
      <c r="A28" s="48" t="s">
        <v>42</v>
      </c>
      <c r="B28" s="28">
        <f t="shared" si="0"/>
        <v>0.33517141281179302</v>
      </c>
      <c r="C28" s="28">
        <f t="shared" si="0"/>
        <v>0.53083548115939372</v>
      </c>
      <c r="D28" s="29">
        <f t="shared" si="0"/>
        <v>2.707260953912908</v>
      </c>
      <c r="E28" s="29">
        <f>L$27*D28/K$27+L$28*D28/K$28</f>
        <v>0</v>
      </c>
      <c r="F28" s="30">
        <f t="shared" si="1"/>
        <v>144794.05033469459</v>
      </c>
      <c r="G28" s="30">
        <f t="shared" si="2"/>
        <v>0</v>
      </c>
      <c r="H28" s="3"/>
      <c r="I28" s="19">
        <f>0.1*(F$39/B12)^D$45</f>
        <v>0.3637202782776997</v>
      </c>
      <c r="J28" s="20">
        <f>IF(I28*B12*D$46/B$44&lt;1,I28*B12*D$46/B$44,0.95)</f>
        <v>0.95</v>
      </c>
      <c r="K28" s="20">
        <f t="shared" si="3"/>
        <v>4.8449999999999998</v>
      </c>
      <c r="L28" s="21">
        <f>(D12-D11)*K28*(D$46-1)/D$46</f>
        <v>0</v>
      </c>
    </row>
    <row r="29" spans="1:12" ht="15" customHeight="1">
      <c r="A29" s="48" t="s">
        <v>43</v>
      </c>
      <c r="B29" s="28">
        <f t="shared" si="0"/>
        <v>2.6326577569638084E-2</v>
      </c>
      <c r="C29" s="28">
        <f t="shared" si="0"/>
        <v>0.25602244269100649</v>
      </c>
      <c r="D29" s="29">
        <f t="shared" si="0"/>
        <v>1.3057144577241333</v>
      </c>
      <c r="E29" s="29">
        <f>L$27*D29/K$27+L$28*D29/K$28+L$29*D29/K$29</f>
        <v>8.0351658936869737E-3</v>
      </c>
      <c r="F29" s="30">
        <f t="shared" si="1"/>
        <v>11373.081510083653</v>
      </c>
      <c r="G29" s="30">
        <f t="shared" si="2"/>
        <v>120.52748840530461</v>
      </c>
      <c r="H29" s="3"/>
      <c r="I29" s="19">
        <f>0.01*(F$41/B13)^D$45</f>
        <v>2.8548865465906671E-2</v>
      </c>
      <c r="J29" s="20">
        <f>I29*B13*D$46/B$44</f>
        <v>0.41916451884060624</v>
      </c>
      <c r="K29" s="20">
        <f t="shared" si="3"/>
        <v>2.1377390460870918</v>
      </c>
      <c r="L29" s="21">
        <f>(D13-D12)*K29*(D$46-1)/D$46</f>
        <v>1.3155317206689795E-2</v>
      </c>
    </row>
    <row r="30" spans="1:12" ht="15" customHeight="1">
      <c r="A30" s="48" t="s">
        <v>44</v>
      </c>
      <c r="B30" s="19">
        <f t="shared" si="0"/>
        <v>1.9848174506607611E-3</v>
      </c>
      <c r="C30" s="28">
        <f t="shared" si="0"/>
        <v>9.3409578239349145E-2</v>
      </c>
      <c r="D30" s="29">
        <f t="shared" si="0"/>
        <v>0.47638884902068068</v>
      </c>
      <c r="E30" s="29">
        <f>L$27*D30/K$27+L$28*D30/K$28+L$29*D30/K$29+L$30*D30/K$30</f>
        <v>5.8632473725622244E-3</v>
      </c>
      <c r="F30" s="30">
        <f t="shared" si="1"/>
        <v>857.44113868544878</v>
      </c>
      <c r="G30" s="30">
        <f t="shared" si="2"/>
        <v>87.948710588433372</v>
      </c>
      <c r="H30" s="3"/>
      <c r="I30" s="19">
        <f>0.001*(F$42/B14)^D$45</f>
        <v>2.2222878962685857E-3</v>
      </c>
      <c r="J30" s="20">
        <f>I30*B14*D$46/B$44</f>
        <v>0.16314207614959972</v>
      </c>
      <c r="K30" s="20">
        <f t="shared" si="3"/>
        <v>0.83202458836295856</v>
      </c>
      <c r="L30" s="21">
        <f>(D14-D13)*K30*(D$46-1)/D$46</f>
        <v>5.1201513130028223E-3</v>
      </c>
    </row>
    <row r="31" spans="1:12" ht="15" customHeight="1">
      <c r="A31" s="48" t="s">
        <v>45</v>
      </c>
      <c r="B31" s="19">
        <f t="shared" si="0"/>
        <v>2.1372340104704198E-4</v>
      </c>
      <c r="C31" s="28">
        <f t="shared" si="0"/>
        <v>3.4866248955125287E-2</v>
      </c>
      <c r="D31" s="29">
        <f t="shared" si="0"/>
        <v>0.17781786967113894</v>
      </c>
      <c r="E31" s="29">
        <f>L$27*D31/K$27+L$28*D31/K$28+L$29*D31/K$29+L$30*D31/K$30+L$31*D31/K$31</f>
        <v>2.1885276267217101E-3</v>
      </c>
      <c r="F31" s="30">
        <f t="shared" si="1"/>
        <v>92.328509252322135</v>
      </c>
      <c r="G31" s="30">
        <f t="shared" si="2"/>
        <v>32.827914400825655</v>
      </c>
      <c r="H31" s="3"/>
      <c r="I31" s="19">
        <f>0.0001*(F$43/B15)^D$45</f>
        <v>2.3747044560782442E-4</v>
      </c>
      <c r="J31" s="20">
        <f>I31*B15*D$46/B$44</f>
        <v>6.9732497910250574E-2</v>
      </c>
      <c r="K31" s="20">
        <f t="shared" si="3"/>
        <v>0.35563573934227788</v>
      </c>
      <c r="L31" s="21">
        <f>(D15-D14)*K31*(D$46-1)/D$46</f>
        <v>0</v>
      </c>
    </row>
    <row r="32" spans="1:12" ht="15" customHeight="1" thickBot="1">
      <c r="A32" s="49" t="s">
        <v>46</v>
      </c>
      <c r="B32" s="22">
        <f>I32-J17</f>
        <v>2.374704456078244E-5</v>
      </c>
      <c r="C32" s="28">
        <f>J32-J33</f>
        <v>3.4866248955125287E-2</v>
      </c>
      <c r="D32" s="29">
        <f>K32-K33</f>
        <v>0.17781786967113894</v>
      </c>
      <c r="E32" s="29">
        <f>L$27*D32/K$27+L$28*D32/K$28+L$29*D32/K$29+L$30*D32/K$30+L$31*D32/K$31+L$32*D32/K$32</f>
        <v>2.1885276267217101E-3</v>
      </c>
      <c r="F32" s="30">
        <f t="shared" si="1"/>
        <v>10.258723250258015</v>
      </c>
      <c r="G32" s="30">
        <f t="shared" si="2"/>
        <v>32.827914400825655</v>
      </c>
      <c r="H32" s="3"/>
      <c r="I32" s="22">
        <f>0.00001*(F$44/B16)^D$45</f>
        <v>2.374704456078244E-5</v>
      </c>
      <c r="J32" s="20">
        <f>I32*B16*D$46/B$44</f>
        <v>3.4866248955125287E-2</v>
      </c>
      <c r="K32" s="20">
        <f t="shared" si="3"/>
        <v>0.17781786967113894</v>
      </c>
      <c r="L32" s="21">
        <f>(D16-D15)*K32*(D$46-1)/D$46</f>
        <v>0</v>
      </c>
    </row>
    <row r="33" spans="1:12" ht="18" customHeight="1" thickTop="1" thickBot="1">
      <c r="A33" s="11" t="s">
        <v>30</v>
      </c>
      <c r="B33" s="31">
        <f t="shared" ref="B33:G33" si="4">SUM(B27:B32)</f>
        <v>1</v>
      </c>
      <c r="C33" s="31">
        <f t="shared" si="4"/>
        <v>0.99999999999999989</v>
      </c>
      <c r="D33" s="31">
        <f t="shared" si="4"/>
        <v>5.0999999999999988</v>
      </c>
      <c r="E33" s="31">
        <f t="shared" si="4"/>
        <v>1.8275468519692618E-2</v>
      </c>
      <c r="F33" s="36">
        <f t="shared" si="4"/>
        <v>431999.99999999994</v>
      </c>
      <c r="G33" s="36">
        <f t="shared" si="4"/>
        <v>274.13202779538926</v>
      </c>
      <c r="H33" s="3"/>
      <c r="I33" s="11"/>
      <c r="J33" s="11"/>
      <c r="K33" s="23"/>
      <c r="L33" s="24">
        <f>SUM(L27:L32)</f>
        <v>1.8275468519692618E-2</v>
      </c>
    </row>
    <row r="34" spans="1:12" ht="15" customHeight="1" thickTop="1">
      <c r="C34" s="3"/>
      <c r="D34" s="3"/>
      <c r="E34" s="3"/>
      <c r="F34" s="3"/>
      <c r="H34" s="3"/>
      <c r="I34" s="3"/>
      <c r="J34" s="3"/>
    </row>
    <row r="35" spans="1:12" ht="15" customHeight="1" thickBot="1">
      <c r="A35" s="3"/>
      <c r="B35" s="3"/>
      <c r="C35" s="3"/>
      <c r="D35" s="3"/>
      <c r="E35" s="3"/>
      <c r="F35" s="3"/>
      <c r="G35" s="4"/>
      <c r="H35" s="3"/>
      <c r="I35" s="3"/>
      <c r="J35" s="3"/>
    </row>
    <row r="36" spans="1:12" ht="15" customHeight="1" thickTop="1">
      <c r="A36" s="60" t="s">
        <v>31</v>
      </c>
      <c r="B36" s="61"/>
      <c r="C36" s="61"/>
      <c r="D36" s="61"/>
      <c r="E36" s="61"/>
      <c r="F36" s="62"/>
      <c r="G36" s="5"/>
      <c r="H36" s="3"/>
      <c r="I36" s="3"/>
      <c r="J36" s="3"/>
    </row>
    <row r="37" spans="1:12" ht="15" customHeight="1">
      <c r="A37" s="63"/>
      <c r="B37" s="64"/>
      <c r="C37" s="64"/>
      <c r="D37" s="64"/>
      <c r="E37" s="64"/>
      <c r="F37" s="65"/>
      <c r="G37" s="5"/>
      <c r="H37" s="3"/>
      <c r="I37" s="3"/>
      <c r="J37" s="3"/>
    </row>
    <row r="38" spans="1:12" ht="15" customHeight="1" thickBot="1">
      <c r="A38" s="66"/>
      <c r="B38" s="67"/>
      <c r="C38" s="67"/>
      <c r="D38" s="67"/>
      <c r="E38" s="67"/>
      <c r="F38" s="68"/>
      <c r="G38" s="3"/>
      <c r="H38" s="3"/>
      <c r="I38" s="3"/>
      <c r="J38" s="3"/>
    </row>
    <row r="39" spans="1:12" ht="30" customHeight="1" thickTop="1">
      <c r="A39" s="6" t="s">
        <v>4</v>
      </c>
      <c r="B39" s="32">
        <v>15000</v>
      </c>
      <c r="C39" s="6" t="s">
        <v>18</v>
      </c>
      <c r="D39" s="25">
        <v>0.65</v>
      </c>
      <c r="E39" s="6" t="s">
        <v>21</v>
      </c>
      <c r="F39" s="8">
        <f>10*D39*B$44/D$46</f>
        <v>442708.33333333326</v>
      </c>
      <c r="G39" s="3"/>
      <c r="H39" s="3"/>
      <c r="I39" s="3"/>
      <c r="J39" s="3"/>
    </row>
    <row r="40" spans="1:12" ht="30" customHeight="1">
      <c r="A40" s="15" t="s">
        <v>3</v>
      </c>
      <c r="B40" s="9">
        <v>540</v>
      </c>
      <c r="C40" s="15" t="s">
        <v>19</v>
      </c>
      <c r="D40" s="28">
        <v>0.45</v>
      </c>
      <c r="E40" s="15" t="s">
        <v>22</v>
      </c>
      <c r="F40" s="10">
        <f>20*D40*B$44/D$46</f>
        <v>612980.76923076913</v>
      </c>
      <c r="G40" s="3"/>
      <c r="H40" s="3"/>
      <c r="I40" s="3"/>
      <c r="J40" s="3"/>
    </row>
    <row r="41" spans="1:12" ht="30" customHeight="1">
      <c r="A41" s="15" t="s">
        <v>9</v>
      </c>
      <c r="B41" s="20">
        <v>0.8</v>
      </c>
      <c r="C41" s="15" t="s">
        <v>20</v>
      </c>
      <c r="D41" s="28">
        <v>0.28000000000000003</v>
      </c>
      <c r="E41" s="15" t="s">
        <v>23</v>
      </c>
      <c r="F41" s="10">
        <f>100*D41*B$44/D$46</f>
        <v>1907051.2820512818</v>
      </c>
      <c r="G41" s="3"/>
      <c r="H41" s="3"/>
      <c r="I41" s="3"/>
      <c r="J41" s="3"/>
    </row>
    <row r="42" spans="1:12" ht="30" customHeight="1">
      <c r="A42" s="15" t="s">
        <v>11</v>
      </c>
      <c r="B42" s="33">
        <f>B41*B40</f>
        <v>432</v>
      </c>
      <c r="C42" s="15" t="s">
        <v>27</v>
      </c>
      <c r="D42" s="28">
        <v>0.12</v>
      </c>
      <c r="E42" s="15" t="s">
        <v>24</v>
      </c>
      <c r="F42" s="10">
        <f>1000*D42*B$44/D$46</f>
        <v>8173076.9230769211</v>
      </c>
      <c r="G42" s="3"/>
      <c r="H42" s="3"/>
      <c r="I42" s="3"/>
      <c r="J42" s="3"/>
    </row>
    <row r="43" spans="1:12" ht="30" customHeight="1">
      <c r="A43" s="15" t="s">
        <v>0</v>
      </c>
      <c r="B43" s="10">
        <f>1000*B39/(B40*B41)</f>
        <v>34722.222222222219</v>
      </c>
      <c r="C43" s="15" t="s">
        <v>28</v>
      </c>
      <c r="D43" s="28">
        <v>0.05</v>
      </c>
      <c r="E43" s="15" t="s">
        <v>25</v>
      </c>
      <c r="F43" s="10">
        <f>10000*D43*B$44/D$46</f>
        <v>34054487.179487176</v>
      </c>
      <c r="G43" s="3"/>
      <c r="H43" s="3"/>
      <c r="I43" s="3"/>
      <c r="J43" s="3"/>
    </row>
    <row r="44" spans="1:12" ht="30" customHeight="1">
      <c r="A44" s="15" t="s">
        <v>6</v>
      </c>
      <c r="B44" s="10">
        <f>B45*B43</f>
        <v>177083.33333333331</v>
      </c>
      <c r="C44" s="15" t="s">
        <v>29</v>
      </c>
      <c r="D44" s="28">
        <v>2.5000000000000001E-2</v>
      </c>
      <c r="E44" s="15" t="s">
        <v>26</v>
      </c>
      <c r="F44" s="10">
        <f>100000*D44*B$44/D$46</f>
        <v>170272435.89743587</v>
      </c>
      <c r="G44" s="3"/>
      <c r="H44" s="3"/>
      <c r="I44" s="3"/>
      <c r="J44" s="3"/>
    </row>
    <row r="45" spans="1:12" ht="30" customHeight="1">
      <c r="A45" s="15" t="s">
        <v>7</v>
      </c>
      <c r="B45" s="20">
        <v>5.0999999999999996</v>
      </c>
      <c r="C45" s="15" t="s">
        <v>1</v>
      </c>
      <c r="D45" s="34">
        <f>D46/(D46-1)</f>
        <v>1.625</v>
      </c>
      <c r="E45" s="9"/>
      <c r="F45" s="9"/>
      <c r="G45" s="3"/>
      <c r="H45" s="3"/>
      <c r="I45" s="3"/>
      <c r="J45" s="3"/>
    </row>
    <row r="46" spans="1:12" ht="30" customHeight="1" thickBot="1">
      <c r="A46" s="23"/>
      <c r="B46" s="23"/>
      <c r="C46" s="14" t="s">
        <v>2</v>
      </c>
      <c r="D46" s="35">
        <v>2.6</v>
      </c>
      <c r="E46" s="11"/>
      <c r="F46" s="11"/>
      <c r="G46" s="3"/>
      <c r="H46" s="3"/>
      <c r="I46" s="3"/>
      <c r="J46" s="3"/>
    </row>
    <row r="47" spans="1:12" ht="15" customHeight="1" thickTop="1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2" ht="15" customHeight="1">
      <c r="A48" s="13" t="s">
        <v>8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ht="15" customHeight="1">
      <c r="A49" s="13" t="s">
        <v>5</v>
      </c>
      <c r="B49" s="3"/>
      <c r="C49" s="3"/>
      <c r="D49" s="3"/>
      <c r="E49" s="3"/>
      <c r="F49" s="3"/>
      <c r="G49" s="3"/>
      <c r="H49" s="3"/>
      <c r="I49" s="3"/>
      <c r="J49" s="3"/>
    </row>
    <row r="50" spans="1:10" ht="15" customHeight="1">
      <c r="A50" s="13" t="s">
        <v>32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ht="15" customHeight="1">
      <c r="A51" s="13" t="s">
        <v>33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ht="15" customHeight="1">
      <c r="A52" s="13" t="s">
        <v>10</v>
      </c>
      <c r="B52" s="3"/>
      <c r="E52" s="3"/>
      <c r="F52" s="3"/>
      <c r="G52" s="3"/>
      <c r="H52" s="3"/>
      <c r="I52" s="3"/>
      <c r="J52" s="3"/>
    </row>
    <row r="53" spans="1:10" ht="15" customHeight="1"/>
    <row r="54" spans="1:10" ht="15" customHeight="1"/>
    <row r="55" spans="1:10" ht="15" customHeight="1"/>
    <row r="56" spans="1:10" ht="15" customHeight="1"/>
    <row r="57" spans="1:10" ht="15" customHeight="1"/>
    <row r="58" spans="1:10" ht="15" customHeight="1"/>
    <row r="59" spans="1:10" ht="15" customHeight="1"/>
    <row r="60" spans="1:10" ht="15" customHeight="1"/>
  </sheetData>
  <mergeCells count="20">
    <mergeCell ref="J24:J26"/>
    <mergeCell ref="K24:K26"/>
    <mergeCell ref="A36:F38"/>
    <mergeCell ref="A3:G5"/>
    <mergeCell ref="B18:G19"/>
    <mergeCell ref="B7:D7"/>
    <mergeCell ref="B8:D8"/>
    <mergeCell ref="D9:D10"/>
    <mergeCell ref="B9:C9"/>
    <mergeCell ref="B20:B26"/>
    <mergeCell ref="L20:L26"/>
    <mergeCell ref="I18:L19"/>
    <mergeCell ref="F20:F26"/>
    <mergeCell ref="G20:G26"/>
    <mergeCell ref="I20:I26"/>
    <mergeCell ref="C20:D23"/>
    <mergeCell ref="C24:C26"/>
    <mergeCell ref="D24:D26"/>
    <mergeCell ref="E20:E26"/>
    <mergeCell ref="J20:K23"/>
  </mergeCells>
  <phoneticPr fontId="26" type="noConversion"/>
  <printOptions horizontalCentered="1" verticalCentered="1"/>
  <pageMargins left="0.79000000000000015" right="0.79000000000000015" top="0.98" bottom="0.98" header="0.51" footer="0.51"/>
  <pageSetup paperSize="9" scale="91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L60"/>
  <sheetViews>
    <sheetView workbookViewId="0">
      <selection activeCell="A6" sqref="A6"/>
    </sheetView>
  </sheetViews>
  <sheetFormatPr baseColWidth="10" defaultColWidth="11.5" defaultRowHeight="12" x14ac:dyDescent="0"/>
  <cols>
    <col min="1" max="7" width="18.83203125" style="1" customWidth="1"/>
    <col min="8" max="17" width="15.83203125" style="1" customWidth="1"/>
    <col min="18" max="16384" width="11.5" style="1"/>
  </cols>
  <sheetData>
    <row r="2" spans="1:10" ht="13" thickBot="1"/>
    <row r="3" spans="1:10" ht="13" thickTop="1">
      <c r="A3" s="69" t="s">
        <v>61</v>
      </c>
      <c r="B3" s="70"/>
      <c r="C3" s="70"/>
      <c r="D3" s="70"/>
      <c r="E3" s="70"/>
      <c r="F3" s="70"/>
      <c r="G3" s="71"/>
    </row>
    <row r="4" spans="1:10">
      <c r="A4" s="72"/>
      <c r="B4" s="73"/>
      <c r="C4" s="73"/>
      <c r="D4" s="73"/>
      <c r="E4" s="73"/>
      <c r="F4" s="73"/>
      <c r="G4" s="74"/>
    </row>
    <row r="5" spans="1:10" ht="13" thickBot="1">
      <c r="A5" s="75"/>
      <c r="B5" s="76"/>
      <c r="C5" s="76"/>
      <c r="D5" s="76"/>
      <c r="E5" s="76"/>
      <c r="F5" s="76"/>
      <c r="G5" s="77"/>
    </row>
    <row r="6" spans="1:10" ht="17" thickTop="1" thickBo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9.75" customHeight="1" thickTop="1">
      <c r="A7" s="39"/>
      <c r="B7" s="69" t="s">
        <v>50</v>
      </c>
      <c r="C7" s="70"/>
      <c r="D7" s="71"/>
      <c r="H7" s="2"/>
      <c r="I7" s="2"/>
      <c r="J7" s="2"/>
    </row>
    <row r="8" spans="1:10" ht="19.75" customHeight="1" thickBot="1">
      <c r="A8" s="40"/>
      <c r="B8" s="78" t="s">
        <v>58</v>
      </c>
      <c r="C8" s="79"/>
      <c r="D8" s="80"/>
      <c r="H8" s="2"/>
      <c r="I8" s="2"/>
      <c r="J8" s="2"/>
    </row>
    <row r="9" spans="1:10" ht="25" customHeight="1" thickTop="1" thickBot="1">
      <c r="A9" s="2"/>
      <c r="B9" s="81" t="s">
        <v>51</v>
      </c>
      <c r="C9" s="82"/>
      <c r="D9" s="50" t="s">
        <v>34</v>
      </c>
    </row>
    <row r="10" spans="1:10" ht="25" customHeight="1" thickTop="1" thickBot="1">
      <c r="A10" s="2"/>
      <c r="B10" s="6" t="s">
        <v>35</v>
      </c>
      <c r="C10" s="6" t="s">
        <v>36</v>
      </c>
      <c r="D10" s="52"/>
    </row>
    <row r="11" spans="1:10" ht="15" customHeight="1" thickTop="1">
      <c r="A11" s="7" t="s">
        <v>12</v>
      </c>
      <c r="B11" s="41">
        <v>0</v>
      </c>
      <c r="C11" s="8">
        <f>B12</f>
        <v>200000</v>
      </c>
      <c r="D11" s="44">
        <v>1E-3</v>
      </c>
    </row>
    <row r="12" spans="1:10" ht="15" customHeight="1">
      <c r="A12" s="9" t="s">
        <v>13</v>
      </c>
      <c r="B12" s="42">
        <v>200000</v>
      </c>
      <c r="C12" s="10">
        <f>B13</f>
        <v>1000000</v>
      </c>
      <c r="D12" s="45">
        <v>5.0000000000000001E-3</v>
      </c>
    </row>
    <row r="13" spans="1:10" ht="15" customHeight="1">
      <c r="A13" s="9" t="s">
        <v>14</v>
      </c>
      <c r="B13" s="42">
        <v>1000000</v>
      </c>
      <c r="C13" s="10">
        <f>B14</f>
        <v>5000000</v>
      </c>
      <c r="D13" s="45">
        <v>0.01</v>
      </c>
    </row>
    <row r="14" spans="1:10" ht="15" customHeight="1">
      <c r="A14" s="9" t="s">
        <v>15</v>
      </c>
      <c r="B14" s="42">
        <v>5000000</v>
      </c>
      <c r="C14" s="10">
        <f>B15</f>
        <v>20000000</v>
      </c>
      <c r="D14" s="45">
        <v>0.02</v>
      </c>
    </row>
    <row r="15" spans="1:10" ht="15" customHeight="1">
      <c r="A15" s="9" t="s">
        <v>16</v>
      </c>
      <c r="B15" s="42">
        <v>20000000</v>
      </c>
      <c r="C15" s="10">
        <f>B16</f>
        <v>100000000</v>
      </c>
      <c r="D15" s="45">
        <v>0.05</v>
      </c>
    </row>
    <row r="16" spans="1:10" ht="15" customHeight="1" thickBot="1">
      <c r="A16" s="11" t="s">
        <v>17</v>
      </c>
      <c r="B16" s="43">
        <v>100000000</v>
      </c>
      <c r="C16" s="12" t="s">
        <v>59</v>
      </c>
      <c r="D16" s="46">
        <v>0.1</v>
      </c>
    </row>
    <row r="17" spans="1:12" ht="15" customHeight="1" thickTop="1" thickBot="1">
      <c r="A17" s="3"/>
      <c r="B17" s="3"/>
      <c r="C17" s="3"/>
      <c r="D17" s="3"/>
      <c r="H17" s="3"/>
      <c r="I17" s="3"/>
      <c r="J17" s="3"/>
    </row>
    <row r="18" spans="1:12" ht="15" customHeight="1" thickTop="1">
      <c r="A18" s="37"/>
      <c r="B18" s="69" t="s">
        <v>37</v>
      </c>
      <c r="C18" s="70"/>
      <c r="D18" s="70"/>
      <c r="E18" s="70"/>
      <c r="F18" s="70"/>
      <c r="G18" s="71"/>
      <c r="H18" s="3"/>
      <c r="I18" s="69" t="s">
        <v>38</v>
      </c>
      <c r="J18" s="83"/>
      <c r="K18" s="83"/>
      <c r="L18" s="84"/>
    </row>
    <row r="19" spans="1:12" ht="15" customHeight="1" thickBot="1">
      <c r="A19" s="38"/>
      <c r="B19" s="75"/>
      <c r="C19" s="76"/>
      <c r="D19" s="76"/>
      <c r="E19" s="76"/>
      <c r="F19" s="76"/>
      <c r="G19" s="77"/>
      <c r="H19" s="3"/>
      <c r="I19" s="85"/>
      <c r="J19" s="86"/>
      <c r="K19" s="86"/>
      <c r="L19" s="87"/>
    </row>
    <row r="20" spans="1:12" ht="15" customHeight="1" thickTop="1" thickBot="1">
      <c r="A20" s="3"/>
      <c r="B20" s="50" t="s">
        <v>49</v>
      </c>
      <c r="C20" s="59" t="s">
        <v>48</v>
      </c>
      <c r="D20" s="59"/>
      <c r="E20" s="50" t="s">
        <v>52</v>
      </c>
      <c r="F20" s="50" t="s">
        <v>53</v>
      </c>
      <c r="G20" s="50" t="s">
        <v>54</v>
      </c>
      <c r="H20" s="3"/>
      <c r="I20" s="50" t="s">
        <v>55</v>
      </c>
      <c r="J20" s="59" t="s">
        <v>56</v>
      </c>
      <c r="K20" s="59"/>
      <c r="L20" s="50" t="s">
        <v>57</v>
      </c>
    </row>
    <row r="21" spans="1:12" ht="15" customHeight="1" thickTop="1" thickBot="1">
      <c r="A21" s="3"/>
      <c r="B21" s="51"/>
      <c r="C21" s="59"/>
      <c r="D21" s="59"/>
      <c r="E21" s="51"/>
      <c r="F21" s="51"/>
      <c r="G21" s="51"/>
      <c r="H21" s="3"/>
      <c r="I21" s="51"/>
      <c r="J21" s="59"/>
      <c r="K21" s="59"/>
      <c r="L21" s="51"/>
    </row>
    <row r="22" spans="1:12" ht="15" customHeight="1" thickTop="1" thickBot="1">
      <c r="A22" s="3"/>
      <c r="B22" s="51"/>
      <c r="C22" s="59"/>
      <c r="D22" s="59"/>
      <c r="E22" s="51"/>
      <c r="F22" s="51"/>
      <c r="G22" s="51"/>
      <c r="H22" s="3"/>
      <c r="I22" s="51"/>
      <c r="J22" s="59"/>
      <c r="K22" s="59"/>
      <c r="L22" s="51"/>
    </row>
    <row r="23" spans="1:12" ht="15" customHeight="1" thickTop="1" thickBot="1">
      <c r="A23" s="3"/>
      <c r="B23" s="51"/>
      <c r="C23" s="59"/>
      <c r="D23" s="59"/>
      <c r="E23" s="51"/>
      <c r="F23" s="51"/>
      <c r="G23" s="51"/>
      <c r="H23" s="3"/>
      <c r="I23" s="51"/>
      <c r="J23" s="59"/>
      <c r="K23" s="59"/>
      <c r="L23" s="51"/>
    </row>
    <row r="24" spans="1:12" ht="15" customHeight="1" thickTop="1" thickBot="1">
      <c r="A24" s="3"/>
      <c r="B24" s="51"/>
      <c r="C24" s="59" t="s">
        <v>39</v>
      </c>
      <c r="D24" s="59" t="s">
        <v>40</v>
      </c>
      <c r="E24" s="51"/>
      <c r="F24" s="51"/>
      <c r="G24" s="51"/>
      <c r="H24" s="3"/>
      <c r="I24" s="51"/>
      <c r="J24" s="59" t="s">
        <v>39</v>
      </c>
      <c r="K24" s="59" t="s">
        <v>40</v>
      </c>
      <c r="L24" s="51"/>
    </row>
    <row r="25" spans="1:12" ht="15" customHeight="1" thickTop="1" thickBot="1">
      <c r="A25" s="3"/>
      <c r="B25" s="51"/>
      <c r="C25" s="59"/>
      <c r="D25" s="59"/>
      <c r="E25" s="51"/>
      <c r="F25" s="51"/>
      <c r="G25" s="51"/>
      <c r="H25" s="3"/>
      <c r="I25" s="51"/>
      <c r="J25" s="59"/>
      <c r="K25" s="59"/>
      <c r="L25" s="51"/>
    </row>
    <row r="26" spans="1:12" ht="15" customHeight="1" thickTop="1" thickBot="1">
      <c r="A26" s="3"/>
      <c r="B26" s="52"/>
      <c r="C26" s="59"/>
      <c r="D26" s="59"/>
      <c r="E26" s="52"/>
      <c r="F26" s="52"/>
      <c r="G26" s="52"/>
      <c r="H26" s="3"/>
      <c r="I26" s="52"/>
      <c r="J26" s="59"/>
      <c r="K26" s="59"/>
      <c r="L26" s="52"/>
    </row>
    <row r="27" spans="1:12" ht="15" customHeight="1" thickTop="1">
      <c r="A27" s="7" t="s">
        <v>41</v>
      </c>
      <c r="B27" s="25">
        <f>I27-I28</f>
        <v>0.6362797217223003</v>
      </c>
      <c r="C27" s="25">
        <f>J27-J28</f>
        <v>5.0000000000000044E-2</v>
      </c>
      <c r="D27" s="26">
        <f>K27-K28</f>
        <v>0.25499999999999989</v>
      </c>
      <c r="E27" s="26">
        <f>L$27*D27/K$27</f>
        <v>1.5692307692307685E-4</v>
      </c>
      <c r="F27" s="27">
        <f t="shared" ref="F27:F32" si="0">B27*B$42*1000</f>
        <v>274872.83978403371</v>
      </c>
      <c r="G27" s="27">
        <f t="shared" ref="G27:G32" si="1">E27*B$39</f>
        <v>2.3538461538461526</v>
      </c>
      <c r="H27" s="3"/>
      <c r="I27" s="16">
        <v>1</v>
      </c>
      <c r="J27" s="17">
        <v>1</v>
      </c>
      <c r="K27" s="17">
        <f t="shared" ref="K27:K32" si="2">B$45*J27</f>
        <v>5.0999999999999996</v>
      </c>
      <c r="L27" s="18">
        <f>D11*K27*(D$46-1)/D$46</f>
        <v>3.1384615384615379E-3</v>
      </c>
    </row>
    <row r="28" spans="1:12" ht="15" customHeight="1">
      <c r="A28" s="9" t="s">
        <v>42</v>
      </c>
      <c r="B28" s="28">
        <f>I28-I29</f>
        <v>0.33517141281179302</v>
      </c>
      <c r="C28" s="28">
        <f t="shared" ref="C28:D32" si="3">J28-J29</f>
        <v>0.53083548115939372</v>
      </c>
      <c r="D28" s="29">
        <f t="shared" si="3"/>
        <v>2.707260953912908</v>
      </c>
      <c r="E28" s="29">
        <f>L$27*D28/K$27+L$28*D28/K$28</f>
        <v>8.3300337043474091E-3</v>
      </c>
      <c r="F28" s="30">
        <f t="shared" si="0"/>
        <v>144794.05033469459</v>
      </c>
      <c r="G28" s="30">
        <f t="shared" si="1"/>
        <v>124.95050556521113</v>
      </c>
      <c r="H28" s="3"/>
      <c r="I28" s="19">
        <f>0.1*(F$39/B12)^D$45</f>
        <v>0.3637202782776997</v>
      </c>
      <c r="J28" s="20">
        <f>IF(I28*B12*D$46/B$44&lt;1,I28*B12*D$46/B$44,0.95)</f>
        <v>0.95</v>
      </c>
      <c r="K28" s="20">
        <f t="shared" si="2"/>
        <v>4.8449999999999998</v>
      </c>
      <c r="L28" s="21">
        <f>(D12-D11)*K28*(D$46-1)/D$46</f>
        <v>1.1926153846153845E-2</v>
      </c>
    </row>
    <row r="29" spans="1:12" ht="15" customHeight="1">
      <c r="A29" s="9" t="s">
        <v>43</v>
      </c>
      <c r="B29" s="28">
        <f>I29-I30</f>
        <v>2.6326577569638084E-2</v>
      </c>
      <c r="C29" s="28">
        <f t="shared" si="3"/>
        <v>0.25602244269100649</v>
      </c>
      <c r="D29" s="29">
        <f t="shared" si="3"/>
        <v>1.3057144577241333</v>
      </c>
      <c r="E29" s="29">
        <f>L$27*D29/K$27+L$28*D29/K$28+L$29*D29/K$29</f>
        <v>8.0351658936869737E-3</v>
      </c>
      <c r="F29" s="30">
        <f t="shared" si="0"/>
        <v>11373.081510083653</v>
      </c>
      <c r="G29" s="30">
        <f t="shared" si="1"/>
        <v>120.52748840530461</v>
      </c>
      <c r="H29" s="3"/>
      <c r="I29" s="19">
        <f>0.01*(F$41/B13)^D$45</f>
        <v>2.8548865465906671E-2</v>
      </c>
      <c r="J29" s="20">
        <f>I29*B13*D$46/B$44</f>
        <v>0.41916451884060624</v>
      </c>
      <c r="K29" s="20">
        <f t="shared" si="2"/>
        <v>2.1377390460870918</v>
      </c>
      <c r="L29" s="21">
        <f>(D13-D12)*K29*(D$46-1)/D$46</f>
        <v>6.5776586033448976E-3</v>
      </c>
    </row>
    <row r="30" spans="1:12" ht="15" customHeight="1">
      <c r="A30" s="9" t="s">
        <v>44</v>
      </c>
      <c r="B30" s="19">
        <f>I30-I31</f>
        <v>1.9848174506607611E-3</v>
      </c>
      <c r="C30" s="28">
        <f t="shared" si="3"/>
        <v>9.3409578239349145E-2</v>
      </c>
      <c r="D30" s="29">
        <f t="shared" si="3"/>
        <v>0.47638884902068068</v>
      </c>
      <c r="E30" s="29">
        <f>L$27*D30/K$27+L$28*D30/K$28+L$29*D30/K$29+L$30*D30/K$30</f>
        <v>5.8632473725622244E-3</v>
      </c>
      <c r="F30" s="30">
        <f t="shared" si="0"/>
        <v>857.44113868544878</v>
      </c>
      <c r="G30" s="30">
        <f t="shared" si="1"/>
        <v>87.948710588433372</v>
      </c>
      <c r="H30" s="3"/>
      <c r="I30" s="19">
        <f>0.001*(F$42/B14)^D$45</f>
        <v>2.2222878962685857E-3</v>
      </c>
      <c r="J30" s="20">
        <f>I30*B14*D$46/B$44</f>
        <v>0.16314207614959972</v>
      </c>
      <c r="K30" s="20">
        <f t="shared" si="2"/>
        <v>0.83202458836295856</v>
      </c>
      <c r="L30" s="21">
        <f>(D14-D13)*K30*(D$46-1)/D$46</f>
        <v>5.1201513130028223E-3</v>
      </c>
    </row>
    <row r="31" spans="1:12" ht="15" customHeight="1">
      <c r="A31" s="9" t="s">
        <v>45</v>
      </c>
      <c r="B31" s="19">
        <f>I31-I32</f>
        <v>2.1372340104704198E-4</v>
      </c>
      <c r="C31" s="28">
        <f t="shared" si="3"/>
        <v>3.4866248955125287E-2</v>
      </c>
      <c r="D31" s="29">
        <f t="shared" si="3"/>
        <v>0.17781786967113894</v>
      </c>
      <c r="E31" s="29">
        <f>L$27*D31/K$27+L$28*D31/K$28+L$29*D31/K$29+L$30*D31/K$30+L$31*D31/K$31</f>
        <v>5.4713190668042753E-3</v>
      </c>
      <c r="F31" s="30">
        <f t="shared" si="0"/>
        <v>92.328509252322135</v>
      </c>
      <c r="G31" s="30">
        <f t="shared" si="1"/>
        <v>82.069786002064134</v>
      </c>
      <c r="H31" s="3"/>
      <c r="I31" s="19">
        <f>0.0001*(F$43/B15)^D$45</f>
        <v>2.3747044560782442E-4</v>
      </c>
      <c r="J31" s="20">
        <f>I31*B15*D$46/B$44</f>
        <v>6.9732497910250574E-2</v>
      </c>
      <c r="K31" s="20">
        <f t="shared" si="2"/>
        <v>0.35563573934227788</v>
      </c>
      <c r="L31" s="21">
        <f>(D15-D14)*K31*(D$46-1)/D$46</f>
        <v>6.5655828801651304E-3</v>
      </c>
    </row>
    <row r="32" spans="1:12" ht="15" customHeight="1" thickBot="1">
      <c r="A32" s="11" t="s">
        <v>46</v>
      </c>
      <c r="B32" s="22">
        <f>I32-J17</f>
        <v>2.374704456078244E-5</v>
      </c>
      <c r="C32" s="28">
        <f t="shared" si="3"/>
        <v>3.4866248955125287E-2</v>
      </c>
      <c r="D32" s="29">
        <f t="shared" si="3"/>
        <v>0.17781786967113894</v>
      </c>
      <c r="E32" s="29">
        <f>L$27*D32/K$27+L$28*D32/K$28+L$29*D32/K$29+L$30*D32/K$30+L$31*D32/K$31+L$32*D32/K$32</f>
        <v>1.0942638133608549E-2</v>
      </c>
      <c r="F32" s="30">
        <f t="shared" si="0"/>
        <v>10.258723250258015</v>
      </c>
      <c r="G32" s="30">
        <f t="shared" si="1"/>
        <v>164.13957200412824</v>
      </c>
      <c r="H32" s="3"/>
      <c r="I32" s="22">
        <f>0.00001*(F$44/B16)^D$45</f>
        <v>2.374704456078244E-5</v>
      </c>
      <c r="J32" s="20">
        <f>I32*B16*D$46/B$44</f>
        <v>3.4866248955125287E-2</v>
      </c>
      <c r="K32" s="20">
        <f t="shared" si="2"/>
        <v>0.17781786967113894</v>
      </c>
      <c r="L32" s="21">
        <f>(D16-D15)*K32*(D$46-1)/D$46</f>
        <v>5.4713190668042744E-3</v>
      </c>
    </row>
    <row r="33" spans="1:12" ht="18" customHeight="1" thickTop="1" thickBot="1">
      <c r="A33" s="11" t="s">
        <v>30</v>
      </c>
      <c r="B33" s="31">
        <f t="shared" ref="B33:G33" si="4">SUM(B27:B32)</f>
        <v>1</v>
      </c>
      <c r="C33" s="31">
        <f t="shared" si="4"/>
        <v>0.99999999999999989</v>
      </c>
      <c r="D33" s="31">
        <f t="shared" si="4"/>
        <v>5.0999999999999988</v>
      </c>
      <c r="E33" s="31">
        <f t="shared" si="4"/>
        <v>3.8799327247932509E-2</v>
      </c>
      <c r="F33" s="36">
        <f t="shared" si="4"/>
        <v>431999.99999999994</v>
      </c>
      <c r="G33" s="36">
        <f t="shared" si="4"/>
        <v>581.98990871898764</v>
      </c>
      <c r="H33" s="3"/>
      <c r="I33" s="11"/>
      <c r="J33" s="11"/>
      <c r="K33" s="23"/>
      <c r="L33" s="24">
        <f>SUM(L27:L32)</f>
        <v>3.8799327247932502E-2</v>
      </c>
    </row>
    <row r="34" spans="1:12" ht="15" customHeight="1" thickTop="1">
      <c r="C34" s="3"/>
      <c r="D34" s="3"/>
      <c r="E34" s="3"/>
      <c r="F34" s="3"/>
      <c r="H34" s="3"/>
      <c r="I34" s="3"/>
      <c r="J34" s="3"/>
    </row>
    <row r="35" spans="1:12" ht="15" customHeight="1" thickBot="1">
      <c r="A35" s="3"/>
      <c r="B35" s="3"/>
      <c r="C35" s="3"/>
      <c r="D35" s="3"/>
      <c r="E35" s="3"/>
      <c r="F35" s="3"/>
      <c r="G35" s="4"/>
      <c r="H35" s="3"/>
      <c r="I35" s="3"/>
      <c r="J35" s="3"/>
    </row>
    <row r="36" spans="1:12" ht="15" customHeight="1" thickTop="1">
      <c r="A36" s="60" t="s">
        <v>31</v>
      </c>
      <c r="B36" s="61"/>
      <c r="C36" s="61"/>
      <c r="D36" s="61"/>
      <c r="E36" s="61"/>
      <c r="F36" s="62"/>
      <c r="G36" s="5"/>
      <c r="H36" s="3"/>
      <c r="I36" s="3"/>
      <c r="J36" s="3"/>
    </row>
    <row r="37" spans="1:12" ht="15" customHeight="1">
      <c r="A37" s="63"/>
      <c r="B37" s="64"/>
      <c r="C37" s="64"/>
      <c r="D37" s="64"/>
      <c r="E37" s="64"/>
      <c r="F37" s="65"/>
      <c r="G37" s="5"/>
      <c r="H37" s="3"/>
      <c r="I37" s="3"/>
      <c r="J37" s="3"/>
    </row>
    <row r="38" spans="1:12" ht="15" customHeight="1" thickBot="1">
      <c r="A38" s="66"/>
      <c r="B38" s="67"/>
      <c r="C38" s="67"/>
      <c r="D38" s="67"/>
      <c r="E38" s="67"/>
      <c r="F38" s="68"/>
      <c r="G38" s="3"/>
      <c r="H38" s="3"/>
      <c r="I38" s="3"/>
      <c r="J38" s="3"/>
    </row>
    <row r="39" spans="1:12" ht="30" customHeight="1" thickTop="1">
      <c r="A39" s="6" t="s">
        <v>4</v>
      </c>
      <c r="B39" s="32">
        <v>15000</v>
      </c>
      <c r="C39" s="6" t="s">
        <v>18</v>
      </c>
      <c r="D39" s="25">
        <v>0.65</v>
      </c>
      <c r="E39" s="6" t="s">
        <v>21</v>
      </c>
      <c r="F39" s="8">
        <f>10*D39*B$44/D$46</f>
        <v>442708.33333333326</v>
      </c>
      <c r="G39" s="3"/>
      <c r="H39" s="3"/>
      <c r="I39" s="3"/>
      <c r="J39" s="3"/>
    </row>
    <row r="40" spans="1:12" ht="30" customHeight="1">
      <c r="A40" s="15" t="s">
        <v>3</v>
      </c>
      <c r="B40" s="9">
        <v>540</v>
      </c>
      <c r="C40" s="15" t="s">
        <v>19</v>
      </c>
      <c r="D40" s="28">
        <v>0.45</v>
      </c>
      <c r="E40" s="15" t="s">
        <v>22</v>
      </c>
      <c r="F40" s="10">
        <f>20*D40*B$44/D$46</f>
        <v>612980.76923076913</v>
      </c>
      <c r="G40" s="3"/>
      <c r="H40" s="3"/>
      <c r="I40" s="3"/>
      <c r="J40" s="3"/>
    </row>
    <row r="41" spans="1:12" ht="30" customHeight="1">
      <c r="A41" s="15" t="s">
        <v>9</v>
      </c>
      <c r="B41" s="20">
        <v>0.8</v>
      </c>
      <c r="C41" s="15" t="s">
        <v>20</v>
      </c>
      <c r="D41" s="28">
        <v>0.28000000000000003</v>
      </c>
      <c r="E41" s="15" t="s">
        <v>23</v>
      </c>
      <c r="F41" s="10">
        <f>100*D41*B$44/D$46</f>
        <v>1907051.2820512818</v>
      </c>
      <c r="G41" s="3"/>
      <c r="H41" s="3"/>
      <c r="I41" s="3"/>
      <c r="J41" s="3"/>
    </row>
    <row r="42" spans="1:12" ht="30" customHeight="1">
      <c r="A42" s="15" t="s">
        <v>11</v>
      </c>
      <c r="B42" s="33">
        <f>B41*B40</f>
        <v>432</v>
      </c>
      <c r="C42" s="15" t="s">
        <v>27</v>
      </c>
      <c r="D42" s="28">
        <v>0.12</v>
      </c>
      <c r="E42" s="15" t="s">
        <v>24</v>
      </c>
      <c r="F42" s="10">
        <f>1000*D42*B$44/D$46</f>
        <v>8173076.9230769211</v>
      </c>
      <c r="G42" s="3"/>
      <c r="H42" s="3"/>
      <c r="I42" s="3"/>
      <c r="J42" s="3"/>
    </row>
    <row r="43" spans="1:12" ht="30" customHeight="1">
      <c r="A43" s="15" t="s">
        <v>0</v>
      </c>
      <c r="B43" s="10">
        <f>1000*B39/(B40*B41)</f>
        <v>34722.222222222219</v>
      </c>
      <c r="C43" s="15" t="s">
        <v>28</v>
      </c>
      <c r="D43" s="28">
        <v>0.05</v>
      </c>
      <c r="E43" s="15" t="s">
        <v>25</v>
      </c>
      <c r="F43" s="10">
        <f>10000*D43*B$44/D$46</f>
        <v>34054487.179487176</v>
      </c>
      <c r="G43" s="3"/>
      <c r="H43" s="3"/>
      <c r="I43" s="3"/>
      <c r="J43" s="3"/>
    </row>
    <row r="44" spans="1:12" ht="30" customHeight="1">
      <c r="A44" s="15" t="s">
        <v>6</v>
      </c>
      <c r="B44" s="10">
        <f>B45*B43</f>
        <v>177083.33333333331</v>
      </c>
      <c r="C44" s="15" t="s">
        <v>29</v>
      </c>
      <c r="D44" s="28">
        <v>2.5000000000000001E-2</v>
      </c>
      <c r="E44" s="15" t="s">
        <v>26</v>
      </c>
      <c r="F44" s="10">
        <f>100000*D44*B$44/D$46</f>
        <v>170272435.89743587</v>
      </c>
      <c r="G44" s="3"/>
      <c r="H44" s="3"/>
      <c r="I44" s="3"/>
      <c r="J44" s="3"/>
    </row>
    <row r="45" spans="1:12" ht="30" customHeight="1">
      <c r="A45" s="15" t="s">
        <v>7</v>
      </c>
      <c r="B45" s="20">
        <v>5.0999999999999996</v>
      </c>
      <c r="C45" s="15" t="s">
        <v>1</v>
      </c>
      <c r="D45" s="34">
        <f>D46/(D46-1)</f>
        <v>1.625</v>
      </c>
      <c r="E45" s="9"/>
      <c r="F45" s="9"/>
      <c r="G45" s="3"/>
      <c r="H45" s="3"/>
      <c r="I45" s="3"/>
      <c r="J45" s="3"/>
    </row>
    <row r="46" spans="1:12" ht="30" customHeight="1" thickBot="1">
      <c r="A46" s="23"/>
      <c r="B46" s="23"/>
      <c r="C46" s="14" t="s">
        <v>2</v>
      </c>
      <c r="D46" s="35">
        <v>2.6</v>
      </c>
      <c r="E46" s="11"/>
      <c r="F46" s="11"/>
      <c r="G46" s="3"/>
      <c r="H46" s="3"/>
      <c r="I46" s="3"/>
      <c r="J46" s="3"/>
    </row>
    <row r="47" spans="1:12" ht="15" customHeight="1" thickTop="1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2" ht="15" customHeight="1">
      <c r="A48" s="13" t="s">
        <v>8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ht="15" customHeight="1">
      <c r="A49" s="13" t="s">
        <v>5</v>
      </c>
      <c r="B49" s="3"/>
      <c r="C49" s="3"/>
      <c r="D49" s="3"/>
      <c r="E49" s="3"/>
      <c r="F49" s="3"/>
      <c r="G49" s="3"/>
      <c r="H49" s="3"/>
      <c r="I49" s="3"/>
      <c r="J49" s="3"/>
    </row>
    <row r="50" spans="1:10" ht="15" customHeight="1">
      <c r="A50" s="13" t="s">
        <v>32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ht="15" customHeight="1">
      <c r="A51" s="13" t="s">
        <v>33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ht="15" customHeight="1">
      <c r="A52" s="13" t="s">
        <v>10</v>
      </c>
      <c r="B52" s="3"/>
      <c r="E52" s="3"/>
      <c r="F52" s="3"/>
      <c r="G52" s="3"/>
      <c r="H52" s="3"/>
      <c r="I52" s="3"/>
      <c r="J52" s="3"/>
    </row>
    <row r="53" spans="1:10" ht="15" customHeight="1"/>
    <row r="54" spans="1:10" ht="15" customHeight="1"/>
    <row r="55" spans="1:10" ht="15" customHeight="1"/>
    <row r="56" spans="1:10" ht="15" customHeight="1"/>
    <row r="57" spans="1:10" ht="15" customHeight="1"/>
    <row r="58" spans="1:10" ht="15" customHeight="1"/>
    <row r="59" spans="1:10" ht="15" customHeight="1"/>
    <row r="60" spans="1:10" ht="15" customHeight="1"/>
  </sheetData>
  <mergeCells count="20">
    <mergeCell ref="D24:D26"/>
    <mergeCell ref="J24:J26"/>
    <mergeCell ref="K24:K26"/>
    <mergeCell ref="A36:F38"/>
    <mergeCell ref="I18:L19"/>
    <mergeCell ref="B20:B26"/>
    <mergeCell ref="C20:D23"/>
    <mergeCell ref="E20:E26"/>
    <mergeCell ref="F20:F26"/>
    <mergeCell ref="G20:G26"/>
    <mergeCell ref="I20:I26"/>
    <mergeCell ref="J20:K23"/>
    <mergeCell ref="L20:L26"/>
    <mergeCell ref="C24:C26"/>
    <mergeCell ref="A3:G5"/>
    <mergeCell ref="B7:D7"/>
    <mergeCell ref="B8:D8"/>
    <mergeCell ref="B9:C9"/>
    <mergeCell ref="D9:D10"/>
    <mergeCell ref="B18:G19"/>
  </mergeCells>
  <phoneticPr fontId="26" type="noConversion"/>
  <printOptions horizontalCentered="1" verticalCentered="1"/>
  <pageMargins left="0.79000000000000015" right="0.79000000000000015" top="0.98" bottom="0.98" header="0.51" footer="0.51"/>
  <pageSetup paperSize="9" scale="91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TS15.1a</vt:lpstr>
      <vt:lpstr>TS15.1b</vt:lpstr>
    </vt:vector>
  </TitlesOfParts>
  <Company>pse-cnrs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piketty</dc:creator>
  <cp:lastModifiedBy>Pierre BERTRAND</cp:lastModifiedBy>
  <cp:lastPrinted>2014-01-09T22:02:54Z</cp:lastPrinted>
  <dcterms:created xsi:type="dcterms:W3CDTF">2009-06-26T15:27:40Z</dcterms:created>
  <dcterms:modified xsi:type="dcterms:W3CDTF">2014-01-22T18:34:21Z</dcterms:modified>
</cp:coreProperties>
</file>