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Users\Daniel Vong\Downloads\"/>
    </mc:Choice>
  </mc:AlternateContent>
  <xr:revisionPtr revIDLastSave="0" documentId="13_ncr:1_{DA09C232-1504-4CE9-A008-17492C94878C}" xr6:coauthVersionLast="47" xr6:coauthVersionMax="47" xr10:uidLastSave="{00000000-0000-0000-0000-000000000000}"/>
  <bookViews>
    <workbookView xWindow="12690" yWindow="0" windowWidth="16215" windowHeight="16305" firstSheet="5" activeTab="7" xr2:uid="{00000000-000D-0000-FFFF-FFFF00000000}"/>
  </bookViews>
  <sheets>
    <sheet name="Basic COCOMO Parameters" sheetId="1" r:id="rId1"/>
    <sheet name="Project Input Section" sheetId="2" r:id="rId2"/>
    <sheet name="Multiplier Lookup" sheetId="8" r:id="rId3"/>
    <sheet name="Effort Multipliers" sheetId="3" r:id="rId4"/>
    <sheet name="Calculations" sheetId="4" r:id="rId5"/>
    <sheet name="Results Summary" sheetId="5" r:id="rId6"/>
    <sheet name="Additional Factors" sheetId="6" r:id="rId7"/>
    <sheet name="Final Adjusted Estimate" sheetId="7" r:id="rId8"/>
  </sheets>
  <definedNames>
    <definedName name="_c">'Project Input Section'!$B$6</definedName>
    <definedName name="a">'Project Input Section'!$B$4</definedName>
    <definedName name="AdjustedEffort">Calculations!$C$3</definedName>
    <definedName name="b">'Project Input Section'!$B$5</definedName>
    <definedName name="Base">Calculations!$C$2</definedName>
    <definedName name="CombinedMultipler">'Effort Multipliers'!$C$6</definedName>
    <definedName name="CombinedMultiplier">'Effort Multipliers'!$C$6</definedName>
    <definedName name="Contingency">'Final Adjusted Estimate'!$B$7</definedName>
    <definedName name="d">'Project Input Section'!$B$7</definedName>
    <definedName name="Duration">Calculations!$C$5</definedName>
    <definedName name="Effort">Calculations!$C$4</definedName>
    <definedName name="Final">'Final Adjusted Estimate'!$B$6</definedName>
    <definedName name="ProjectTypes">'Basic COCOMO Parameters'!$A$2:$A$4</definedName>
    <definedName name="RiskAdjustment">'Final Adjusted Estimate'!$B$5</definedName>
    <definedName name="Size">'Project Input Section'!$B$2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7" l="1"/>
  <c r="C3" i="6"/>
  <c r="C4" i="6"/>
  <c r="C5" i="6"/>
  <c r="C2" i="6"/>
  <c r="B5" i="7" s="1"/>
  <c r="B4" i="5"/>
  <c r="B2" i="5"/>
  <c r="B3" i="5"/>
  <c r="B5" i="5"/>
  <c r="C5" i="4"/>
  <c r="C3" i="4"/>
  <c r="B7" i="2"/>
  <c r="B6" i="2"/>
  <c r="B5" i="2"/>
  <c r="B4" i="2"/>
  <c r="D4" i="3"/>
  <c r="D5" i="3"/>
  <c r="D3" i="3"/>
  <c r="D2" i="3"/>
  <c r="C3" i="3"/>
  <c r="C4" i="3"/>
  <c r="C5" i="3"/>
  <c r="C2" i="3"/>
  <c r="B6" i="7" l="1"/>
  <c r="B7" i="7" s="1"/>
  <c r="B8" i="7" s="1" a="1"/>
  <c r="B8" i="7" s="1"/>
  <c r="B11" i="7" s="1"/>
  <c r="C2" i="4"/>
  <c r="C6" i="3"/>
  <c r="B9" i="7" l="1"/>
  <c r="B10" i="7" s="1"/>
  <c r="C4" i="4"/>
  <c r="C6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<sst xmlns="http://schemas.openxmlformats.org/spreadsheetml/2006/main" count="176" uniqueCount="122">
  <si>
    <t>Project Type</t>
  </si>
  <si>
    <t>a</t>
  </si>
  <si>
    <t>b</t>
  </si>
  <si>
    <t>Description</t>
  </si>
  <si>
    <t>Organic</t>
  </si>
  <si>
    <t>Small teams familiar with requirements</t>
  </si>
  <si>
    <t>Semi-detached</t>
  </si>
  <si>
    <t>Medium teams mixed experience</t>
  </si>
  <si>
    <t>Embedded</t>
  </si>
  <si>
    <t>Complex systems tight constraints</t>
  </si>
  <si>
    <t>Parameter</t>
  </si>
  <si>
    <t>Value</t>
  </si>
  <si>
    <t>Notes</t>
  </si>
  <si>
    <t>Project Size (KSLOC)</t>
  </si>
  <si>
    <t>Enter size in thousands of lines of code</t>
  </si>
  <si>
    <t>Select from dropdown: Organic/Semi-detached/Embedded</t>
  </si>
  <si>
    <t>Calibration Constant (a)</t>
  </si>
  <si>
    <t>Auto-populated based on project type</t>
  </si>
  <si>
    <t>Scale Factor (b)</t>
  </si>
  <si>
    <t>Factor</t>
  </si>
  <si>
    <t>Rating</t>
  </si>
  <si>
    <t>Multiplier</t>
  </si>
  <si>
    <t>Product Complexity</t>
  </si>
  <si>
    <t>Normal</t>
  </si>
  <si>
    <t>Team Experience</t>
  </si>
  <si>
    <t>High</t>
  </si>
  <si>
    <t>Development Tools</t>
  </si>
  <si>
    <t>Time Constraints</t>
  </si>
  <si>
    <t>Combined Multiplier</t>
  </si>
  <si>
    <t>Product of all multipliers</t>
  </si>
  <si>
    <t>Calculation</t>
  </si>
  <si>
    <t>Formula</t>
  </si>
  <si>
    <t>Units</t>
  </si>
  <si>
    <t>Base Effort</t>
  </si>
  <si>
    <t>Person-months</t>
  </si>
  <si>
    <t>Adjusted Effort</t>
  </si>
  <si>
    <t>Effort in Hours</t>
  </si>
  <si>
    <t>Hours</t>
  </si>
  <si>
    <t>Duration (months)</t>
  </si>
  <si>
    <t>Months</t>
  </si>
  <si>
    <t>Team Size</t>
  </si>
  <si>
    <t>People</t>
  </si>
  <si>
    <t>Metric</t>
  </si>
  <si>
    <t>Range</t>
  </si>
  <si>
    <t>Estimated Effort</t>
  </si>
  <si>
    <t>Project Duration</t>
  </si>
  <si>
    <t>Recommended Team Size</t>
  </si>
  <si>
    <t>Confidence Level</t>
  </si>
  <si>
    <t>Medium</t>
  </si>
  <si>
    <t>Based on project characteristics</t>
  </si>
  <si>
    <t>Risk Factor</t>
  </si>
  <si>
    <t>Low</t>
  </si>
  <si>
    <t>Selected</t>
  </si>
  <si>
    <t>Technology Risk</t>
  </si>
  <si>
    <t>Team Risk</t>
  </si>
  <si>
    <t>Requirements Risk</t>
  </si>
  <si>
    <t>Integration Risk</t>
  </si>
  <si>
    <t>Base Estimate</t>
  </si>
  <si>
    <t>Risk Adjustment</t>
  </si>
  <si>
    <t>Final Estimate</t>
  </si>
  <si>
    <t>Contingency (15%)</t>
  </si>
  <si>
    <t>Project Budget</t>
  </si>
  <si>
    <t>a * (size^b)</t>
  </si>
  <si>
    <t>Base * Combined Multiplier</t>
  </si>
  <si>
    <t>Very Low</t>
  </si>
  <si>
    <t>Nominal</t>
  </si>
  <si>
    <t>Very High</t>
  </si>
  <si>
    <t>Extra High</t>
  </si>
  <si>
    <t>-</t>
  </si>
  <si>
    <t>Very simple logic</t>
  </si>
  <si>
    <t>Below average logic</t>
  </si>
  <si>
    <t>Normal complexity</t>
  </si>
  <si>
    <t>Advanced logic</t>
  </si>
  <si>
    <t>Complex systems</t>
  </si>
  <si>
    <t>Mission critical</t>
  </si>
  <si>
    <t>Novice team</t>
  </si>
  <si>
    <t>Some experience</t>
  </si>
  <si>
    <t>Moderate experience</t>
  </si>
  <si>
    <t>Skilled team</t>
  </si>
  <si>
    <t>Highly experienced</t>
  </si>
  <si>
    <t>World-class team</t>
  </si>
  <si>
    <t>Basic tools only</t>
  </si>
  <si>
    <t>Limited IDE features</t>
  </si>
  <si>
    <t>Standard toolchain</t>
  </si>
  <si>
    <t>Enhanced toolchain</t>
  </si>
  <si>
    <t>Premium tools</t>
  </si>
  <si>
    <t>AI-assisted tools</t>
  </si>
  <si>
    <t>Relaxed deadlines</t>
  </si>
  <si>
    <t>Generous timeline</t>
  </si>
  <si>
    <t>Normal schedule</t>
  </si>
  <si>
    <t>Slightly rushed</t>
  </si>
  <si>
    <t>—</t>
  </si>
  <si>
    <t>Adjusted Effort * 152</t>
  </si>
  <si>
    <t>Effort / Duration</t>
  </si>
  <si>
    <t>c</t>
  </si>
  <si>
    <t>d</t>
  </si>
  <si>
    <t>c * (Effort^d)</t>
  </si>
  <si>
    <t>Duration Exponent (d)</t>
  </si>
  <si>
    <t>Duration Constant (c)</t>
  </si>
  <si>
    <t>Person-Months</t>
  </si>
  <si>
    <t>Duration</t>
  </si>
  <si>
    <t>Cost Estimate</t>
  </si>
  <si>
    <t>Rate per PM</t>
  </si>
  <si>
    <t>Adjust value if you have cost per PM</t>
  </si>
  <si>
    <t>Notes:</t>
  </si>
  <si>
    <t>Team Level</t>
  </si>
  <si>
    <t>Typical Rate/PM (MYR)</t>
  </si>
  <si>
    <t>Junior Developer</t>
  </si>
  <si>
    <t>RM 8,000 – RM 12,000</t>
  </si>
  <si>
    <t>Entry-level, fresh grads, etc.</t>
  </si>
  <si>
    <t>Mid-Level Developer</t>
  </si>
  <si>
    <t>RM 12,000 – RM 18,000</t>
  </si>
  <si>
    <t>2–5 years of experience</t>
  </si>
  <si>
    <t>Senior Developer</t>
  </si>
  <si>
    <t>RM 18,000 – RM 25,000</t>
  </si>
  <si>
    <t>Includes some system design, mentoring responsibilities</t>
  </si>
  <si>
    <t>Team Lead / Architect</t>
  </si>
  <si>
    <t>RM 25,000 – RM 35,000</t>
  </si>
  <si>
    <t>Strong leadership, system design, planning</t>
  </si>
  <si>
    <t>External Consultant</t>
  </si>
  <si>
    <t>RM 35,000 – RM 50,000+</t>
  </si>
  <si>
    <t>High-end consultants, niche roles, or short-term expertise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</si>
</sst>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7" sqref="D7"/>
    </sheetView>
  </sheetViews>
  <sheetFormatPr defaultRowHeight="15" x14ac:dyDescent="0.25"/>
  <cols>
    <col min="1" max="1" width="14.5703125" bestFit="1" customWidth="1"/>
    <col min="4" max="4" width="9.140625" customWidth="1"/>
    <col min="6" max="6" width="36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94</v>
      </c>
      <c r="E1" s="1" t="s">
        <v>95</v>
      </c>
      <c r="F1" s="1" t="s">
        <v>3</v>
      </c>
    </row>
    <row r="2" spans="1:6" x14ac:dyDescent="0.25">
      <c r="A2" t="s">
        <v>4</v>
      </c>
      <c r="B2">
        <v>2.4</v>
      </c>
      <c r="C2">
        <v>1.05</v>
      </c>
      <c r="D2">
        <v>2.5</v>
      </c>
      <c r="E2">
        <v>0.38</v>
      </c>
      <c r="F2" t="s">
        <v>5</v>
      </c>
    </row>
    <row r="3" spans="1:6" x14ac:dyDescent="0.25">
      <c r="A3" t="s">
        <v>6</v>
      </c>
      <c r="B3">
        <v>3</v>
      </c>
      <c r="C3">
        <v>1.1200000000000001</v>
      </c>
      <c r="D3">
        <v>2.5</v>
      </c>
      <c r="E3">
        <v>0.35</v>
      </c>
      <c r="F3" t="s">
        <v>7</v>
      </c>
    </row>
    <row r="4" spans="1:6" x14ac:dyDescent="0.25">
      <c r="A4" t="s">
        <v>8</v>
      </c>
      <c r="B4">
        <v>3.6</v>
      </c>
      <c r="C4">
        <v>1.2</v>
      </c>
      <c r="D4">
        <v>2.5</v>
      </c>
      <c r="E4">
        <v>0.32</v>
      </c>
      <c r="F4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6" sqref="B6"/>
    </sheetView>
  </sheetViews>
  <sheetFormatPr defaultRowHeight="15" x14ac:dyDescent="0.25"/>
  <cols>
    <col min="1" max="1" width="22.28515625" bestFit="1" customWidth="1"/>
    <col min="2" max="2" width="14.5703125" bestFit="1" customWidth="1"/>
    <col min="3" max="3" width="54.7109375" bestFit="1" customWidth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t="s">
        <v>13</v>
      </c>
      <c r="B2">
        <v>25</v>
      </c>
      <c r="C2" t="s">
        <v>14</v>
      </c>
    </row>
    <row r="3" spans="1:3" x14ac:dyDescent="0.25">
      <c r="A3" t="s">
        <v>0</v>
      </c>
      <c r="B3" t="s">
        <v>6</v>
      </c>
      <c r="C3" t="s">
        <v>15</v>
      </c>
    </row>
    <row r="4" spans="1:3" x14ac:dyDescent="0.25">
      <c r="A4" t="s">
        <v>16</v>
      </c>
      <c r="B4">
        <f>_xlfn.XLOOKUP($B$3, ProjectTypes, 'Basic COCOMO Parameters'!B2:B4)</f>
        <v>3</v>
      </c>
      <c r="C4" t="s">
        <v>17</v>
      </c>
    </row>
    <row r="5" spans="1:3" x14ac:dyDescent="0.25">
      <c r="A5" t="s">
        <v>18</v>
      </c>
      <c r="B5">
        <f>_xlfn.XLOOKUP($B$3, ProjectTypes, 'Basic COCOMO Parameters'!C2:C4)</f>
        <v>1.1200000000000001</v>
      </c>
      <c r="C5" t="s">
        <v>17</v>
      </c>
    </row>
    <row r="6" spans="1:3" x14ac:dyDescent="0.25">
      <c r="A6" t="s">
        <v>98</v>
      </c>
      <c r="B6">
        <f>_xlfn.XLOOKUP($B$3, ProjectTypes, 'Basic COCOMO Parameters'!D2:D4)</f>
        <v>2.5</v>
      </c>
      <c r="C6" t="s">
        <v>17</v>
      </c>
    </row>
    <row r="7" spans="1:3" x14ac:dyDescent="0.25">
      <c r="A7" t="s">
        <v>97</v>
      </c>
      <c r="B7">
        <f>_xlfn.XLOOKUP($B$3, ProjectTypes, 'Basic COCOMO Parameters'!E2:E4)</f>
        <v>0.35</v>
      </c>
      <c r="C7" t="s">
        <v>17</v>
      </c>
    </row>
  </sheetData>
  <dataValidations count="1">
    <dataValidation type="list" allowBlank="1" showInputMessage="1" showErrorMessage="1" sqref="B3" xr:uid="{9FC91FD6-A4BC-41C6-9424-8E60E14947E1}">
      <formula1>ProjectTypes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9542-B612-46EC-948E-6D99AD5F80FE}">
  <dimension ref="A1:G17"/>
  <sheetViews>
    <sheetView workbookViewId="0">
      <selection activeCell="B20" sqref="B20"/>
    </sheetView>
  </sheetViews>
  <sheetFormatPr defaultRowHeight="15" x14ac:dyDescent="0.25"/>
  <cols>
    <col min="1" max="1" width="18.7109375" bestFit="1" customWidth="1"/>
  </cols>
  <sheetData>
    <row r="1" spans="1:7" x14ac:dyDescent="0.25">
      <c r="A1" s="2" t="s">
        <v>19</v>
      </c>
      <c r="B1" s="2" t="s">
        <v>64</v>
      </c>
      <c r="C1" s="2" t="s">
        <v>51</v>
      </c>
      <c r="D1" s="2" t="s">
        <v>23</v>
      </c>
      <c r="E1" s="2" t="s">
        <v>25</v>
      </c>
      <c r="F1" s="2" t="s">
        <v>66</v>
      </c>
      <c r="G1" s="2" t="s">
        <v>67</v>
      </c>
    </row>
    <row r="2" spans="1:7" x14ac:dyDescent="0.25">
      <c r="A2" t="s">
        <v>22</v>
      </c>
      <c r="B2">
        <v>0.7</v>
      </c>
      <c r="C2">
        <v>0.85</v>
      </c>
      <c r="D2">
        <v>1</v>
      </c>
      <c r="E2">
        <v>1.1499999999999999</v>
      </c>
      <c r="F2">
        <v>1.3</v>
      </c>
      <c r="G2">
        <v>1.65</v>
      </c>
    </row>
    <row r="3" spans="1:7" x14ac:dyDescent="0.25">
      <c r="A3" t="s">
        <v>24</v>
      </c>
      <c r="B3">
        <v>1.4</v>
      </c>
      <c r="C3">
        <v>1.2</v>
      </c>
      <c r="D3">
        <v>1</v>
      </c>
      <c r="E3">
        <v>0.85</v>
      </c>
      <c r="F3">
        <v>0.7</v>
      </c>
      <c r="G3">
        <v>0.5</v>
      </c>
    </row>
    <row r="4" spans="1:7" x14ac:dyDescent="0.25">
      <c r="A4" t="s">
        <v>26</v>
      </c>
      <c r="B4">
        <v>1.3</v>
      </c>
      <c r="C4">
        <v>1.1499999999999999</v>
      </c>
      <c r="D4">
        <v>1</v>
      </c>
      <c r="E4">
        <v>0.9</v>
      </c>
      <c r="F4">
        <v>0.82</v>
      </c>
      <c r="G4">
        <v>0.7</v>
      </c>
    </row>
    <row r="5" spans="1:7" x14ac:dyDescent="0.25">
      <c r="A5" t="s">
        <v>27</v>
      </c>
      <c r="B5">
        <v>1.6</v>
      </c>
      <c r="C5">
        <v>1.3</v>
      </c>
      <c r="D5">
        <v>1</v>
      </c>
      <c r="E5">
        <v>1</v>
      </c>
      <c r="F5" t="s">
        <v>68</v>
      </c>
      <c r="G5" t="s">
        <v>68</v>
      </c>
    </row>
    <row r="7" spans="1:7" x14ac:dyDescent="0.25">
      <c r="A7" s="2" t="s">
        <v>19</v>
      </c>
      <c r="B7" s="2" t="s">
        <v>64</v>
      </c>
      <c r="C7" s="2" t="s">
        <v>51</v>
      </c>
      <c r="D7" s="2" t="s">
        <v>65</v>
      </c>
      <c r="E7" s="2" t="s">
        <v>25</v>
      </c>
      <c r="F7" s="2" t="s">
        <v>66</v>
      </c>
      <c r="G7" s="2" t="s">
        <v>67</v>
      </c>
    </row>
    <row r="8" spans="1:7" x14ac:dyDescent="0.25">
      <c r="A8" t="s">
        <v>22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</row>
    <row r="9" spans="1:7" x14ac:dyDescent="0.25">
      <c r="A9" t="s">
        <v>24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</row>
    <row r="10" spans="1:7" x14ac:dyDescent="0.25">
      <c r="A10" t="s">
        <v>26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</row>
    <row r="11" spans="1:7" x14ac:dyDescent="0.25">
      <c r="A11" t="s">
        <v>27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91</v>
      </c>
    </row>
    <row r="13" spans="1:7" x14ac:dyDescent="0.25">
      <c r="A13" s="1" t="s">
        <v>50</v>
      </c>
      <c r="B13" s="1" t="s">
        <v>51</v>
      </c>
      <c r="C13" s="1" t="s">
        <v>48</v>
      </c>
      <c r="D13" s="1" t="s">
        <v>25</v>
      </c>
    </row>
    <row r="14" spans="1:7" x14ac:dyDescent="0.25">
      <c r="A14" t="s">
        <v>53</v>
      </c>
      <c r="B14">
        <v>0.9</v>
      </c>
      <c r="C14">
        <v>1</v>
      </c>
      <c r="D14">
        <v>1.2</v>
      </c>
    </row>
    <row r="15" spans="1:7" x14ac:dyDescent="0.25">
      <c r="A15" t="s">
        <v>54</v>
      </c>
      <c r="B15">
        <v>0.8</v>
      </c>
      <c r="C15">
        <v>1</v>
      </c>
      <c r="D15">
        <v>1.3</v>
      </c>
    </row>
    <row r="16" spans="1:7" x14ac:dyDescent="0.25">
      <c r="A16" t="s">
        <v>55</v>
      </c>
      <c r="B16">
        <v>0.9</v>
      </c>
      <c r="C16">
        <v>1</v>
      </c>
      <c r="D16">
        <v>1.4</v>
      </c>
    </row>
    <row r="17" spans="1:4" x14ac:dyDescent="0.25">
      <c r="A17" t="s">
        <v>56</v>
      </c>
      <c r="B17">
        <v>0.8</v>
      </c>
      <c r="C17">
        <v>1</v>
      </c>
      <c r="D17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C2" sqref="C2"/>
    </sheetView>
  </sheetViews>
  <sheetFormatPr defaultRowHeight="15" x14ac:dyDescent="0.25"/>
  <cols>
    <col min="1" max="1" width="19.7109375" bestFit="1" customWidth="1"/>
    <col min="3" max="3" width="10" bestFit="1" customWidth="1"/>
    <col min="4" max="4" width="35" bestFit="1" customWidth="1"/>
  </cols>
  <sheetData>
    <row r="1" spans="1:4" x14ac:dyDescent="0.25">
      <c r="A1" s="1" t="s">
        <v>19</v>
      </c>
      <c r="B1" s="1" t="s">
        <v>20</v>
      </c>
      <c r="C1" s="1" t="s">
        <v>21</v>
      </c>
      <c r="D1" s="1" t="s">
        <v>3</v>
      </c>
    </row>
    <row r="2" spans="1:4" x14ac:dyDescent="0.25">
      <c r="A2" t="s">
        <v>22</v>
      </c>
      <c r="B2" t="s">
        <v>23</v>
      </c>
      <c r="C2">
        <f>INDEX('Multiplier Lookup'!$B$2:$G$5, MATCH(A2, 'Multiplier Lookup'!$A$2:$A$5, 0), MATCH(B2, 'Multiplier Lookup'!$B$1:$G$1, 0))</f>
        <v>1</v>
      </c>
      <c r="D2" t="str">
        <f>INDEX('Multiplier Lookup'!$B$8:$G$11, MATCH(A2, 'Multiplier Lookup'!$A$2:$A$5, 0), MATCH(B2, 'Multiplier Lookup'!$B$1:$G$1, 0))</f>
        <v>Normal complexity</v>
      </c>
    </row>
    <row r="3" spans="1:4" x14ac:dyDescent="0.25">
      <c r="A3" t="s">
        <v>24</v>
      </c>
      <c r="B3" t="s">
        <v>25</v>
      </c>
      <c r="C3">
        <f>INDEX('Multiplier Lookup'!$B$2:$G$5, MATCH(A3, 'Multiplier Lookup'!$A$2:$A$5, 0), MATCH(B3, 'Multiplier Lookup'!$B$1:$G$1, 0))</f>
        <v>0.85</v>
      </c>
      <c r="D3" t="str">
        <f>INDEX('Multiplier Lookup'!$B$8:$G$11, MATCH(A3, 'Multiplier Lookup'!$A$2:$A$5, 0), MATCH(B3, 'Multiplier Lookup'!$B$1:$G$1, 0))</f>
        <v>Skilled team</v>
      </c>
    </row>
    <row r="4" spans="1:4" x14ac:dyDescent="0.25">
      <c r="A4" t="s">
        <v>26</v>
      </c>
      <c r="B4" t="s">
        <v>25</v>
      </c>
      <c r="C4">
        <f>INDEX('Multiplier Lookup'!$B$2:$G$5, MATCH(A4, 'Multiplier Lookup'!$A$2:$A$5, 0), MATCH(B4, 'Multiplier Lookup'!$B$1:$G$1, 0))</f>
        <v>0.9</v>
      </c>
      <c r="D4" t="str">
        <f>INDEX('Multiplier Lookup'!$B$8:$G$11, MATCH(A4, 'Multiplier Lookup'!$A$2:$A$5, 0), MATCH(B4, 'Multiplier Lookup'!$B$1:$G$1, 0))</f>
        <v>Enhanced toolchain</v>
      </c>
    </row>
    <row r="5" spans="1:4" x14ac:dyDescent="0.25">
      <c r="A5" t="s">
        <v>27</v>
      </c>
      <c r="B5" t="s">
        <v>23</v>
      </c>
      <c r="C5">
        <f>INDEX('Multiplier Lookup'!$B$2:$G$5, MATCH(A5, 'Multiplier Lookup'!$A$2:$A$5, 0), MATCH(B5, 'Multiplier Lookup'!$B$1:$G$1, 0))</f>
        <v>1</v>
      </c>
      <c r="D5" t="str">
        <f>INDEX('Multiplier Lookup'!$B$8:$G$11, MATCH(A5, 'Multiplier Lookup'!$A$2:$A$5, 0), MATCH(B5, 'Multiplier Lookup'!$B$1:$G$1, 0))</f>
        <v>Normal schedule</v>
      </c>
    </row>
    <row r="6" spans="1:4" x14ac:dyDescent="0.25">
      <c r="A6" t="s">
        <v>28</v>
      </c>
      <c r="C6">
        <f>PRODUCT(C2:C5)</f>
        <v>0.76500000000000001</v>
      </c>
      <c r="D6" t="s">
        <v>29</v>
      </c>
    </row>
  </sheetData>
  <dataValidations count="2">
    <dataValidation type="list" allowBlank="1" showInputMessage="1" showErrorMessage="1" sqref="B2:B4" xr:uid="{E74F38C8-4618-489E-BC6A-7D22BA266D8E}">
      <formula1>"Very Low,Low,Normal,High,Very High,Extra High"</formula1>
    </dataValidation>
    <dataValidation type="list" allowBlank="1" showInputMessage="1" showErrorMessage="1" sqref="B5" xr:uid="{84FCB317-45E7-4EE2-8C74-19A29AD7BBAB}">
      <formula1>"Very Low,Low,Normal,High"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9" sqref="C9"/>
    </sheetView>
  </sheetViews>
  <sheetFormatPr defaultRowHeight="15" x14ac:dyDescent="0.25"/>
  <cols>
    <col min="1" max="1" width="17.5703125" bestFit="1" customWidth="1"/>
    <col min="2" max="2" width="26" bestFit="1" customWidth="1"/>
    <col min="3" max="3" width="14" customWidth="1"/>
  </cols>
  <sheetData>
    <row r="1" spans="1:4" x14ac:dyDescent="0.25">
      <c r="A1" s="1" t="s">
        <v>30</v>
      </c>
      <c r="B1" s="1" t="s">
        <v>31</v>
      </c>
      <c r="C1" s="1" t="s">
        <v>11</v>
      </c>
      <c r="D1" s="1" t="s">
        <v>32</v>
      </c>
    </row>
    <row r="2" spans="1:4" x14ac:dyDescent="0.25">
      <c r="A2" t="s">
        <v>33</v>
      </c>
      <c r="B2" t="s">
        <v>62</v>
      </c>
      <c r="C2">
        <f>a*(Size^b)</f>
        <v>110.36060291724365</v>
      </c>
      <c r="D2" t="s">
        <v>34</v>
      </c>
    </row>
    <row r="3" spans="1:4" x14ac:dyDescent="0.25">
      <c r="A3" t="s">
        <v>35</v>
      </c>
      <c r="B3" t="s">
        <v>63</v>
      </c>
      <c r="C3">
        <f>Base*CombinedMultiplier</f>
        <v>84.4258612316914</v>
      </c>
      <c r="D3" t="s">
        <v>34</v>
      </c>
    </row>
    <row r="4" spans="1:4" x14ac:dyDescent="0.25">
      <c r="A4" t="s">
        <v>36</v>
      </c>
      <c r="B4" t="s">
        <v>92</v>
      </c>
      <c r="C4">
        <f>AdjustedEffort * 152</f>
        <v>12832.730907217092</v>
      </c>
      <c r="D4" t="s">
        <v>37</v>
      </c>
    </row>
    <row r="5" spans="1:4" x14ac:dyDescent="0.25">
      <c r="A5" t="s">
        <v>38</v>
      </c>
      <c r="B5" t="s">
        <v>96</v>
      </c>
      <c r="C5">
        <f>_c*(AdjustedEffort^d)</f>
        <v>11.808818117207325</v>
      </c>
      <c r="D5" t="s">
        <v>39</v>
      </c>
    </row>
    <row r="6" spans="1:4" x14ac:dyDescent="0.25">
      <c r="A6" t="s">
        <v>40</v>
      </c>
      <c r="B6" t="s">
        <v>93</v>
      </c>
      <c r="C6">
        <f>AdjustedEffort / Duration</f>
        <v>7.1493912763945024</v>
      </c>
      <c r="D6" t="s">
        <v>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6" sqref="C6"/>
    </sheetView>
  </sheetViews>
  <sheetFormatPr defaultRowHeight="15" x14ac:dyDescent="0.25"/>
  <cols>
    <col min="1" max="1" width="24.140625" bestFit="1" customWidth="1"/>
    <col min="2" max="2" width="9.140625" customWidth="1"/>
  </cols>
  <sheetData>
    <row r="1" spans="1:3" x14ac:dyDescent="0.25">
      <c r="A1" s="1" t="s">
        <v>42</v>
      </c>
      <c r="B1" s="1" t="s">
        <v>11</v>
      </c>
      <c r="C1" s="1" t="s">
        <v>43</v>
      </c>
    </row>
    <row r="2" spans="1:3" x14ac:dyDescent="0.25">
      <c r="A2" t="s">
        <v>44</v>
      </c>
      <c r="B2">
        <f>ROUNDUP(AdjustedEffort,0)</f>
        <v>85</v>
      </c>
      <c r="C2" t="s">
        <v>34</v>
      </c>
    </row>
    <row r="3" spans="1:3" x14ac:dyDescent="0.25">
      <c r="A3" t="s">
        <v>45</v>
      </c>
      <c r="B3">
        <f>ROUNDUP(Duration, 0)</f>
        <v>12</v>
      </c>
      <c r="C3" t="s">
        <v>39</v>
      </c>
    </row>
    <row r="4" spans="1:3" x14ac:dyDescent="0.25">
      <c r="A4" t="s">
        <v>46</v>
      </c>
      <c r="B4">
        <f>ROUNDUP(Calculations!C6,0)</f>
        <v>8</v>
      </c>
      <c r="C4" t="s">
        <v>41</v>
      </c>
    </row>
    <row r="5" spans="1:3" x14ac:dyDescent="0.25">
      <c r="A5" t="s">
        <v>47</v>
      </c>
      <c r="B5" t="str">
        <f>IF(Size&lt;10, "High", IF(Size&lt;=50, "Medium", "Low"))</f>
        <v>Medium</v>
      </c>
      <c r="C5" t="s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B2" sqref="B2"/>
    </sheetView>
  </sheetViews>
  <sheetFormatPr defaultRowHeight="15" x14ac:dyDescent="0.25"/>
  <cols>
    <col min="1" max="1" width="17.85546875" bestFit="1" customWidth="1"/>
  </cols>
  <sheetData>
    <row r="1" spans="1:4" x14ac:dyDescent="0.25">
      <c r="A1" s="1" t="s">
        <v>50</v>
      </c>
      <c r="B1" s="1" t="s">
        <v>52</v>
      </c>
      <c r="C1" s="1" t="s">
        <v>21</v>
      </c>
      <c r="D1" s="1"/>
    </row>
    <row r="2" spans="1:4" x14ac:dyDescent="0.25">
      <c r="A2" t="s">
        <v>53</v>
      </c>
      <c r="B2" t="s">
        <v>48</v>
      </c>
      <c r="C2">
        <f>INDEX('Multiplier Lookup'!$B$14:$D$17, MATCH(A2, 'Multiplier Lookup'!$A$14:$A$175, 0), MATCH(B2, 'Multiplier Lookup'!$B$13:$D$13, 0))</f>
        <v>1</v>
      </c>
    </row>
    <row r="3" spans="1:4" x14ac:dyDescent="0.25">
      <c r="A3" t="s">
        <v>54</v>
      </c>
      <c r="B3" t="s">
        <v>48</v>
      </c>
      <c r="C3">
        <f>INDEX('Multiplier Lookup'!$B$14:$D$17, MATCH(A3, 'Multiplier Lookup'!$A$14:$A$175, 0), MATCH(B3, 'Multiplier Lookup'!$B$13:$D$13, 0))</f>
        <v>1</v>
      </c>
    </row>
    <row r="4" spans="1:4" x14ac:dyDescent="0.25">
      <c r="A4" t="s">
        <v>55</v>
      </c>
      <c r="B4" t="s">
        <v>48</v>
      </c>
      <c r="C4">
        <f>INDEX('Multiplier Lookup'!$B$14:$D$17, MATCH(A4, 'Multiplier Lookup'!$A$14:$A$175, 0), MATCH(B4, 'Multiplier Lookup'!$B$13:$D$13, 0))</f>
        <v>1</v>
      </c>
    </row>
    <row r="5" spans="1:4" x14ac:dyDescent="0.25">
      <c r="A5" t="s">
        <v>56</v>
      </c>
      <c r="B5" t="s">
        <v>48</v>
      </c>
      <c r="C5">
        <f>INDEX('Multiplier Lookup'!$B$14:$D$17, MATCH(A5, 'Multiplier Lookup'!$A$14:$A$175, 0), MATCH(B5, 'Multiplier Lookup'!$B$13:$D$13, 0))</f>
        <v>1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DD55A1-35E0-4184-AA8C-9EC9AA8A556A}">
          <x14:formula1>
            <xm:f>'Multiplier Lookup'!$B$13:$D$13</xm:f>
          </x14:formula1>
          <xm:sqref>B2:B5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1"/>
  <sheetViews>
    <sheetView tabSelected="1" workbookViewId="0">
      <selection activeCell="A23" sqref="A23"/>
    </sheetView>
  </sheetViews>
  <sheetFormatPr defaultRowHeight="15" x14ac:dyDescent="0.25"/>
  <cols>
    <col min="1" max="1" width="20.42578125" customWidth="1"/>
    <col min="2" max="2" width="14.28515625" bestFit="1" customWidth="1"/>
  </cols>
  <sheetData>
    <row r="1" spans="1:4" x14ac:dyDescent="0.25">
      <c r="A1" t="s">
        <v>102</v>
      </c>
      <c r="B1" s="4">
        <v>15000</v>
      </c>
      <c r="C1" t="s">
        <v>103</v>
      </c>
    </row>
    <row r="3" spans="1:4" x14ac:dyDescent="0.25">
      <c r="A3" s="2" t="s">
        <v>42</v>
      </c>
      <c r="B3" s="2" t="s">
        <v>11</v>
      </c>
      <c r="C3" s="2" t="s">
        <v>32</v>
      </c>
    </row>
    <row r="4" spans="1:4" x14ac:dyDescent="0.25">
      <c r="A4" s="3" t="s">
        <v>57</v>
      </c>
      <c r="B4" s="1">
        <f>'Results Summary'!B2</f>
        <v>85</v>
      </c>
      <c r="C4" t="s">
        <v>99</v>
      </c>
    </row>
    <row r="5" spans="1:4" x14ac:dyDescent="0.25">
      <c r="A5" t="s">
        <v>58</v>
      </c>
      <c r="B5">
        <f>PRODUCT('Additional Factors'!C2:C5)</f>
        <v>1</v>
      </c>
    </row>
    <row r="6" spans="1:4" x14ac:dyDescent="0.25">
      <c r="A6" t="s">
        <v>59</v>
      </c>
      <c r="B6">
        <f>B4*RiskAdjustment</f>
        <v>85</v>
      </c>
      <c r="C6" t="s">
        <v>99</v>
      </c>
    </row>
    <row r="7" spans="1:4" x14ac:dyDescent="0.25">
      <c r="A7" t="s">
        <v>60</v>
      </c>
      <c r="B7">
        <f>Final*0.15</f>
        <v>12.75</v>
      </c>
      <c r="C7" t="s">
        <v>99</v>
      </c>
    </row>
    <row r="8" spans="1:4" x14ac:dyDescent="0.25">
      <c r="A8" t="s">
        <v>61</v>
      </c>
      <c r="B8" cm="1">
        <f t="array" ref="B8">Final+Contingency</f>
        <v>97.75</v>
      </c>
    </row>
    <row r="9" spans="1:4" x14ac:dyDescent="0.25">
      <c r="A9" t="s">
        <v>100</v>
      </c>
      <c r="B9">
        <f>ROUNDUP(_c*B8^d,0)</f>
        <v>13</v>
      </c>
      <c r="C9" t="s">
        <v>39</v>
      </c>
    </row>
    <row r="10" spans="1:4" x14ac:dyDescent="0.25">
      <c r="A10" t="s">
        <v>40</v>
      </c>
      <c r="B10">
        <f>ROUNDUP(B8/B9,0)</f>
        <v>8</v>
      </c>
      <c r="C10" t="s">
        <v>41</v>
      </c>
    </row>
    <row r="11" spans="1:4" x14ac:dyDescent="0.25">
      <c r="A11" t="s">
        <v>101</v>
      </c>
      <c r="B11" s="4">
        <f>B8*B1</f>
        <v>1466250</v>
      </c>
    </row>
    <row r="15" spans="1:4" x14ac:dyDescent="0.25">
      <c r="A15" t="s">
        <v>104</v>
      </c>
    </row>
    <row r="16" spans="1:4" x14ac:dyDescent="0.25">
      <c r="A16" s="2" t="s">
        <v>105</v>
      </c>
      <c r="B16" s="2" t="s">
        <v>106</v>
      </c>
      <c r="C16" s="2"/>
      <c r="D16" s="2" t="s">
        <v>12</v>
      </c>
    </row>
    <row r="17" spans="1:4" x14ac:dyDescent="0.25">
      <c r="A17" t="s">
        <v>107</v>
      </c>
      <c r="B17" t="s">
        <v>108</v>
      </c>
      <c r="D17" t="s">
        <v>109</v>
      </c>
    </row>
    <row r="18" spans="1:4" x14ac:dyDescent="0.25">
      <c r="A18" t="s">
        <v>110</v>
      </c>
      <c r="B18" t="s">
        <v>111</v>
      </c>
      <c r="D18" t="s">
        <v>112</v>
      </c>
    </row>
    <row r="19" spans="1:4" x14ac:dyDescent="0.25">
      <c r="A19" t="s">
        <v>113</v>
      </c>
      <c r="B19" t="s">
        <v>114</v>
      </c>
      <c r="D19" t="s">
        <v>115</v>
      </c>
    </row>
    <row r="20" spans="1:4" x14ac:dyDescent="0.25">
      <c r="A20" t="s">
        <v>116</v>
      </c>
      <c r="B20" t="s">
        <v>117</v>
      </c>
      <c r="D20" t="s">
        <v>118</v>
      </c>
    </row>
    <row r="21" spans="1:4" x14ac:dyDescent="0.25">
      <c r="A21" t="s">
        <v>119</v>
      </c>
      <c r="B21" t="s">
        <v>120</v>
      </c>
      <c r="D21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</vt:i4>
      </vt:variant>
    </vt:vector>
  </HeadingPairs>
  <TitlesOfParts>
    <vt:vector size="23" baseType="lpstr">
      <vt:lpstr>Basic COCOMO Parameters</vt:lpstr>
      <vt:lpstr>Project Input Section</vt:lpstr>
      <vt:lpstr>Multiplier Lookup</vt:lpstr>
      <vt:lpstr>Effort Multipliers</vt:lpstr>
      <vt:lpstr>Calculations</vt:lpstr>
      <vt:lpstr>Results Summary</vt:lpstr>
      <vt:lpstr>Additional Factors</vt:lpstr>
      <vt:lpstr>Final Adjusted Estimate</vt:lpstr>
      <vt:lpstr>_c</vt:lpstr>
      <vt:lpstr>a</vt:lpstr>
      <vt:lpstr>AdjustedEffort</vt:lpstr>
      <vt:lpstr>b</vt:lpstr>
      <vt:lpstr>Base</vt:lpstr>
      <vt:lpstr>CombinedMultipler</vt:lpstr>
      <vt:lpstr>CombinedMultiplier</vt:lpstr>
      <vt:lpstr>Contingency</vt:lpstr>
      <vt:lpstr>d</vt:lpstr>
      <vt:lpstr>Duration</vt:lpstr>
      <vt:lpstr>Effort</vt:lpstr>
      <vt:lpstr>Final</vt:lpstr>
      <vt:lpstr>ProjectTypes</vt:lpstr>
      <vt:lpstr>RiskAdjustment</vt:lpstr>
      <vt:lpstr>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Vong</cp:lastModifiedBy>
  <dcterms:created xsi:type="dcterms:W3CDTF">2025-08-04T14:20:38Z</dcterms:created>
  <dcterms:modified xsi:type="dcterms:W3CDTF">2025-08-04T16:08:36Z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32d49a-c7e8-4177-a922-e225a5b21641_Enabled">
    <vt:lpwstr>true</vt:lpwstr>
  </property>
  <property fmtid="{D5CDD505-2E9C-101B-9397-08002B2CF9AE}" pid="3" name="MSIP_Label_8a32d49a-c7e8-4177-a922-e225a5b21641_SetDate">
    <vt:lpwstr>2025-08-04T14:35:15Z</vt:lpwstr>
  </property>
  <property fmtid="{D5CDD505-2E9C-101B-9397-08002B2CF9AE}" pid="4" name="MSIP_Label_8a32d49a-c7e8-4177-a922-e225a5b21641_Method">
    <vt:lpwstr>Privileged</vt:lpwstr>
  </property>
  <property fmtid="{D5CDD505-2E9C-101B-9397-08002B2CF9AE}" pid="5" name="MSIP_Label_8a32d49a-c7e8-4177-a922-e225a5b21641_Name">
    <vt:lpwstr>Public</vt:lpwstr>
  </property>
  <property fmtid="{D5CDD505-2E9C-101B-9397-08002B2CF9AE}" pid="6" name="MSIP_Label_8a32d49a-c7e8-4177-a922-e225a5b21641_SiteId">
    <vt:lpwstr>d28d796a-940a-4b59-bce6-64427bc6d53e</vt:lpwstr>
  </property>
  <property fmtid="{D5CDD505-2E9C-101B-9397-08002B2CF9AE}" pid="7" name="MSIP_Label_8a32d49a-c7e8-4177-a922-e225a5b21641_ActionId">
    <vt:lpwstr>555ca7d5-2550-43e8-ae5e-aa3760dd5183</vt:lpwstr>
  </property>
  <property fmtid="{D5CDD505-2E9C-101B-9397-08002B2CF9AE}" pid="8" name="MSIP_Label_8a32d49a-c7e8-4177-a922-e225a5b21641_ContentBits">
    <vt:lpwstr>0</vt:lpwstr>
  </property>
  <property fmtid="{D5CDD505-2E9C-101B-9397-08002B2CF9AE}" pid="9" name="MSIP_Label_8a32d49a-c7e8-4177-a922-e225a5b21641_Tag">
    <vt:lpwstr>10, 0, 1, 1</vt:lpwstr>
  </property>
</Properties>
</file>