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wadeiv/Documents/Desktop_shit/Concurrent _Programming/Final_Project_Concurrent_Containers/"/>
    </mc:Choice>
  </mc:AlternateContent>
  <xr:revisionPtr revIDLastSave="0" documentId="13_ncr:1_{96510F99-4150-4947-8D5F-01F334432F86}" xr6:coauthVersionLast="45" xr6:coauthVersionMax="45" xr10:uidLastSave="{00000000-0000-0000-0000-000000000000}"/>
  <bookViews>
    <workbookView xWindow="-34000" yWindow="1960" windowWidth="34000" windowHeight="15540" xr2:uid="{10E05021-0E4A-6648-8D3E-87CA2371D9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4" i="1" l="1"/>
  <c r="O43" i="1"/>
  <c r="O42" i="1"/>
  <c r="O41" i="1"/>
  <c r="O40" i="1"/>
  <c r="O39" i="1"/>
  <c r="O38" i="1"/>
  <c r="O37" i="1"/>
  <c r="O36" i="1"/>
  <c r="O35" i="1"/>
  <c r="N44" i="1"/>
  <c r="N43" i="1"/>
  <c r="N42" i="1"/>
  <c r="N41" i="1"/>
  <c r="N40" i="1"/>
  <c r="N39" i="1"/>
  <c r="N38" i="1"/>
  <c r="N37" i="1"/>
  <c r="N36" i="1"/>
  <c r="N35" i="1"/>
  <c r="M44" i="1"/>
  <c r="M43" i="1"/>
  <c r="M42" i="1"/>
  <c r="M41" i="1"/>
  <c r="M40" i="1"/>
  <c r="M39" i="1"/>
  <c r="M38" i="1"/>
  <c r="M37" i="1"/>
  <c r="M36" i="1"/>
  <c r="M35" i="1"/>
  <c r="L44" i="1"/>
  <c r="L43" i="1"/>
  <c r="L42" i="1"/>
  <c r="L41" i="1"/>
  <c r="L40" i="1"/>
  <c r="L39" i="1"/>
  <c r="L38" i="1"/>
  <c r="L37" i="1"/>
  <c r="L36" i="1"/>
  <c r="L35" i="1"/>
  <c r="K44" i="1"/>
  <c r="K43" i="1"/>
  <c r="K42" i="1"/>
  <c r="K41" i="1"/>
  <c r="K40" i="1"/>
  <c r="K39" i="1"/>
  <c r="K38" i="1"/>
  <c r="K37" i="1"/>
  <c r="K36" i="1"/>
  <c r="K35" i="1"/>
  <c r="J44" i="1"/>
  <c r="J43" i="1"/>
  <c r="J42" i="1"/>
  <c r="J41" i="1"/>
  <c r="J40" i="1"/>
  <c r="J39" i="1"/>
  <c r="J38" i="1"/>
  <c r="J37" i="1"/>
  <c r="J36" i="1"/>
  <c r="J35" i="1"/>
  <c r="I44" i="1"/>
  <c r="I43" i="1"/>
  <c r="I42" i="1"/>
  <c r="I41" i="1"/>
  <c r="I40" i="1"/>
  <c r="I39" i="1"/>
  <c r="I38" i="1"/>
  <c r="I37" i="1"/>
  <c r="I36" i="1"/>
  <c r="I35" i="1"/>
  <c r="H44" i="1"/>
  <c r="H43" i="1"/>
  <c r="H42" i="1"/>
  <c r="H41" i="1"/>
  <c r="H40" i="1"/>
  <c r="H39" i="1"/>
  <c r="H38" i="1"/>
  <c r="H37" i="1"/>
  <c r="H36" i="1"/>
  <c r="H35" i="1"/>
  <c r="O29" i="1"/>
  <c r="O28" i="1"/>
  <c r="O27" i="1"/>
  <c r="O26" i="1"/>
  <c r="O25" i="1"/>
  <c r="O24" i="1"/>
  <c r="O23" i="1"/>
  <c r="O22" i="1"/>
  <c r="O21" i="1"/>
  <c r="O20" i="1"/>
  <c r="N29" i="1"/>
  <c r="N28" i="1"/>
  <c r="N27" i="1"/>
  <c r="N26" i="1"/>
  <c r="N25" i="1"/>
  <c r="N24" i="1"/>
  <c r="N23" i="1"/>
  <c r="N22" i="1"/>
  <c r="N21" i="1"/>
  <c r="N20" i="1"/>
  <c r="M29" i="1"/>
  <c r="M28" i="1"/>
  <c r="M27" i="1"/>
  <c r="M26" i="1"/>
  <c r="M25" i="1"/>
  <c r="M24" i="1"/>
  <c r="M23" i="1"/>
  <c r="M22" i="1"/>
  <c r="M21" i="1"/>
  <c r="M20" i="1"/>
  <c r="L29" i="1"/>
  <c r="L28" i="1"/>
  <c r="L27" i="1"/>
  <c r="L26" i="1"/>
  <c r="L25" i="1"/>
  <c r="L24" i="1"/>
  <c r="L23" i="1"/>
  <c r="L22" i="1"/>
  <c r="L21" i="1"/>
  <c r="L20" i="1"/>
  <c r="K29" i="1"/>
  <c r="K28" i="1"/>
  <c r="K27" i="1"/>
  <c r="K26" i="1"/>
  <c r="K25" i="1"/>
  <c r="K24" i="1"/>
  <c r="K23" i="1"/>
  <c r="K22" i="1"/>
  <c r="K21" i="1"/>
  <c r="K20" i="1"/>
  <c r="J29" i="1"/>
  <c r="J28" i="1"/>
  <c r="J27" i="1"/>
  <c r="J26" i="1"/>
  <c r="J25" i="1"/>
  <c r="J24" i="1"/>
  <c r="J23" i="1"/>
  <c r="J22" i="1"/>
  <c r="J21" i="1"/>
  <c r="J20" i="1"/>
  <c r="I29" i="1"/>
  <c r="I28" i="1"/>
  <c r="I27" i="1"/>
  <c r="I26" i="1"/>
  <c r="I25" i="1"/>
  <c r="I24" i="1"/>
  <c r="I23" i="1"/>
  <c r="I22" i="1"/>
  <c r="I21" i="1"/>
  <c r="I20" i="1"/>
  <c r="H29" i="1"/>
  <c r="H28" i="1"/>
  <c r="H27" i="1"/>
  <c r="H26" i="1"/>
  <c r="H25" i="1"/>
  <c r="H24" i="1"/>
  <c r="H23" i="1"/>
  <c r="H22" i="1"/>
  <c r="H21" i="1"/>
  <c r="H20" i="1"/>
  <c r="O12" i="1"/>
  <c r="O11" i="1"/>
  <c r="O10" i="1"/>
  <c r="O9" i="1"/>
  <c r="O8" i="1"/>
  <c r="O7" i="1"/>
  <c r="O6" i="1"/>
  <c r="O5" i="1"/>
  <c r="O4" i="1"/>
  <c r="O3" i="1"/>
  <c r="N12" i="1"/>
  <c r="N11" i="1"/>
  <c r="N10" i="1"/>
  <c r="N9" i="1"/>
  <c r="N8" i="1"/>
  <c r="N7" i="1"/>
  <c r="N6" i="1"/>
  <c r="N5" i="1"/>
  <c r="N4" i="1"/>
  <c r="N3" i="1"/>
  <c r="N13" i="1" s="1"/>
  <c r="M12" i="1"/>
  <c r="M11" i="1"/>
  <c r="M10" i="1"/>
  <c r="M9" i="1"/>
  <c r="M8" i="1"/>
  <c r="M7" i="1"/>
  <c r="M6" i="1"/>
  <c r="M5" i="1"/>
  <c r="M13" i="1" s="1"/>
  <c r="M4" i="1"/>
  <c r="M3" i="1"/>
  <c r="L12" i="1"/>
  <c r="L11" i="1"/>
  <c r="L10" i="1"/>
  <c r="L9" i="1"/>
  <c r="L8" i="1"/>
  <c r="L7" i="1"/>
  <c r="L6" i="1"/>
  <c r="L5" i="1"/>
  <c r="L4" i="1"/>
  <c r="L3" i="1"/>
  <c r="K12" i="1"/>
  <c r="K11" i="1"/>
  <c r="K10" i="1"/>
  <c r="K9" i="1"/>
  <c r="K8" i="1"/>
  <c r="K7" i="1"/>
  <c r="K6" i="1"/>
  <c r="K5" i="1"/>
  <c r="K4" i="1"/>
  <c r="K3" i="1"/>
  <c r="J12" i="1"/>
  <c r="J11" i="1"/>
  <c r="J10" i="1"/>
  <c r="J9" i="1"/>
  <c r="J8" i="1"/>
  <c r="J7" i="1"/>
  <c r="J6" i="1"/>
  <c r="J5" i="1"/>
  <c r="J4" i="1"/>
  <c r="J3" i="1"/>
  <c r="J13" i="1" s="1"/>
  <c r="H12" i="1"/>
  <c r="H11" i="1"/>
  <c r="H10" i="1"/>
  <c r="H9" i="1"/>
  <c r="H8" i="1"/>
  <c r="H7" i="1"/>
  <c r="H6" i="1"/>
  <c r="H5" i="1"/>
  <c r="H4" i="1"/>
  <c r="H3" i="1"/>
  <c r="I4" i="1"/>
  <c r="I12" i="1"/>
  <c r="I11" i="1"/>
  <c r="I10" i="1"/>
  <c r="I9" i="1"/>
  <c r="I8" i="1"/>
  <c r="I7" i="1"/>
  <c r="I6" i="1"/>
  <c r="I5" i="1"/>
  <c r="I3" i="1"/>
  <c r="L13" i="1" l="1"/>
  <c r="K13" i="1"/>
  <c r="O13" i="1"/>
  <c r="H13" i="1"/>
  <c r="M45" i="1"/>
  <c r="I13" i="1"/>
  <c r="O45" i="1"/>
  <c r="N45" i="1"/>
  <c r="L45" i="1"/>
  <c r="K45" i="1"/>
  <c r="J45" i="1"/>
  <c r="I45" i="1"/>
  <c r="H45" i="1"/>
  <c r="O30" i="1"/>
  <c r="N30" i="1"/>
  <c r="M30" i="1"/>
  <c r="L30" i="1"/>
  <c r="K30" i="1"/>
  <c r="J30" i="1"/>
  <c r="I30" i="1"/>
  <c r="H30" i="1"/>
</calcChain>
</file>

<file path=xl/sharedStrings.xml><?xml version="1.0" encoding="utf-8"?>
<sst xmlns="http://schemas.openxmlformats.org/spreadsheetml/2006/main" count="57" uniqueCount="13">
  <si>
    <t>100,000 Operations w/ 5 Threads</t>
  </si>
  <si>
    <t>M&amp;S Queue (s)</t>
  </si>
  <si>
    <t>100,000 Operations w/ 25 Threads</t>
  </si>
  <si>
    <t>100,000 Operations w/ 50 Threads</t>
  </si>
  <si>
    <t>AVG.</t>
  </si>
  <si>
    <t>Treiber No elim (s)</t>
  </si>
  <si>
    <t>Treiber w/ Elim (s)</t>
  </si>
  <si>
    <t>SGL Stack Elim (s)</t>
  </si>
  <si>
    <t>SGL Stack Flat Comb (s)</t>
  </si>
  <si>
    <t>SGL Stack No Optim (s)</t>
  </si>
  <si>
    <t>SGL Queue Flat Comb (s)</t>
  </si>
  <si>
    <t>SGL Queue No Optim (s)</t>
  </si>
  <si>
    <t>L1 cache hit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</si>
</sst>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2B2DA-5B49-6B42-813C-B92C98903140}">
  <dimension ref="A1:AF47"/>
  <sheetViews>
    <sheetView tabSelected="1" topLeftCell="A15" workbookViewId="0">
      <selection activeCell="D33" sqref="D33"/>
    </sheetView>
  </sheetViews>
  <sheetFormatPr baseColWidth="10" defaultRowHeight="16" x14ac:dyDescent="0.2"/>
  <cols>
    <col min="1" max="1" width="20.83203125" customWidth="1"/>
    <col min="2" max="2" width="15.5" customWidth="1"/>
    <col min="3" max="3" width="16" customWidth="1"/>
    <col min="4" max="4" width="14.6640625" customWidth="1"/>
    <col min="5" max="5" width="14.33203125" customWidth="1"/>
    <col min="6" max="6" width="11.6640625" customWidth="1"/>
    <col min="7" max="7" width="5.5" customWidth="1"/>
    <col min="8" max="8" width="16.6640625" customWidth="1"/>
    <col min="9" max="9" width="16.5" customWidth="1"/>
    <col min="10" max="10" width="13.5" customWidth="1"/>
    <col min="11" max="11" width="16.5" customWidth="1"/>
    <col min="12" max="12" width="21" customWidth="1"/>
    <col min="13" max="13" width="20.1640625" customWidth="1"/>
    <col min="14" max="14" width="22" customWidth="1"/>
    <col min="15" max="15" width="21.1640625" customWidth="1"/>
    <col min="18" max="18" width="17.5" customWidth="1"/>
    <col min="20" max="20" width="19.83203125" customWidth="1"/>
    <col min="22" max="22" width="17" customWidth="1"/>
    <col min="24" max="24" width="20.5" customWidth="1"/>
    <col min="26" max="26" width="19.1640625" customWidth="1"/>
    <col min="28" max="28" width="18.83203125" customWidth="1"/>
    <col min="29" max="29" width="15.6640625" customWidth="1"/>
    <col min="30" max="30" width="24.33203125" customWidth="1"/>
    <col min="31" max="31" width="12.33203125" customWidth="1"/>
    <col min="32" max="32" width="16.83203125" customWidth="1"/>
  </cols>
  <sheetData>
    <row r="1" spans="1:32" x14ac:dyDescent="0.2">
      <c r="A1" s="1"/>
      <c r="B1" s="1"/>
      <c r="C1" s="1"/>
      <c r="L1" t="s">
        <v>0</v>
      </c>
    </row>
    <row r="2" spans="1:32" x14ac:dyDescent="0.2">
      <c r="G2" s="5"/>
      <c r="H2" s="6" t="s">
        <v>5</v>
      </c>
      <c r="I2" s="6" t="s">
        <v>6</v>
      </c>
      <c r="J2" s="6" t="s">
        <v>1</v>
      </c>
      <c r="K2" s="6" t="s">
        <v>7</v>
      </c>
      <c r="L2" s="6" t="s">
        <v>8</v>
      </c>
      <c r="M2" s="6" t="s">
        <v>9</v>
      </c>
      <c r="N2" s="6" t="s">
        <v>10</v>
      </c>
      <c r="O2" s="6" t="s">
        <v>11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x14ac:dyDescent="0.2">
      <c r="G3" s="5"/>
      <c r="H3" s="7">
        <f>1332461233*10^-9</f>
        <v>1.3324612330000001</v>
      </c>
      <c r="I3" s="7">
        <f>(1492175971 * 10^-9)</f>
        <v>1.492175971</v>
      </c>
      <c r="J3" s="7">
        <f>10^-9*1555661466</f>
        <v>1.5556614660000001</v>
      </c>
      <c r="K3" s="7">
        <f>10^-9*80486385</f>
        <v>8.0486385000000008E-2</v>
      </c>
      <c r="L3" s="7">
        <f>10^-9*81544654</f>
        <v>8.1544654000000008E-2</v>
      </c>
      <c r="M3" s="7">
        <f>10^-9*87182750</f>
        <v>8.7182750000000003E-2</v>
      </c>
      <c r="N3" s="7">
        <f>10^-9*75141286</f>
        <v>7.5141286000000002E-2</v>
      </c>
      <c r="O3" s="7">
        <f>10^-9*72819348</f>
        <v>7.2819348000000006E-2</v>
      </c>
    </row>
    <row r="4" spans="1:32" x14ac:dyDescent="0.2">
      <c r="G4" s="5"/>
      <c r="H4" s="7">
        <f>10^-9*1345985345</f>
        <v>1.3459853450000001</v>
      </c>
      <c r="I4" s="7">
        <f>(1309788372*10^-9)</f>
        <v>1.3097883720000001</v>
      </c>
      <c r="J4" s="7">
        <f>10^-9*1392108302</f>
        <v>1.392108302</v>
      </c>
      <c r="K4" s="7">
        <f>10^-9*100223405</f>
        <v>0.100223405</v>
      </c>
      <c r="L4" s="7">
        <f>10^-9*99276557</f>
        <v>9.9276557000000001E-2</v>
      </c>
      <c r="M4" s="7">
        <f>10^-9*81171512</f>
        <v>8.1171512000000001E-2</v>
      </c>
      <c r="N4" s="7">
        <f>10^-9*64181731</f>
        <v>6.4181731000000006E-2</v>
      </c>
      <c r="O4" s="7">
        <f>10^-9*64135810</f>
        <v>6.4135810000000001E-2</v>
      </c>
      <c r="Q4" s="4"/>
    </row>
    <row r="5" spans="1:32" x14ac:dyDescent="0.2">
      <c r="G5" s="5"/>
      <c r="H5" s="7">
        <f>10^-9*1468395312</f>
        <v>1.4683953120000002</v>
      </c>
      <c r="I5" s="7">
        <f>(1312779111 * 10^-9)</f>
        <v>1.312779111</v>
      </c>
      <c r="J5" s="7">
        <f>10^-9*1413374087</f>
        <v>1.413374087</v>
      </c>
      <c r="K5" s="7">
        <f>10^-9*79099261</f>
        <v>7.9099261000000004E-2</v>
      </c>
      <c r="L5" s="7">
        <f>10^-9*87975230</f>
        <v>8.7975230000000001E-2</v>
      </c>
      <c r="M5" s="7">
        <f>10^-9*83928410</f>
        <v>8.3928410000000009E-2</v>
      </c>
      <c r="N5" s="7">
        <f>10^-9*67222213</f>
        <v>6.7222213000000003E-2</v>
      </c>
      <c r="O5" s="7">
        <f>10^-9*67052768</f>
        <v>6.7052767999999999E-2</v>
      </c>
    </row>
    <row r="6" spans="1:32" x14ac:dyDescent="0.2">
      <c r="G6" s="5"/>
      <c r="H6" s="7">
        <f>10^-9*1730561442</f>
        <v>1.7305614420000002</v>
      </c>
      <c r="I6" s="7">
        <f>(1511314692*10^-9)</f>
        <v>1.511314692</v>
      </c>
      <c r="J6" s="7">
        <f>10^-9*1533491967</f>
        <v>1.533491967</v>
      </c>
      <c r="K6" s="7">
        <f>10^-9*78143924</f>
        <v>7.8143924000000003E-2</v>
      </c>
      <c r="L6" s="7">
        <f>10^-9*81285517</f>
        <v>8.1285517000000002E-2</v>
      </c>
      <c r="M6" s="7">
        <f>10^-9*111008305</f>
        <v>0.111008305</v>
      </c>
      <c r="N6" s="7">
        <f>10^-9*73321257</f>
        <v>7.3321257000000001E-2</v>
      </c>
      <c r="O6" s="7">
        <f>10^-9*67387731</f>
        <v>6.7387731000000006E-2</v>
      </c>
    </row>
    <row r="7" spans="1:32" x14ac:dyDescent="0.2">
      <c r="G7" s="5"/>
      <c r="H7" s="7">
        <f>10^-9*1323112342</f>
        <v>1.3231123420000002</v>
      </c>
      <c r="I7" s="7">
        <f>(1490915173 * 10^-9)</f>
        <v>1.4909151730000001</v>
      </c>
      <c r="J7" s="7">
        <f>10^-9*1397160645</f>
        <v>1.397160645</v>
      </c>
      <c r="K7" s="7">
        <f>10^-9*101336251</f>
        <v>0.101336251</v>
      </c>
      <c r="L7" s="7">
        <f>10^-9*83785336</f>
        <v>8.3785336000000002E-2</v>
      </c>
      <c r="M7" s="7">
        <f>10^-9*84621858</f>
        <v>8.4621858000000008E-2</v>
      </c>
      <c r="N7" s="7">
        <f>10^-9*68564067</f>
        <v>6.8564067000000006E-2</v>
      </c>
      <c r="O7" s="7">
        <f>10^-9*66528566</f>
        <v>6.6528565999999997E-2</v>
      </c>
    </row>
    <row r="8" spans="1:32" x14ac:dyDescent="0.2">
      <c r="G8" s="5"/>
      <c r="H8" s="7">
        <f>10^-9*1659887488</f>
        <v>1.6598874880000001</v>
      </c>
      <c r="I8" s="7">
        <f>(1318181872*10^-9)</f>
        <v>1.318181872</v>
      </c>
      <c r="J8" s="7">
        <f>10^-9*1441396560</f>
        <v>1.44139656</v>
      </c>
      <c r="K8" s="7">
        <f>10^-9*82864398</f>
        <v>8.2864398000000006E-2</v>
      </c>
      <c r="L8" s="7">
        <f>10^-9*86992015</f>
        <v>8.6992015000000006E-2</v>
      </c>
      <c r="M8" s="7">
        <f>10^-9*79764911</f>
        <v>7.9764911000000008E-2</v>
      </c>
      <c r="N8" s="7">
        <f>10^-9*67449371</f>
        <v>6.7449371000000008E-2</v>
      </c>
      <c r="O8" s="7">
        <f>10^-9*8509315</f>
        <v>8.5093149999999999E-3</v>
      </c>
    </row>
    <row r="9" spans="1:32" x14ac:dyDescent="0.2">
      <c r="G9" s="5"/>
      <c r="H9" s="7">
        <f>10^-9*1475820697</f>
        <v>1.4758206970000001</v>
      </c>
      <c r="I9" s="7">
        <f>(1336571864* 10^-9)</f>
        <v>1.3365718640000002</v>
      </c>
      <c r="J9" s="7">
        <f>10^-9*1526933825</f>
        <v>1.5269338250000002</v>
      </c>
      <c r="K9" s="7">
        <f>10^-9*81922121</f>
        <v>8.1922121000000001E-2</v>
      </c>
      <c r="L9" s="7">
        <f>10^-9*82705094</f>
        <v>8.2705094000000007E-2</v>
      </c>
      <c r="M9" s="7">
        <f>10^-9*87534976</f>
        <v>8.7534976E-2</v>
      </c>
      <c r="N9" s="7">
        <f>10^-9*66534652</f>
        <v>6.6534652E-2</v>
      </c>
      <c r="O9" s="7">
        <f>10^-9*71407626</f>
        <v>7.1407626000000002E-2</v>
      </c>
    </row>
    <row r="10" spans="1:32" x14ac:dyDescent="0.2">
      <c r="G10" s="5"/>
      <c r="H10" s="7">
        <f>10^-9*1485841030</f>
        <v>1.48584103</v>
      </c>
      <c r="I10" s="7">
        <f>(1444714429*10^-9)</f>
        <v>1.444714429</v>
      </c>
      <c r="J10" s="7">
        <f>10^-9*1395606808</f>
        <v>1.3956068080000001</v>
      </c>
      <c r="K10" s="7">
        <f>10^-9*81385863</f>
        <v>8.1385863000000003E-2</v>
      </c>
      <c r="L10" s="7">
        <f>10^-9*86192395</f>
        <v>8.6192395000000005E-2</v>
      </c>
      <c r="M10" s="7">
        <f>10^-9*90375520</f>
        <v>9.0375520000000001E-2</v>
      </c>
      <c r="N10" s="7">
        <f>10^-9*65972920</f>
        <v>6.5972920000000004E-2</v>
      </c>
      <c r="O10" s="7">
        <f>10^-9*66150909</f>
        <v>6.6150909000000008E-2</v>
      </c>
    </row>
    <row r="11" spans="1:32" x14ac:dyDescent="0.2">
      <c r="G11" s="5"/>
      <c r="H11" s="7">
        <f>10^-9*1310489632</f>
        <v>1.3104896320000001</v>
      </c>
      <c r="I11" s="7">
        <f>(1460546391 * 10^-9)</f>
        <v>1.4605463910000001</v>
      </c>
      <c r="J11" s="7">
        <f>10^-9*1598251316</f>
        <v>1.598251316</v>
      </c>
      <c r="K11" s="7">
        <f>10^-9*86410670</f>
        <v>8.6410670000000009E-2</v>
      </c>
      <c r="L11" s="7">
        <f>10^-9*83917918</f>
        <v>8.3917918000000008E-2</v>
      </c>
      <c r="M11" s="7">
        <f>10^-9*76855309</f>
        <v>7.6855309000000011E-2</v>
      </c>
      <c r="N11" s="7">
        <f>10^-9*60776163</f>
        <v>6.0776163000000001E-2</v>
      </c>
      <c r="O11" s="7">
        <f>10^-9*66386128</f>
        <v>6.6386128000000003E-2</v>
      </c>
    </row>
    <row r="12" spans="1:32" x14ac:dyDescent="0.2">
      <c r="A12" s="1"/>
      <c r="G12" s="5"/>
      <c r="H12" s="7">
        <f>10^-9*1340788117</f>
        <v>1.340788117</v>
      </c>
      <c r="I12" s="7">
        <f>(1334688089*10^-9)</f>
        <v>1.3346880890000001</v>
      </c>
      <c r="J12" s="7">
        <f>10^-9*1523031973</f>
        <v>1.5230319730000001</v>
      </c>
      <c r="K12" s="7">
        <f>10^-9*82939892</f>
        <v>8.2939892000000001E-2</v>
      </c>
      <c r="L12" s="7">
        <f>10^-9*77684076</f>
        <v>7.7684076000000005E-2</v>
      </c>
      <c r="M12" s="7">
        <f>10^-9*105172051</f>
        <v>0.105172051</v>
      </c>
      <c r="N12" s="7">
        <f>10^-9*61623175</f>
        <v>6.1623175000000002E-2</v>
      </c>
      <c r="O12" s="7">
        <f>10^-9*70563928</f>
        <v>7.0563927999999998E-2</v>
      </c>
    </row>
    <row r="13" spans="1:32" x14ac:dyDescent="0.2">
      <c r="A13" s="1"/>
      <c r="G13" s="8" t="s">
        <v>4</v>
      </c>
      <c r="H13" s="6">
        <f>(SUM((H3:H12)))/10</f>
        <v>1.4473342638</v>
      </c>
      <c r="I13" s="6">
        <f>(SUM((I3:I12)))/10</f>
        <v>1.4011675963999999</v>
      </c>
      <c r="J13" s="6">
        <f t="shared" ref="J13:O13" si="0">SUM(J3:J12)/10</f>
        <v>1.4777016948999999</v>
      </c>
      <c r="K13" s="6">
        <f t="shared" si="0"/>
        <v>8.5481216999999998E-2</v>
      </c>
      <c r="L13" s="6">
        <f t="shared" si="0"/>
        <v>8.5135879200000014E-2</v>
      </c>
      <c r="M13" s="6">
        <f t="shared" si="0"/>
        <v>8.876156020000002E-2</v>
      </c>
      <c r="N13" s="6">
        <f t="shared" si="0"/>
        <v>6.70786835E-2</v>
      </c>
      <c r="O13" s="6">
        <f t="shared" si="0"/>
        <v>6.2094212900000001E-2</v>
      </c>
    </row>
    <row r="14" spans="1:32" x14ac:dyDescent="0.2">
      <c r="A14" s="1"/>
      <c r="H14" s="3"/>
      <c r="I14" s="3"/>
      <c r="J14" s="3"/>
      <c r="K14" s="3"/>
      <c r="L14" s="3"/>
      <c r="M14" s="3"/>
      <c r="N14" s="3"/>
      <c r="O14" s="3"/>
    </row>
    <row r="15" spans="1:32" x14ac:dyDescent="0.2">
      <c r="H15" s="3"/>
      <c r="I15" s="3"/>
      <c r="J15" s="3"/>
      <c r="K15" s="3"/>
      <c r="L15" s="3"/>
      <c r="M15" s="3"/>
      <c r="N15" s="3"/>
      <c r="O15" s="3"/>
    </row>
    <row r="16" spans="1:32" x14ac:dyDescent="0.2">
      <c r="H16" s="2"/>
      <c r="I16" s="2"/>
      <c r="J16" s="2"/>
      <c r="K16" s="2"/>
      <c r="L16" s="2"/>
      <c r="M16" s="2"/>
      <c r="N16" s="2"/>
      <c r="O16" s="2"/>
    </row>
    <row r="17" spans="1:15" x14ac:dyDescent="0.2">
      <c r="H17" s="3"/>
      <c r="I17" s="3"/>
      <c r="J17" s="3"/>
      <c r="K17" s="3"/>
      <c r="L17" s="3"/>
      <c r="M17" s="3"/>
      <c r="N17" s="3"/>
      <c r="O17" s="3"/>
    </row>
    <row r="18" spans="1:15" x14ac:dyDescent="0.2">
      <c r="L18" t="s">
        <v>2</v>
      </c>
    </row>
    <row r="19" spans="1:15" x14ac:dyDescent="0.2">
      <c r="A19" s="5"/>
      <c r="B19" s="8" t="s">
        <v>12</v>
      </c>
      <c r="C19" s="9"/>
      <c r="D19" s="9"/>
      <c r="E19" s="9"/>
      <c r="G19" s="5"/>
      <c r="H19" s="6" t="s">
        <v>5</v>
      </c>
      <c r="I19" s="6" t="s">
        <v>6</v>
      </c>
      <c r="J19" s="6" t="s">
        <v>1</v>
      </c>
      <c r="K19" s="6" t="s">
        <v>7</v>
      </c>
      <c r="L19" s="6" t="s">
        <v>8</v>
      </c>
      <c r="M19" s="6" t="s">
        <v>9</v>
      </c>
      <c r="N19" s="6" t="s">
        <v>10</v>
      </c>
      <c r="O19" s="6" t="s">
        <v>11</v>
      </c>
    </row>
    <row r="20" spans="1:15" x14ac:dyDescent="0.2">
      <c r="A20" s="6" t="s">
        <v>5</v>
      </c>
      <c r="B20" s="5">
        <v>98.11</v>
      </c>
      <c r="C20" s="10"/>
      <c r="D20" s="10"/>
      <c r="E20" s="10"/>
      <c r="G20" s="5"/>
      <c r="H20" s="7">
        <f>10^-9*1892912483</f>
        <v>1.8929124830000001</v>
      </c>
      <c r="I20" s="7">
        <f>10^-9*1898891642</f>
        <v>1.8988916420000002</v>
      </c>
      <c r="J20" s="7">
        <f>10^-9*2495707950</f>
        <v>2.4957079500000003</v>
      </c>
      <c r="K20" s="7">
        <f>10^-9*3676105545</f>
        <v>3.6761055450000004</v>
      </c>
      <c r="L20" s="7">
        <f>10^-9*2612479605</f>
        <v>2.6124796050000003</v>
      </c>
      <c r="M20" s="7">
        <f>10^-9*2896786783</f>
        <v>2.896786783</v>
      </c>
      <c r="N20" s="7">
        <f>10^-9*1325239060</f>
        <v>1.3252390600000001</v>
      </c>
      <c r="O20" s="7">
        <f>10^-9*2575912993</f>
        <v>2.5759129930000002</v>
      </c>
    </row>
    <row r="21" spans="1:15" x14ac:dyDescent="0.2">
      <c r="A21" s="6" t="s">
        <v>6</v>
      </c>
      <c r="B21" s="5">
        <v>98.11</v>
      </c>
      <c r="C21" s="10"/>
      <c r="D21" s="10"/>
      <c r="E21" s="10"/>
      <c r="G21" s="5"/>
      <c r="H21" s="7">
        <f>10^-9*2205768666</f>
        <v>2.205768666</v>
      </c>
      <c r="I21" s="7">
        <f>10^-9*1696236056</f>
        <v>1.696236056</v>
      </c>
      <c r="J21" s="7">
        <f>10^-9*2186720995</f>
        <v>2.1867209949999999</v>
      </c>
      <c r="K21" s="7">
        <f>10^-9*3695754681</f>
        <v>3.6957546810000004</v>
      </c>
      <c r="L21" s="7">
        <f>10^-9*3194407327</f>
        <v>3.1944073270000004</v>
      </c>
      <c r="M21" s="7">
        <f>10^-9*2810120221</f>
        <v>2.810120221</v>
      </c>
      <c r="N21" s="7">
        <f>10^-9*2323615041</f>
        <v>2.323615041</v>
      </c>
      <c r="O21" s="7">
        <f>10^-9*1795244729</f>
        <v>1.7952447290000002</v>
      </c>
    </row>
    <row r="22" spans="1:15" x14ac:dyDescent="0.2">
      <c r="A22" s="6" t="s">
        <v>1</v>
      </c>
      <c r="B22" s="5">
        <v>98.11</v>
      </c>
      <c r="C22" s="10"/>
      <c r="D22" s="10"/>
      <c r="E22" s="10"/>
      <c r="G22" s="5"/>
      <c r="H22" s="7">
        <f>10^-9*1610328545</f>
        <v>1.610328545</v>
      </c>
      <c r="I22" s="7">
        <f>10^-9*1529490387</f>
        <v>1.5294903870000001</v>
      </c>
      <c r="J22" s="7">
        <f>10^-9*2099124306</f>
        <v>2.0991243060000002</v>
      </c>
      <c r="K22" s="7">
        <f>10^-9*2904753958</f>
        <v>2.9047539580000001</v>
      </c>
      <c r="L22" s="7">
        <f>10^-9*3200368481</f>
        <v>3.2003684810000004</v>
      </c>
      <c r="M22" s="7">
        <f>10^-9*3376122184</f>
        <v>3.3761221840000002</v>
      </c>
      <c r="N22" s="7">
        <f>10^-9*3887948806</f>
        <v>3.8879488060000003</v>
      </c>
      <c r="O22" s="7">
        <f>10^-9*1720952132</f>
        <v>1.7209521320000001</v>
      </c>
    </row>
    <row r="23" spans="1:15" x14ac:dyDescent="0.2">
      <c r="A23" s="6" t="s">
        <v>7</v>
      </c>
      <c r="B23" s="5">
        <v>91.17</v>
      </c>
      <c r="C23" s="10"/>
      <c r="D23" s="10"/>
      <c r="E23" s="10"/>
      <c r="G23" s="5"/>
      <c r="H23" s="7">
        <f>10^-9*1826850180</f>
        <v>1.8268501800000001</v>
      </c>
      <c r="I23" s="7">
        <f>10^-9*1885938555</f>
        <v>1.8859385550000001</v>
      </c>
      <c r="J23" s="7">
        <f>10^-9*1802273015</f>
        <v>1.8022730150000001</v>
      </c>
      <c r="K23" s="7">
        <f>10^-9*2516919016</f>
        <v>2.5169190160000001</v>
      </c>
      <c r="L23" s="7">
        <f>10^-9*3597189694</f>
        <v>3.5971896940000003</v>
      </c>
      <c r="M23" s="7">
        <f>10^-9*2705307272</f>
        <v>2.7053072720000002</v>
      </c>
      <c r="N23" s="7">
        <f>10^-9*1574338826</f>
        <v>1.5743388260000002</v>
      </c>
      <c r="O23" s="7">
        <f>10^-9*2976160444</f>
        <v>2.976160444</v>
      </c>
    </row>
    <row r="24" spans="1:15" x14ac:dyDescent="0.2">
      <c r="A24" s="6" t="s">
        <v>8</v>
      </c>
      <c r="B24" s="5">
        <v>91.37</v>
      </c>
      <c r="C24" s="10"/>
      <c r="D24" s="10"/>
      <c r="E24" s="10"/>
      <c r="G24" s="5"/>
      <c r="H24" s="7">
        <f>10^-9*2101002834</f>
        <v>2.101002834</v>
      </c>
      <c r="I24" s="7">
        <f>10^-9*2009580860</f>
        <v>2.0095808600000002</v>
      </c>
      <c r="J24" s="7">
        <f>10^-9*2105079637</f>
        <v>2.1050796370000002</v>
      </c>
      <c r="K24" s="7">
        <f>10^-9*3123352310</f>
        <v>3.12335231</v>
      </c>
      <c r="L24" s="7">
        <f>10^-9*2200582313</f>
        <v>2.200582313</v>
      </c>
      <c r="M24" s="7">
        <f>10^-9*3010028135</f>
        <v>3.0100281350000002</v>
      </c>
      <c r="N24" s="7">
        <f>10^-9*1708933250</f>
        <v>1.7089332500000001</v>
      </c>
      <c r="O24" s="7">
        <f>10^-9*2376589820</f>
        <v>2.37658982</v>
      </c>
    </row>
    <row r="25" spans="1:15" x14ac:dyDescent="0.2">
      <c r="A25" s="6" t="s">
        <v>9</v>
      </c>
      <c r="B25" s="5">
        <v>89.95</v>
      </c>
      <c r="C25" s="10"/>
      <c r="D25" s="10"/>
      <c r="E25" s="10"/>
      <c r="G25" s="5"/>
      <c r="H25" s="7">
        <f>10^-9*2287891178</f>
        <v>2.2878911780000002</v>
      </c>
      <c r="I25" s="7">
        <f>10^-9*2018668186</f>
        <v>2.0186681860000002</v>
      </c>
      <c r="J25" s="7">
        <f>10^-9*2610301609</f>
        <v>2.610301609</v>
      </c>
      <c r="K25" s="7">
        <f>10^-9*2800053852</f>
        <v>2.800053852</v>
      </c>
      <c r="L25" s="7">
        <f>10^-9*2004444290</f>
        <v>2.0044442899999999</v>
      </c>
      <c r="M25" s="7">
        <f>10^-9*3684454452</f>
        <v>3.6844544520000002</v>
      </c>
      <c r="N25" s="7">
        <f>10^-9*1394580804</f>
        <v>1.3945808040000001</v>
      </c>
      <c r="O25" s="7">
        <f>10^-9*2280155736</f>
        <v>2.2801557360000002</v>
      </c>
    </row>
    <row r="26" spans="1:15" x14ac:dyDescent="0.2">
      <c r="A26" s="6" t="s">
        <v>10</v>
      </c>
      <c r="B26" s="5">
        <v>89.74</v>
      </c>
      <c r="C26" s="10"/>
      <c r="D26" s="10"/>
      <c r="E26" s="10"/>
      <c r="G26" s="5"/>
      <c r="H26" s="7">
        <f>10^-9*1895399052</f>
        <v>1.8953990520000001</v>
      </c>
      <c r="I26" s="7">
        <f>10^-9*1410726006</f>
        <v>1.4107260060000002</v>
      </c>
      <c r="J26" s="7">
        <f>10^-9*1497459867</f>
        <v>1.4974598670000001</v>
      </c>
      <c r="K26" s="7">
        <f>10^-9*2420020818</f>
        <v>2.4200208180000002</v>
      </c>
      <c r="L26" s="7">
        <f>10^-9*1803378512</f>
        <v>1.8033785120000001</v>
      </c>
      <c r="M26" s="7">
        <f>10^-9*2913763568</f>
        <v>2.9137635680000002</v>
      </c>
      <c r="N26" s="7">
        <f>10^-9*1188021722</f>
        <v>1.188021722</v>
      </c>
      <c r="O26" s="7">
        <f>10^-9*2010859784</f>
        <v>2.010859784</v>
      </c>
    </row>
    <row r="27" spans="1:15" x14ac:dyDescent="0.2">
      <c r="A27" s="6" t="s">
        <v>11</v>
      </c>
      <c r="B27" s="5">
        <v>91.56</v>
      </c>
      <c r="C27" s="10"/>
      <c r="D27" s="10"/>
      <c r="E27" s="10"/>
      <c r="G27" s="5"/>
      <c r="H27" s="7">
        <f>10^-9*1922109184</f>
        <v>1.9221091840000002</v>
      </c>
      <c r="I27" s="7">
        <f>10^-9*1800976361</f>
        <v>1.800976361</v>
      </c>
      <c r="J27" s="7">
        <f>10^-9*1892859871</f>
        <v>1.8928598710000002</v>
      </c>
      <c r="K27" s="7">
        <f>10^-9*2902683592</f>
        <v>2.9026835920000003</v>
      </c>
      <c r="L27" s="7">
        <f>10^-9*4097263343</f>
        <v>4.0972633429999998</v>
      </c>
      <c r="M27" s="7">
        <f>10^-9*3320488793</f>
        <v>3.320488793</v>
      </c>
      <c r="N27" s="7">
        <f>10^-9*1079818316</f>
        <v>1.0798183160000001</v>
      </c>
      <c r="O27" s="7">
        <f>10^-9*2712443352</f>
        <v>2.7124433520000002</v>
      </c>
    </row>
    <row r="28" spans="1:15" x14ac:dyDescent="0.2">
      <c r="G28" s="5"/>
      <c r="H28" s="7">
        <f>10^-9*1536411317</f>
        <v>1.536411317</v>
      </c>
      <c r="I28" s="7">
        <f>10^-9*1601752994</f>
        <v>1.6017529940000002</v>
      </c>
      <c r="J28" s="7">
        <f>10^-9*1829266111</f>
        <v>1.8292661110000001</v>
      </c>
      <c r="K28" s="7">
        <f>10^-9*2810510998</f>
        <v>2.8105109980000003</v>
      </c>
      <c r="L28" s="7">
        <f>10^-9*4110519563</f>
        <v>4.1105195630000004</v>
      </c>
      <c r="M28" s="7">
        <f>10^-9*3109680633</f>
        <v>3.109680633</v>
      </c>
      <c r="N28" s="7">
        <f>10^-9*1414033236</f>
        <v>1.4140332360000001</v>
      </c>
      <c r="O28" s="7">
        <f>10^-9*3087721397</f>
        <v>3.0877213970000001</v>
      </c>
    </row>
    <row r="29" spans="1:15" x14ac:dyDescent="0.2">
      <c r="A29" s="5"/>
      <c r="B29" s="8" t="s">
        <v>12</v>
      </c>
      <c r="C29" s="9"/>
      <c r="D29" s="9"/>
      <c r="E29" s="9"/>
      <c r="G29" s="5"/>
      <c r="H29" s="7">
        <f>10^-9*2106117665</f>
        <v>2.1061176650000002</v>
      </c>
      <c r="I29" s="7">
        <f>10^-9*1002423893</f>
        <v>1.002423893</v>
      </c>
      <c r="J29" s="7">
        <f>10^-9*2287832393</f>
        <v>2.287832393</v>
      </c>
      <c r="K29" s="7">
        <f>10^-9*3610631818</f>
        <v>3.6106318180000003</v>
      </c>
      <c r="L29" s="7">
        <f>10^-9*3903020265</f>
        <v>3.9030202650000003</v>
      </c>
      <c r="M29" s="7">
        <f>10^-9*4782608547</f>
        <v>4.7826085470000006</v>
      </c>
      <c r="N29" s="7">
        <f>10^-9*1912591768</f>
        <v>1.9125917680000002</v>
      </c>
      <c r="O29" s="7">
        <f>10^-9*1992124739</f>
        <v>1.9921247390000001</v>
      </c>
    </row>
    <row r="30" spans="1:15" x14ac:dyDescent="0.2">
      <c r="A30" s="6" t="s">
        <v>5</v>
      </c>
      <c r="B30" s="5">
        <v>98.52</v>
      </c>
      <c r="C30" s="10"/>
      <c r="D30" s="10"/>
      <c r="E30" s="10"/>
      <c r="G30" s="8" t="s">
        <v>4</v>
      </c>
      <c r="H30" s="6">
        <f>(SUM((G20:G29)))/10</f>
        <v>0</v>
      </c>
      <c r="I30" s="6">
        <f>(SUM((H20:H29)))/10</f>
        <v>1.9384791103999999</v>
      </c>
      <c r="J30" s="6">
        <f t="shared" ref="J30:O30" si="1">SUM(I20:I29)/10</f>
        <v>1.6854684940000002</v>
      </c>
      <c r="K30" s="6">
        <f t="shared" si="1"/>
        <v>2.0806625753999999</v>
      </c>
      <c r="L30" s="6">
        <f t="shared" si="1"/>
        <v>3.0460786588000004</v>
      </c>
      <c r="M30" s="6">
        <f t="shared" si="1"/>
        <v>3.0723653393000001</v>
      </c>
      <c r="N30" s="6">
        <f t="shared" si="1"/>
        <v>3.2609360588</v>
      </c>
      <c r="O30" s="6">
        <f t="shared" si="1"/>
        <v>1.7809120829</v>
      </c>
    </row>
    <row r="31" spans="1:15" x14ac:dyDescent="0.2">
      <c r="A31" s="6" t="s">
        <v>6</v>
      </c>
      <c r="B31" s="5">
        <v>98.47</v>
      </c>
      <c r="C31" s="10"/>
      <c r="D31" s="10"/>
      <c r="E31" s="10"/>
      <c r="H31" s="3"/>
      <c r="I31" s="3"/>
      <c r="J31" s="3"/>
      <c r="K31" s="3"/>
      <c r="L31" s="3"/>
      <c r="M31" s="3"/>
      <c r="N31" s="3"/>
      <c r="O31" s="3"/>
    </row>
    <row r="32" spans="1:15" x14ac:dyDescent="0.2">
      <c r="A32" s="6" t="s">
        <v>1</v>
      </c>
      <c r="B32" s="5">
        <v>98.54</v>
      </c>
      <c r="C32" s="10"/>
      <c r="D32" s="10"/>
      <c r="E32" s="10"/>
      <c r="H32" s="3"/>
      <c r="I32" s="3"/>
      <c r="J32" s="3"/>
      <c r="K32" s="3"/>
      <c r="L32" s="3"/>
      <c r="M32" s="3"/>
      <c r="N32" s="3"/>
      <c r="O32" s="3"/>
    </row>
    <row r="33" spans="1:15" x14ac:dyDescent="0.2">
      <c r="A33" s="6" t="s">
        <v>7</v>
      </c>
      <c r="B33" s="5">
        <v>98.94</v>
      </c>
      <c r="C33" s="10"/>
      <c r="D33" s="10"/>
      <c r="E33" s="10"/>
      <c r="L33" t="s">
        <v>3</v>
      </c>
    </row>
    <row r="34" spans="1:15" x14ac:dyDescent="0.2">
      <c r="A34" s="6" t="s">
        <v>8</v>
      </c>
      <c r="B34" s="5">
        <v>99.34</v>
      </c>
      <c r="C34" s="10"/>
      <c r="D34" s="10"/>
      <c r="E34" s="10"/>
      <c r="G34" s="5"/>
      <c r="H34" s="6" t="s">
        <v>5</v>
      </c>
      <c r="I34" s="6" t="s">
        <v>6</v>
      </c>
      <c r="J34" s="6" t="s">
        <v>1</v>
      </c>
      <c r="K34" s="6" t="s">
        <v>7</v>
      </c>
      <c r="L34" s="6" t="s">
        <v>8</v>
      </c>
      <c r="M34" s="6" t="s">
        <v>9</v>
      </c>
      <c r="N34" s="6" t="s">
        <v>10</v>
      </c>
      <c r="O34" s="6" t="s">
        <v>11</v>
      </c>
    </row>
    <row r="35" spans="1:15" x14ac:dyDescent="0.2">
      <c r="A35" s="6" t="s">
        <v>9</v>
      </c>
      <c r="B35" s="5">
        <v>99.29</v>
      </c>
      <c r="C35" s="10"/>
      <c r="D35" s="10"/>
      <c r="E35" s="10"/>
      <c r="G35" s="5"/>
      <c r="H35" s="7">
        <f>10^-9*1299641095</f>
        <v>1.2996410950000001</v>
      </c>
      <c r="I35" s="7">
        <f>10^-9*985096337</f>
        <v>0.9850963370000001</v>
      </c>
      <c r="J35" s="7">
        <f>10^-9*1312811547</f>
        <v>1.3128115470000001</v>
      </c>
      <c r="K35" s="7">
        <f>10^-9*9776898071</f>
        <v>9.7768980709999997</v>
      </c>
      <c r="L35" s="7">
        <f>10^-9*6516879267</f>
        <v>6.5168792670000002</v>
      </c>
      <c r="M35" s="7">
        <f>10^-9*7404649930</f>
        <v>7.4046499300000006</v>
      </c>
      <c r="N35" s="7">
        <f>10^-9*4908678460</f>
        <v>4.90867846</v>
      </c>
      <c r="O35" s="7">
        <f>10^-9*6103729933</f>
        <v>6.1037299330000003</v>
      </c>
    </row>
    <row r="36" spans="1:15" x14ac:dyDescent="0.2">
      <c r="A36" s="6" t="s">
        <v>10</v>
      </c>
      <c r="B36" s="5">
        <v>99.55</v>
      </c>
      <c r="C36" s="10"/>
      <c r="D36" s="10"/>
      <c r="E36" s="10"/>
      <c r="G36" s="5"/>
      <c r="H36" s="7">
        <f>10^-9*1309713187</f>
        <v>1.3097131870000001</v>
      </c>
      <c r="I36" s="7">
        <f>10^-9*1189472749</f>
        <v>1.1894727490000001</v>
      </c>
      <c r="J36" s="7">
        <f>10^-9*1008843131</f>
        <v>1.0088431310000001</v>
      </c>
      <c r="K36" s="7">
        <f>10^-9*10119284648</f>
        <v>10.119284648000001</v>
      </c>
      <c r="L36" s="7">
        <f>10^-9*6672384499</f>
        <v>6.6723844990000005</v>
      </c>
      <c r="M36" s="7">
        <f>10^-9*10083520130</f>
        <v>10.08352013</v>
      </c>
      <c r="N36" s="7">
        <f>10^-9*5293194427</f>
        <v>5.2931944270000004</v>
      </c>
      <c r="O36" s="7">
        <f>10^-9*7300039882</f>
        <v>7.3000398820000001</v>
      </c>
    </row>
    <row r="37" spans="1:15" x14ac:dyDescent="0.2">
      <c r="A37" s="6" t="s">
        <v>11</v>
      </c>
      <c r="B37" s="5">
        <v>99.98</v>
      </c>
      <c r="C37" s="10"/>
      <c r="D37" s="10"/>
      <c r="E37" s="10"/>
      <c r="G37" s="5"/>
      <c r="H37" s="7">
        <f>10^-9*1209636494</f>
        <v>1.2096364940000002</v>
      </c>
      <c r="I37" s="7">
        <f>10^-9*1212794868</f>
        <v>1.212794868</v>
      </c>
      <c r="J37" s="7">
        <f>10^-9*1300026043</f>
        <v>1.3000260430000001</v>
      </c>
      <c r="K37" s="7">
        <f>10^-9*6016217706</f>
        <v>6.0162177059999999</v>
      </c>
      <c r="L37" s="7">
        <f>10^-9*8416744535</f>
        <v>8.4167445350000012</v>
      </c>
      <c r="M37" s="7">
        <f>10^-9*6800809079</f>
        <v>6.8008090790000004</v>
      </c>
      <c r="N37" s="7">
        <f>10^-9*4498516914</f>
        <v>4.4985169140000005</v>
      </c>
      <c r="O37" s="7">
        <f>10^-9*5200350100</f>
        <v>5.2003501000000005</v>
      </c>
    </row>
    <row r="38" spans="1:15" x14ac:dyDescent="0.2">
      <c r="G38" s="5"/>
      <c r="H38" s="7">
        <f>10^-9*1201120605</f>
        <v>1.2011206050000001</v>
      </c>
      <c r="I38" s="7">
        <f>10^-9*1281876808</f>
        <v>1.281876808</v>
      </c>
      <c r="J38" s="7">
        <f>10^-9*1209745535</f>
        <v>1.2097455350000001</v>
      </c>
      <c r="K38" s="7">
        <f>10^-9*9992474785</f>
        <v>9.9924747850000006</v>
      </c>
      <c r="L38" s="7">
        <f>10^-9*7572411906</f>
        <v>7.5724119060000001</v>
      </c>
      <c r="M38" s="7">
        <f>10^-9*6972153933</f>
        <v>6.9721539330000004</v>
      </c>
      <c r="N38" s="7">
        <f>10^-9*5284731998</f>
        <v>5.2847319980000007</v>
      </c>
      <c r="O38" s="7">
        <f>10^-9*9007546672</f>
        <v>9.0075466720000001</v>
      </c>
    </row>
    <row r="39" spans="1:15" x14ac:dyDescent="0.2">
      <c r="A39" s="5"/>
      <c r="B39" s="8" t="s">
        <v>12</v>
      </c>
      <c r="C39" s="9"/>
      <c r="D39" s="9"/>
      <c r="E39" s="9"/>
      <c r="G39" s="5"/>
      <c r="H39" s="7">
        <f>10^-9*1183683717</f>
        <v>1.1836837170000001</v>
      </c>
      <c r="I39" s="7">
        <f>10^-9*784497830</f>
        <v>0.78449783000000006</v>
      </c>
      <c r="J39" s="7">
        <f>10^-9*1310443890</f>
        <v>1.3104438900000002</v>
      </c>
      <c r="K39" s="7">
        <f>10^-9*5920161348</f>
        <v>5.9201613480000006</v>
      </c>
      <c r="L39" s="7">
        <f>10^-9*7096731766</f>
        <v>7.0967317660000004</v>
      </c>
      <c r="M39" s="7">
        <f>10^-9*10096793140</f>
        <v>10.096793140000001</v>
      </c>
      <c r="N39" s="7">
        <f>10^-9*4200476681</f>
        <v>4.2004766810000005</v>
      </c>
      <c r="O39" s="7">
        <f>10^-9*6904119438</f>
        <v>6.9041194380000004</v>
      </c>
    </row>
    <row r="40" spans="1:15" x14ac:dyDescent="0.2">
      <c r="A40" s="6" t="s">
        <v>5</v>
      </c>
      <c r="B40" s="5">
        <v>99.12</v>
      </c>
      <c r="C40" s="10"/>
      <c r="D40" s="10"/>
      <c r="E40" s="10"/>
      <c r="G40" s="5"/>
      <c r="H40" s="7">
        <f>10^-9*913327782</f>
        <v>0.91332778200000009</v>
      </c>
      <c r="I40" s="7">
        <f>10^-9*1093485859</f>
        <v>1.0934858590000001</v>
      </c>
      <c r="J40" s="7">
        <f>10^-9*1301768695</f>
        <v>1.301768695</v>
      </c>
      <c r="K40" s="7">
        <f>10^-9*8998265672</f>
        <v>8.9982656720000005</v>
      </c>
      <c r="L40" s="7">
        <f>10^-9*8011062504</f>
        <v>8.0110625039999999</v>
      </c>
      <c r="M40" s="7">
        <f>10^-9*6420739502</f>
        <v>6.420739502</v>
      </c>
      <c r="N40" s="7">
        <f>10^-9*6399961293</f>
        <v>6.3999612930000005</v>
      </c>
      <c r="O40" s="7">
        <f>10^-9*5091575992</f>
        <v>5.0915759920000001</v>
      </c>
    </row>
    <row r="41" spans="1:15" x14ac:dyDescent="0.2">
      <c r="A41" s="6" t="s">
        <v>6</v>
      </c>
      <c r="B41" s="5">
        <v>99.01</v>
      </c>
      <c r="C41" s="10"/>
      <c r="D41" s="10"/>
      <c r="E41" s="10"/>
      <c r="G41" s="5"/>
      <c r="H41" s="7">
        <f>10^-9*1093446476</f>
        <v>1.093446476</v>
      </c>
      <c r="I41" s="7">
        <f>10^-9*1185791428</f>
        <v>1.1857914280000001</v>
      </c>
      <c r="J41" s="7">
        <f>10^-9*1404298957</f>
        <v>1.4042989570000002</v>
      </c>
      <c r="K41" s="7">
        <f>10^-9*9092662923</f>
        <v>9.0926629230000007</v>
      </c>
      <c r="L41" s="7">
        <f>10^-9*10412717316</f>
        <v>10.412717316</v>
      </c>
      <c r="M41" s="7">
        <f>10^-9*8499891198</f>
        <v>8.4998911980000003</v>
      </c>
      <c r="N41" s="7">
        <f>10^-9*5717129880</f>
        <v>5.7171298800000008</v>
      </c>
      <c r="O41" s="7">
        <f>10^-9*7794026239</f>
        <v>7.7940262390000008</v>
      </c>
    </row>
    <row r="42" spans="1:15" x14ac:dyDescent="0.2">
      <c r="A42" s="6" t="s">
        <v>1</v>
      </c>
      <c r="B42" s="5">
        <v>99.31</v>
      </c>
      <c r="C42" s="10"/>
      <c r="D42" s="10"/>
      <c r="E42" s="10"/>
      <c r="G42" s="5"/>
      <c r="H42" s="7">
        <f>10^-9*1121829583</f>
        <v>1.121829583</v>
      </c>
      <c r="I42" s="7">
        <f>10^-9*1176715821</f>
        <v>1.1767158210000002</v>
      </c>
      <c r="J42" s="7">
        <f>10^-9*1204860023</f>
        <v>1.2048600230000002</v>
      </c>
      <c r="K42" s="7">
        <f>10^-9*11593508677</f>
        <v>11.593508677000001</v>
      </c>
      <c r="L42" s="7">
        <f>10^-9*6777598789</f>
        <v>6.7775987890000007</v>
      </c>
      <c r="M42" s="7">
        <f>10^-9*9798764887</f>
        <v>9.7987648870000008</v>
      </c>
      <c r="N42" s="7">
        <f>10^-9*5924731097</f>
        <v>5.9247310970000004</v>
      </c>
      <c r="O42" s="7">
        <f>10^-9*6495365331</f>
        <v>6.4953653310000004</v>
      </c>
    </row>
    <row r="43" spans="1:15" x14ac:dyDescent="0.2">
      <c r="A43" s="6" t="s">
        <v>7</v>
      </c>
      <c r="B43" s="5">
        <v>99.67</v>
      </c>
      <c r="C43" s="10"/>
      <c r="D43" s="10"/>
      <c r="E43" s="10"/>
      <c r="G43" s="5"/>
      <c r="H43" s="7">
        <f>10^-9*1301353582</f>
        <v>1.3013535820000002</v>
      </c>
      <c r="I43" s="7">
        <f>10^-9*1209277020</f>
        <v>1.20927702</v>
      </c>
      <c r="J43" s="7">
        <f>10^-9*1497215461</f>
        <v>1.4972154610000001</v>
      </c>
      <c r="K43" s="7">
        <f>10^-9*5876823026</f>
        <v>5.8768230260000003</v>
      </c>
      <c r="L43" s="7">
        <f>10^-9*7492737413</f>
        <v>7.4927374130000004</v>
      </c>
      <c r="M43" s="7">
        <f>10^-9*10108746594</f>
        <v>10.108746594000001</v>
      </c>
      <c r="N43" s="7">
        <f>10^-9*6214492279</f>
        <v>6.2144922790000008</v>
      </c>
      <c r="O43" s="7">
        <f>10^-9*8078755479</f>
        <v>8.0787554789999998</v>
      </c>
    </row>
    <row r="44" spans="1:15" x14ac:dyDescent="0.2">
      <c r="A44" s="6" t="s">
        <v>8</v>
      </c>
      <c r="B44" s="5">
        <v>99.97</v>
      </c>
      <c r="C44" s="10"/>
      <c r="D44" s="10"/>
      <c r="E44" s="10"/>
      <c r="G44" s="5"/>
      <c r="H44" s="7">
        <f>10^-9*1189561938</f>
        <v>1.189561938</v>
      </c>
      <c r="I44" s="7">
        <f>10^-9*909783414</f>
        <v>0.90978341400000007</v>
      </c>
      <c r="J44" s="7">
        <f>10^-9*1181151830</f>
        <v>1.1811518300000001</v>
      </c>
      <c r="K44" s="7">
        <f>10^-9*9705948032</f>
        <v>9.7059480320000002</v>
      </c>
      <c r="L44" s="7">
        <f>10^-9*7793291999</f>
        <v>7.7932919990000009</v>
      </c>
      <c r="M44" s="7">
        <f>10^-9*12202777327</f>
        <v>12.202777327000002</v>
      </c>
      <c r="N44" s="7">
        <f>10^-9*5696817031</f>
        <v>5.6968170310000001</v>
      </c>
      <c r="O44" s="7">
        <f>10^-9*10504549287</f>
        <v>10.504549287000001</v>
      </c>
    </row>
    <row r="45" spans="1:15" x14ac:dyDescent="0.2">
      <c r="A45" s="6" t="s">
        <v>9</v>
      </c>
      <c r="B45" s="5">
        <v>99.24</v>
      </c>
      <c r="C45" s="10"/>
      <c r="D45" s="10"/>
      <c r="E45" s="10"/>
      <c r="G45" s="8" t="s">
        <v>4</v>
      </c>
      <c r="H45" s="6">
        <f>(SUM((H35:H44)))/10</f>
        <v>1.1823314459000003</v>
      </c>
      <c r="I45" s="6">
        <f>(SUM((I35:I44)))/10</f>
        <v>1.1028792134000001</v>
      </c>
      <c r="J45" s="6">
        <f t="shared" ref="J45:O45" si="2">SUM(J35:J44)/10</f>
        <v>1.2731165112</v>
      </c>
      <c r="K45" s="6">
        <f t="shared" si="2"/>
        <v>8.7092244888000003</v>
      </c>
      <c r="L45" s="6">
        <f t="shared" si="2"/>
        <v>7.6762559994000004</v>
      </c>
      <c r="M45" s="6">
        <f t="shared" si="2"/>
        <v>8.8388845720000013</v>
      </c>
      <c r="N45" s="6">
        <f t="shared" si="2"/>
        <v>5.4138730060000002</v>
      </c>
      <c r="O45" s="6">
        <f t="shared" si="2"/>
        <v>7.2480058353000008</v>
      </c>
    </row>
    <row r="46" spans="1:15" x14ac:dyDescent="0.2">
      <c r="A46" s="6" t="s">
        <v>10</v>
      </c>
      <c r="B46" s="5">
        <v>99.34</v>
      </c>
      <c r="C46" s="10"/>
      <c r="D46" s="10"/>
      <c r="E46" s="10"/>
    </row>
    <row r="47" spans="1:15" x14ac:dyDescent="0.2">
      <c r="A47" s="6" t="s">
        <v>11</v>
      </c>
      <c r="B47" s="5">
        <v>99.11</v>
      </c>
      <c r="C47" s="10"/>
      <c r="D47" s="10"/>
      <c r="E4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Milton Wade</dc:creator>
  <cp:lastModifiedBy>David Milton Wade</cp:lastModifiedBy>
  <dcterms:created xsi:type="dcterms:W3CDTF">2020-12-09T08:25:51Z</dcterms:created>
  <dcterms:modified xsi:type="dcterms:W3CDTF">2020-12-10T19:34:31Z</dcterms:modified>
</cp:coreProperties>
</file>