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wang/fin325/"/>
    </mc:Choice>
  </mc:AlternateContent>
  <xr:revisionPtr revIDLastSave="0" documentId="13_ncr:1_{D5E7B686-9F2C-2540-BEB7-DB43F55604C9}" xr6:coauthVersionLast="47" xr6:coauthVersionMax="47" xr10:uidLastSave="{00000000-0000-0000-0000-000000000000}"/>
  <bookViews>
    <workbookView xWindow="15100" yWindow="2880" windowWidth="13400" windowHeight="12280" firstSheet="3" activeTab="5" xr2:uid="{00000000-000D-0000-FFFF-FFFF00000000}"/>
    <workbookView xWindow="80" yWindow="1080" windowWidth="12380" windowHeight="15360" activeTab="1" xr2:uid="{C83CC5CC-0C2C-2B44-941E-160FA00D13D7}"/>
  </bookViews>
  <sheets>
    <sheet name="Data" sheetId="8" r:id="rId1"/>
    <sheet name="Dashboard" sheetId="4" r:id="rId2"/>
    <sheet name="Income Statement" sheetId="1" r:id="rId3"/>
    <sheet name="Working Capital Calculation" sheetId="5" r:id="rId4"/>
    <sheet name="FCF Calculation" sheetId="3" r:id="rId5"/>
    <sheet name="FV Calculation" sheetId="6" r:id="rId6"/>
  </sheets>
  <calcPr calcId="191029" concurrentCalc="0"/>
  <customWorkbookViews>
    <customWorkbookView name="mon2" guid="{6B4094F9-123B-C947-912E-6EEE12190E0A}" xWindow="122" yWindow="49" windowWidth="947" windowHeight="77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6" l="1"/>
  <c r="I48" i="1"/>
  <c r="J48" i="1"/>
  <c r="H48" i="1"/>
  <c r="G48" i="1"/>
  <c r="B27" i="6"/>
  <c r="B28" i="6"/>
  <c r="B29" i="6"/>
  <c r="B15" i="6"/>
  <c r="B25" i="4"/>
  <c r="J6" i="6"/>
  <c r="I6" i="6"/>
  <c r="H6" i="6"/>
  <c r="G6" i="6"/>
  <c r="F6" i="6"/>
  <c r="E6" i="6"/>
  <c r="J47" i="1"/>
  <c r="J52" i="1"/>
  <c r="I5" i="3"/>
  <c r="I10" i="3"/>
  <c r="J5" i="6"/>
  <c r="J7" i="6"/>
  <c r="G28" i="1"/>
  <c r="H28" i="1"/>
  <c r="I28" i="1"/>
  <c r="J28" i="1"/>
  <c r="F28" i="1"/>
  <c r="G26" i="1"/>
  <c r="H26" i="1"/>
  <c r="I26" i="1"/>
  <c r="J26" i="1"/>
  <c r="F26" i="1"/>
  <c r="G22" i="1"/>
  <c r="H22" i="1"/>
  <c r="I22" i="1"/>
  <c r="J22" i="1"/>
  <c r="F22" i="1"/>
  <c r="C9" i="1"/>
  <c r="D9" i="1"/>
  <c r="E9" i="1"/>
  <c r="G9" i="1"/>
  <c r="H9" i="1"/>
  <c r="I9" i="1"/>
  <c r="J9" i="1"/>
  <c r="F9" i="1"/>
  <c r="F6" i="1"/>
  <c r="B23" i="1"/>
  <c r="B10" i="1"/>
  <c r="B13" i="1"/>
  <c r="B28" i="1"/>
  <c r="B35" i="1"/>
  <c r="B36" i="1"/>
  <c r="B37" i="1"/>
  <c r="B39" i="1"/>
  <c r="B43" i="1"/>
  <c r="B45" i="1"/>
  <c r="B47" i="1"/>
  <c r="B31" i="1"/>
  <c r="B48" i="1"/>
  <c r="B22" i="6"/>
  <c r="E7" i="1"/>
  <c r="F8" i="1"/>
  <c r="G8" i="1"/>
  <c r="H8" i="1"/>
  <c r="I8" i="1"/>
  <c r="J8" i="1"/>
  <c r="C47" i="1"/>
  <c r="D47" i="1"/>
  <c r="E47" i="1"/>
  <c r="C18" i="6"/>
  <c r="B19" i="6"/>
  <c r="C19" i="6"/>
  <c r="B24" i="6"/>
  <c r="C28" i="1"/>
  <c r="B6" i="3"/>
  <c r="D28" i="1"/>
  <c r="C6" i="3"/>
  <c r="E28" i="1"/>
  <c r="D6" i="3"/>
  <c r="G7" i="5"/>
  <c r="H7" i="5"/>
  <c r="I7" i="5"/>
  <c r="J7" i="5"/>
  <c r="G6" i="5"/>
  <c r="H6" i="5"/>
  <c r="I6" i="5"/>
  <c r="J6" i="5"/>
  <c r="F6" i="5"/>
  <c r="F7" i="5"/>
  <c r="E7" i="5"/>
  <c r="D7" i="5"/>
  <c r="C7" i="5"/>
  <c r="B7" i="5"/>
  <c r="E6" i="5"/>
  <c r="D6" i="5"/>
  <c r="C6" i="5"/>
  <c r="B6" i="5"/>
  <c r="E5" i="5"/>
  <c r="D5" i="5"/>
  <c r="C5" i="5"/>
  <c r="B5" i="5"/>
  <c r="E39" i="1"/>
  <c r="D39" i="1"/>
  <c r="C39" i="1"/>
  <c r="E36" i="1"/>
  <c r="F36" i="1"/>
  <c r="E35" i="1"/>
  <c r="F35" i="1"/>
  <c r="D36" i="1"/>
  <c r="D35" i="1"/>
  <c r="C36" i="1"/>
  <c r="C35" i="1"/>
  <c r="C10" i="1"/>
  <c r="D10" i="1"/>
  <c r="E10" i="1"/>
  <c r="B24" i="1"/>
  <c r="C23" i="1"/>
  <c r="C24" i="1"/>
  <c r="D23" i="1"/>
  <c r="D24" i="1"/>
  <c r="E23" i="1"/>
  <c r="E24" i="1"/>
  <c r="E31" i="1"/>
  <c r="D31" i="1"/>
  <c r="C31" i="1"/>
  <c r="B26" i="1"/>
  <c r="C26" i="1"/>
  <c r="D26" i="1"/>
  <c r="E26" i="1"/>
  <c r="B22" i="1"/>
  <c r="C22" i="1"/>
  <c r="D22" i="1"/>
  <c r="E22" i="1"/>
  <c r="B16" i="1"/>
  <c r="B17" i="1"/>
  <c r="E13" i="1"/>
  <c r="D13" i="1"/>
  <c r="C13" i="1"/>
  <c r="C11" i="1"/>
  <c r="H3" i="8"/>
  <c r="B23" i="6"/>
  <c r="G14" i="1"/>
  <c r="H14" i="1"/>
  <c r="I14" i="1"/>
  <c r="J14" i="1"/>
  <c r="G35" i="1"/>
  <c r="H35" i="1"/>
  <c r="I35" i="1"/>
  <c r="J35" i="1"/>
  <c r="G36" i="1"/>
  <c r="H36" i="1"/>
  <c r="I36" i="1"/>
  <c r="J36" i="1"/>
  <c r="J37" i="1"/>
  <c r="G43" i="1"/>
  <c r="H43" i="1"/>
  <c r="I43" i="1"/>
  <c r="J43" i="1"/>
  <c r="I6" i="3"/>
  <c r="F5" i="5"/>
  <c r="G5" i="5"/>
  <c r="H5" i="5"/>
  <c r="I5" i="5"/>
  <c r="I8" i="5"/>
  <c r="J5" i="5"/>
  <c r="J8" i="5"/>
  <c r="J10" i="5"/>
  <c r="I7" i="3"/>
  <c r="F37" i="1"/>
  <c r="E6" i="3"/>
  <c r="F8" i="5"/>
  <c r="E8" i="5"/>
  <c r="F10" i="5"/>
  <c r="E7" i="3"/>
  <c r="G37" i="1"/>
  <c r="F6" i="3"/>
  <c r="G8" i="5"/>
  <c r="G10" i="5"/>
  <c r="F7" i="3"/>
  <c r="H37" i="1"/>
  <c r="G6" i="3"/>
  <c r="H8" i="5"/>
  <c r="H10" i="5"/>
  <c r="G7" i="3"/>
  <c r="I37" i="1"/>
  <c r="H6" i="3"/>
  <c r="I10" i="5"/>
  <c r="H7" i="3"/>
  <c r="C8" i="5"/>
  <c r="D8" i="5"/>
  <c r="D10" i="5"/>
  <c r="B8" i="5"/>
  <c r="C10" i="5"/>
  <c r="E10" i="5"/>
  <c r="D7" i="1"/>
  <c r="C7" i="1"/>
  <c r="C16" i="1"/>
  <c r="C17" i="1"/>
  <c r="D16" i="1"/>
  <c r="D17" i="1"/>
  <c r="E16" i="1"/>
  <c r="E17" i="1"/>
  <c r="F4" i="6"/>
  <c r="G4" i="6"/>
  <c r="H4" i="6"/>
  <c r="I4" i="6"/>
  <c r="D33" i="1"/>
  <c r="E33" i="1"/>
  <c r="B33" i="1"/>
  <c r="C37" i="1"/>
  <c r="D37" i="1"/>
  <c r="E37" i="1"/>
  <c r="C43" i="1"/>
  <c r="D43" i="1"/>
  <c r="E43" i="1"/>
  <c r="C29" i="1"/>
  <c r="D29" i="1"/>
  <c r="E29" i="1"/>
  <c r="B29" i="1"/>
  <c r="C33" i="1"/>
  <c r="C45" i="1"/>
  <c r="E45" i="1"/>
  <c r="D45" i="1"/>
  <c r="E8" i="3"/>
  <c r="F8" i="3"/>
  <c r="C3" i="5"/>
  <c r="D3" i="5"/>
  <c r="E3" i="5"/>
  <c r="F3" i="5"/>
  <c r="G3" i="5"/>
  <c r="H3" i="5"/>
  <c r="I3" i="5"/>
  <c r="J3" i="5"/>
  <c r="B3" i="5"/>
  <c r="B3" i="3"/>
  <c r="B3" i="6"/>
  <c r="C3" i="3"/>
  <c r="C3" i="6"/>
  <c r="D3" i="3"/>
  <c r="D3" i="6"/>
  <c r="E3" i="3"/>
  <c r="E3" i="6"/>
  <c r="F3" i="3"/>
  <c r="F3" i="6"/>
  <c r="G3" i="3"/>
  <c r="G3" i="6"/>
  <c r="H3" i="3"/>
  <c r="H3" i="6"/>
  <c r="I3" i="3"/>
  <c r="I3" i="6"/>
  <c r="C14" i="1"/>
  <c r="D14" i="1"/>
  <c r="E14" i="1"/>
  <c r="B14" i="1"/>
  <c r="D11" i="1"/>
  <c r="E11" i="1"/>
  <c r="E48" i="1"/>
  <c r="E52" i="1"/>
  <c r="D48" i="1"/>
  <c r="D52" i="1"/>
  <c r="C5" i="3"/>
  <c r="B52" i="1"/>
  <c r="C48" i="1"/>
  <c r="C52" i="1"/>
  <c r="B5" i="3"/>
  <c r="G8" i="3"/>
  <c r="H8" i="3"/>
  <c r="D5" i="3"/>
  <c r="B7" i="3"/>
  <c r="B10" i="3"/>
  <c r="B5" i="6"/>
  <c r="D7" i="3"/>
  <c r="D10" i="3"/>
  <c r="D5" i="6"/>
  <c r="C7" i="3"/>
  <c r="C10" i="3"/>
  <c r="C5" i="6"/>
  <c r="I8" i="3"/>
  <c r="G6" i="1"/>
  <c r="H6" i="1"/>
  <c r="I6" i="1"/>
  <c r="J6" i="1"/>
  <c r="J10" i="1"/>
  <c r="J13" i="1"/>
  <c r="J23" i="1"/>
  <c r="J45" i="1"/>
  <c r="J16" i="1"/>
  <c r="J31" i="1"/>
  <c r="I5" i="6"/>
  <c r="I7" i="6"/>
  <c r="F10" i="1"/>
  <c r="F13" i="1"/>
  <c r="G10" i="1"/>
  <c r="G13" i="1"/>
  <c r="H10" i="1"/>
  <c r="I10" i="1"/>
  <c r="F21" i="1"/>
  <c r="G21" i="1"/>
  <c r="H21" i="1"/>
  <c r="I21" i="1"/>
  <c r="J21" i="1"/>
  <c r="F23" i="1"/>
  <c r="F24" i="1"/>
  <c r="F45" i="1"/>
  <c r="F16" i="1"/>
  <c r="F31" i="1"/>
  <c r="F47" i="1"/>
  <c r="G23" i="1"/>
  <c r="G45" i="1"/>
  <c r="G16" i="1"/>
  <c r="G31" i="1"/>
  <c r="G47" i="1"/>
  <c r="G52" i="1"/>
  <c r="F5" i="3"/>
  <c r="F10" i="3"/>
  <c r="F5" i="6"/>
  <c r="F7" i="6"/>
  <c r="H13" i="1"/>
  <c r="H23" i="1"/>
  <c r="H45" i="1"/>
  <c r="H16" i="1"/>
  <c r="H31" i="1"/>
  <c r="H47" i="1"/>
  <c r="H52" i="1"/>
  <c r="G5" i="3"/>
  <c r="G10" i="3"/>
  <c r="G5" i="6"/>
  <c r="G7" i="6"/>
  <c r="I13" i="1"/>
  <c r="I23" i="1"/>
  <c r="I45" i="1"/>
  <c r="I16" i="1"/>
  <c r="I31" i="1"/>
  <c r="I47" i="1"/>
  <c r="I52" i="1"/>
  <c r="H5" i="3"/>
  <c r="H10" i="3"/>
  <c r="H5" i="6"/>
  <c r="H7" i="6"/>
  <c r="F11" i="1"/>
  <c r="F29" i="1"/>
  <c r="G11" i="1"/>
  <c r="G24" i="1"/>
  <c r="G29" i="1"/>
  <c r="F17" i="1"/>
  <c r="H11" i="1"/>
  <c r="H29" i="1"/>
  <c r="G17" i="1"/>
  <c r="G33" i="1"/>
  <c r="F33" i="1"/>
  <c r="H17" i="1"/>
  <c r="H24" i="1"/>
  <c r="I11" i="1"/>
  <c r="I29" i="1"/>
  <c r="J11" i="1"/>
  <c r="J29" i="1"/>
  <c r="I17" i="1"/>
  <c r="I33" i="1"/>
  <c r="I24" i="1"/>
  <c r="H33" i="1"/>
  <c r="J17" i="1"/>
  <c r="J24" i="1"/>
  <c r="J33" i="1"/>
  <c r="F52" i="1"/>
  <c r="E5" i="3"/>
  <c r="E10" i="3"/>
  <c r="E5" i="6"/>
  <c r="E7" i="6"/>
  <c r="B9" i="6"/>
  <c r="B11" i="6"/>
  <c r="B27" i="4"/>
  <c r="B28" i="4"/>
</calcChain>
</file>

<file path=xl/sharedStrings.xml><?xml version="1.0" encoding="utf-8"?>
<sst xmlns="http://schemas.openxmlformats.org/spreadsheetml/2006/main" count="224" uniqueCount="176">
  <si>
    <t>Revenue</t>
  </si>
  <si>
    <t>in mms</t>
  </si>
  <si>
    <t>% change</t>
  </si>
  <si>
    <t>COGS</t>
  </si>
  <si>
    <t>% revenue</t>
  </si>
  <si>
    <t>Gross Profit</t>
  </si>
  <si>
    <t>SGA</t>
  </si>
  <si>
    <t>R&amp;D</t>
  </si>
  <si>
    <t>D&amp;A</t>
  </si>
  <si>
    <t>Net Income</t>
  </si>
  <si>
    <t>Change in Working Capital</t>
  </si>
  <si>
    <t>CapEx</t>
  </si>
  <si>
    <t>FCF</t>
  </si>
  <si>
    <t>Projected Year</t>
  </si>
  <si>
    <t>Discounted</t>
  </si>
  <si>
    <t>Terminal Growth Rate</t>
  </si>
  <si>
    <t>Ticker</t>
  </si>
  <si>
    <t>Company</t>
  </si>
  <si>
    <t>WACC</t>
  </si>
  <si>
    <t>Equity</t>
  </si>
  <si>
    <t>Debt</t>
  </si>
  <si>
    <t>Amount</t>
  </si>
  <si>
    <t>Weight</t>
  </si>
  <si>
    <t>Cost of Equity</t>
  </si>
  <si>
    <t>Beta</t>
  </si>
  <si>
    <t>Risk-Free Rate</t>
  </si>
  <si>
    <t>Market Risk Premium</t>
  </si>
  <si>
    <t>Rm-Rf</t>
  </si>
  <si>
    <t>Cost of Debt</t>
  </si>
  <si>
    <t>After Tax Cost of Debt</t>
  </si>
  <si>
    <t>Terminal</t>
  </si>
  <si>
    <t>Shares Outstanding</t>
  </si>
  <si>
    <t>Enterprise Value</t>
  </si>
  <si>
    <t>Net Debt</t>
  </si>
  <si>
    <t>Fair Value</t>
  </si>
  <si>
    <t>Fair Price</t>
  </si>
  <si>
    <t>Current Price</t>
  </si>
  <si>
    <t>Appreciation</t>
  </si>
  <si>
    <t>Interest Income</t>
  </si>
  <si>
    <t>Interest Expense</t>
  </si>
  <si>
    <t>Loss (Gain) on Convertible Notes</t>
  </si>
  <si>
    <t>Restructuring</t>
  </si>
  <si>
    <t>Transaction, severance, and other expense</t>
  </si>
  <si>
    <t>Income Statement</t>
  </si>
  <si>
    <t>Historical</t>
  </si>
  <si>
    <t>Projected</t>
  </si>
  <si>
    <t>Gain (Loss) on Investments</t>
  </si>
  <si>
    <t>Net Loss (Gain) from Interest</t>
  </si>
  <si>
    <t>Unusual Expenses</t>
  </si>
  <si>
    <t>Tax</t>
  </si>
  <si>
    <t xml:space="preserve">Net Income </t>
  </si>
  <si>
    <t>% tax rate</t>
  </si>
  <si>
    <t>Notes</t>
  </si>
  <si>
    <t>DCF Dashboard</t>
  </si>
  <si>
    <t>WACC Assumptions</t>
  </si>
  <si>
    <t>all numbers in mm's</t>
  </si>
  <si>
    <t>Tax Rate</t>
  </si>
  <si>
    <t>Balance Sheet</t>
  </si>
  <si>
    <t>FCF Calculation</t>
  </si>
  <si>
    <t>Source</t>
  </si>
  <si>
    <t>In blue are projections, highlighted in grey are assumptions</t>
  </si>
  <si>
    <t>Keeping this constant as an assumption</t>
  </si>
  <si>
    <t>Keeping this constant; fairly conservative given past numbers</t>
  </si>
  <si>
    <t>Thesis and Notes</t>
  </si>
  <si>
    <t>Patent cliff that is facing many pharmaceutical companies will cause them to slash marketing budgets, which poses a real threat to WebMD revenue.</t>
  </si>
  <si>
    <t>Thesis</t>
  </si>
  <si>
    <t>Note to the Blyth user</t>
  </si>
  <si>
    <t>Happy modeling,</t>
  </si>
  <si>
    <t>Andrew Han</t>
  </si>
  <si>
    <t>To whoever reading this as a template,</t>
  </si>
  <si>
    <t xml:space="preserve">* Please note that for each DCF that you do, the breakdown of the line-items on the financial statements will vary from company to company and ought to be customized accordingly.  </t>
  </si>
  <si>
    <t xml:space="preserve">* Please consult SEC filings, Bloomberg, or Google/Yahoo! Finance to obtain financial statement data. </t>
  </si>
  <si>
    <t>* A rigorous DCF will further break down the conventional GAAP line items to incorporate even more granular assumptions. We strongly suggest that you do so.</t>
  </si>
  <si>
    <t>If you have any questions, please do not hesitate to contact a Director or your Portfolio Manager for help.</t>
  </si>
  <si>
    <t>This is where you would note important assumptions that you've included in your model</t>
  </si>
  <si>
    <t>Fair Value Calculation</t>
  </si>
  <si>
    <t>% gross margin</t>
  </si>
  <si>
    <t>Earnings Before Taxes (EBT)</t>
  </si>
  <si>
    <t>EBIT, or Operating Income</t>
  </si>
  <si>
    <t>EBITDA</t>
  </si>
  <si>
    <t>Accounts Payable</t>
  </si>
  <si>
    <t>in $ mm's</t>
  </si>
  <si>
    <t>Rolling average assumption</t>
  </si>
  <si>
    <t>Discount Factor</t>
  </si>
  <si>
    <t>Extraordinary Items</t>
  </si>
  <si>
    <t>2013 10K SEC Filing, Google Finance, and Bloomberg</t>
  </si>
  <si>
    <t>In blue are assumptions</t>
  </si>
  <si>
    <t>10-yr treasury. http://www.bloomberg.com/markets/rates-bonds/government-bonds/us/</t>
  </si>
  <si>
    <t>Changes in Operating Working Capital</t>
  </si>
  <si>
    <t>Accounts Receivable</t>
  </si>
  <si>
    <t>Inventory</t>
  </si>
  <si>
    <t>Working Capital</t>
  </si>
  <si>
    <t>Consolidated Statements of Income - USD ($) shares in Millions, $ in Millions</t>
  </si>
  <si>
    <t>12 Months Ended</t>
  </si>
  <si>
    <t>Jan. 28, 2024</t>
  </si>
  <si>
    <t>Jan. 29, 2023</t>
  </si>
  <si>
    <t>Jan. 30, 2022</t>
  </si>
  <si>
    <t>Income Statement [Abstract]</t>
  </si>
  <si>
    <t>Cost of revenue</t>
  </si>
  <si>
    <t>Gross profit</t>
  </si>
  <si>
    <t>Operating expenses</t>
  </si>
  <si>
    <t>Research and development</t>
  </si>
  <si>
    <t>Sales, general and administrative</t>
  </si>
  <si>
    <t>Acquisition termination cost</t>
  </si>
  <si>
    <t>Total operating expenses</t>
  </si>
  <si>
    <t>Operating income</t>
  </si>
  <si>
    <t>Interest income</t>
  </si>
  <si>
    <t>Interest expense</t>
  </si>
  <si>
    <t>Other, net</t>
  </si>
  <si>
    <t>Other income (expense), net</t>
  </si>
  <si>
    <t>Income before income tax</t>
  </si>
  <si>
    <t>Income tax expense (benefit)</t>
  </si>
  <si>
    <t>Net income</t>
  </si>
  <si>
    <t>Net income per share:</t>
  </si>
  <si>
    <t>Basic (in USD per share)</t>
  </si>
  <si>
    <t>Diluted (in USD per share)</t>
  </si>
  <si>
    <t>Weighted average shares used in per share computation:</t>
  </si>
  <si>
    <t>Basic (in shares)</t>
  </si>
  <si>
    <t>Diluted (in shares)</t>
  </si>
  <si>
    <t> </t>
  </si>
  <si>
    <t>Jan. 31, 2021</t>
  </si>
  <si>
    <t>Nvidia</t>
  </si>
  <si>
    <t>NVDA</t>
  </si>
  <si>
    <t>BEA estimate. https://www.bea.gov/sites/default/files/2024-06/gdp1q24-3rd.pdf</t>
  </si>
  <si>
    <t>RGDP</t>
  </si>
  <si>
    <t>Inflation rate</t>
  </si>
  <si>
    <t>BIS https://data.bls.gov/timeseries/CUUR0000SA0L1E?output_view=pct_12mths</t>
  </si>
  <si>
    <t>payout ratio</t>
  </si>
  <si>
    <t>Yahoo! Finance https://finance.yahoo.com/quote/NVDA/key-statistics/</t>
  </si>
  <si>
    <t>shares outs.</t>
  </si>
  <si>
    <t>^</t>
  </si>
  <si>
    <t>NYU prof estimate. https://pages.stern.nyu.edu/~adamodar/New_Home_Page/datafile/ctryprem.html</t>
  </si>
  <si>
    <t>in millions</t>
  </si>
  <si>
    <t>Depreciation and amortization</t>
  </si>
  <si>
    <t>Unamortized debt discount and issuance costs</t>
  </si>
  <si>
    <t>Consolidated Balance Sheets - USD ($) $ in Millions</t>
  </si>
  <si>
    <t>Current assets:</t>
  </si>
  <si>
    <t>Cash and cash equivalents</t>
  </si>
  <si>
    <t>Marketable securities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</si>
  <si>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</si>
  <si>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</si>
  <si>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</si>
  <si>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</si>
  <si>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</si>
  <si>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Operating lease assets</t>
  </si>
  <si>
    <t>Goodwill</t>
  </si>
  <si>
    <t>Intangible assets,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</si>
  <si>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</si>
  <si>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</si>
  <si>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</si>
  <si>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</si>
  <si>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</si>
  <si>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</si>
  <si>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</si>
  <si>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</si>
  <si>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Long-term debt</t>
  </si>
  <si>
    <t>Long-term operating lease liabilities</t>
  </si>
  <si>
    <t>Other long-term liabilities</t>
  </si>
  <si>
    <t>Total liabilities</t>
  </si>
  <si>
    <t>Commitments and contingencies - see Note 13</t>
  </si>
  <si>
    <t xml:space="preserve"> </t>
  </si>
  <si>
    <t>Shareholders’ equity:</t>
  </si>
  <si>
    <t>Preferred stock, $0.001 par value; 2 shares authorized; none issued</t>
  </si>
  <si>
    <t>Common stock, $0.001 par value; 8,000 shares authorized; 2,464 shares issued and outstanding as of January 28, 2024; 2,466 shares issued and outstanding as of January 29, 2023</t>
  </si>
  <si>
    <t>Additional paid-in capital</t>
  </si>
  <si>
    <t>Accumulated other comprehensive income (loss)</t>
  </si>
  <si>
    <t>Retained earnings</t>
  </si>
  <si>
    <t>Total shareholders' equity</t>
  </si>
  <si>
    <t>Total liabilities and shareholders' equity</t>
  </si>
  <si>
    <t>in $ millions (mms)</t>
  </si>
  <si>
    <t>Graphics</t>
  </si>
  <si>
    <t>Computer &amp; Networking</t>
  </si>
  <si>
    <t>NVDA specific revenue segments</t>
  </si>
  <si>
    <t>4 period WA assumptions</t>
  </si>
  <si>
    <t>Sales &amp; General &amp; Administrative</t>
  </si>
  <si>
    <t>Non-cash moving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</si>
</sst>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_(&quot;$ &quot;#,##0_);_(&quot;$ &quot;\(#,##0\)"/>
    <numFmt numFmtId="167" formatCode="_(&quot;$ &quot;#,##0.00_);_(&quot;$ &quot;\(#,##0.00\)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3" tint="0.39997558519241921"/>
      <name val="Garamond"/>
      <family val="1"/>
    </font>
    <font>
      <i/>
      <sz val="11"/>
      <color theme="1"/>
      <name val="Garamond"/>
      <family val="1"/>
    </font>
    <font>
      <b/>
      <i/>
      <sz val="11"/>
      <color theme="1"/>
      <name val="Garamond"/>
      <family val="1"/>
    </font>
    <font>
      <b/>
      <sz val="11"/>
      <color theme="4" tint="-0.249977111117893"/>
      <name val="Garamond"/>
      <family val="1"/>
    </font>
    <font>
      <i/>
      <sz val="11"/>
      <color theme="4" tint="-0.249977111117893"/>
      <name val="Garamond"/>
      <family val="1"/>
    </font>
    <font>
      <sz val="11"/>
      <color theme="4" tint="-0.249977111117893"/>
      <name val="Garamond"/>
      <family val="1"/>
    </font>
    <font>
      <b/>
      <sz val="11"/>
      <name val="Garamond"/>
      <family val="1"/>
    </font>
    <font>
      <b/>
      <sz val="18"/>
      <color theme="0"/>
      <name val="Garamond"/>
      <family val="1"/>
    </font>
    <font>
      <b/>
      <u/>
      <sz val="11"/>
      <color theme="1"/>
      <name val="Garamond"/>
      <family val="1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1"/>
      <color rgb="FF333333"/>
      <name val="Garamond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2" fillId="4" borderId="3">
      <alignment horizontal="right"/>
    </xf>
    <xf numFmtId="0" fontId="13" fillId="5" borderId="4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0" fontId="4" fillId="0" borderId="0" xfId="0" applyNumberFormat="1" applyFont="1"/>
    <xf numFmtId="0" fontId="2" fillId="0" borderId="1" xfId="0" applyFont="1" applyBorder="1"/>
    <xf numFmtId="10" fontId="1" fillId="0" borderId="1" xfId="0" applyNumberFormat="1" applyFont="1" applyBorder="1"/>
    <xf numFmtId="0" fontId="4" fillId="0" borderId="0" xfId="0" applyFont="1" applyAlignment="1">
      <alignment horizontal="right"/>
    </xf>
    <xf numFmtId="2" fontId="6" fillId="0" borderId="0" xfId="0" applyNumberFormat="1" applyFont="1"/>
    <xf numFmtId="0" fontId="8" fillId="0" borderId="0" xfId="0" applyFont="1"/>
    <xf numFmtId="9" fontId="7" fillId="0" borderId="0" xfId="0" applyNumberFormat="1" applyFont="1"/>
    <xf numFmtId="2" fontId="8" fillId="0" borderId="0" xfId="0" applyNumberFormat="1" applyFont="1"/>
    <xf numFmtId="10" fontId="8" fillId="2" borderId="0" xfId="0" applyNumberFormat="1" applyFont="1" applyFill="1"/>
    <xf numFmtId="2" fontId="8" fillId="2" borderId="0" xfId="0" applyNumberFormat="1" applyFont="1" applyFill="1"/>
    <xf numFmtId="0" fontId="8" fillId="0" borderId="2" xfId="0" applyFont="1" applyBorder="1"/>
    <xf numFmtId="2" fontId="8" fillId="0" borderId="2" xfId="0" applyNumberFormat="1" applyFont="1" applyBorder="1"/>
    <xf numFmtId="10" fontId="1" fillId="0" borderId="0" xfId="0" applyNumberFormat="1" applyFont="1" applyAlignment="1">
      <alignment horizontal="right"/>
    </xf>
    <xf numFmtId="0" fontId="9" fillId="0" borderId="0" xfId="0" applyFont="1"/>
    <xf numFmtId="44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right"/>
    </xf>
    <xf numFmtId="0" fontId="1" fillId="3" borderId="1" xfId="0" applyFont="1" applyFill="1" applyBorder="1"/>
    <xf numFmtId="0" fontId="1" fillId="3" borderId="0" xfId="0" applyFont="1" applyFill="1"/>
    <xf numFmtId="0" fontId="10" fillId="3" borderId="1" xfId="0" applyFont="1" applyFill="1" applyBorder="1"/>
    <xf numFmtId="164" fontId="1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2" fontId="1" fillId="0" borderId="1" xfId="0" applyNumberFormat="1" applyFont="1" applyBorder="1"/>
    <xf numFmtId="0" fontId="10" fillId="3" borderId="0" xfId="0" applyFont="1" applyFill="1"/>
    <xf numFmtId="10" fontId="2" fillId="0" borderId="0" xfId="0" applyNumberFormat="1" applyFo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0" fontId="4" fillId="0" borderId="0" xfId="0" applyNumberFormat="1" applyFont="1" applyAlignment="1">
      <alignment horizontal="right"/>
    </xf>
    <xf numFmtId="9" fontId="7" fillId="2" borderId="0" xfId="0" applyNumberFormat="1" applyFont="1" applyFill="1"/>
    <xf numFmtId="10" fontId="7" fillId="0" borderId="0" xfId="0" applyNumberFormat="1" applyFont="1"/>
    <xf numFmtId="10" fontId="8" fillId="0" borderId="0" xfId="0" applyNumberFormat="1" applyFont="1"/>
    <xf numFmtId="0" fontId="8" fillId="2" borderId="0" xfId="0" applyFont="1" applyFill="1"/>
    <xf numFmtId="2" fontId="6" fillId="2" borderId="0" xfId="0" applyNumberFormat="1" applyFont="1" applyFill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2" fontId="4" fillId="0" borderId="0" xfId="0" applyNumberFormat="1" applyFont="1"/>
    <xf numFmtId="0" fontId="11" fillId="0" borderId="0" xfId="0" applyFont="1"/>
    <xf numFmtId="9" fontId="5" fillId="0" borderId="0" xfId="0" applyNumberFormat="1" applyFont="1"/>
    <xf numFmtId="9" fontId="4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2" fontId="3" fillId="0" borderId="0" xfId="0" applyNumberFormat="1" applyFont="1"/>
    <xf numFmtId="10" fontId="4" fillId="2" borderId="0" xfId="0" applyNumberFormat="1" applyFont="1" applyFill="1"/>
    <xf numFmtId="165" fontId="3" fillId="0" borderId="0" xfId="0" applyNumberFormat="1" applyFo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166" fontId="16" fillId="0" borderId="0" xfId="0" applyNumberFormat="1" applyFont="1" applyAlignment="1">
      <alignment horizontal="right" vertical="top"/>
    </xf>
    <xf numFmtId="37" fontId="16" fillId="0" borderId="0" xfId="0" applyNumberFormat="1" applyFont="1" applyAlignment="1">
      <alignment horizontal="right" vertical="top"/>
    </xf>
    <xf numFmtId="167" fontId="16" fillId="0" borderId="0" xfId="0" applyNumberFormat="1" applyFont="1" applyAlignment="1">
      <alignment horizontal="right" vertical="top"/>
    </xf>
    <xf numFmtId="10" fontId="0" fillId="0" borderId="0" xfId="4" applyNumberFormat="1" applyFont="1"/>
    <xf numFmtId="10" fontId="16" fillId="0" borderId="0" xfId="4" applyNumberFormat="1" applyFont="1" applyAlignment="1">
      <alignment horizontal="right" vertical="top"/>
    </xf>
    <xf numFmtId="10" fontId="0" fillId="0" borderId="0" xfId="0" applyNumberFormat="1"/>
    <xf numFmtId="3" fontId="16" fillId="0" borderId="0" xfId="0" applyNumberFormat="1" applyFont="1" applyAlignment="1">
      <alignment vertical="top" wrapText="1"/>
    </xf>
    <xf numFmtId="168" fontId="0" fillId="0" borderId="0" xfId="3" applyNumberFormat="1" applyFont="1"/>
    <xf numFmtId="37" fontId="2" fillId="0" borderId="0" xfId="0" applyNumberFormat="1" applyFont="1" applyAlignment="1">
      <alignment horizontal="right"/>
    </xf>
    <xf numFmtId="0" fontId="5" fillId="0" borderId="0" xfId="0" applyFont="1"/>
    <xf numFmtId="0" fontId="18" fillId="0" borderId="0" xfId="0" applyFont="1"/>
    <xf numFmtId="37" fontId="1" fillId="0" borderId="0" xfId="0" applyNumberFormat="1" applyFont="1"/>
    <xf numFmtId="0" fontId="14" fillId="0" borderId="4" xfId="2" applyFont="1" applyFill="1"/>
    <xf numFmtId="44" fontId="2" fillId="0" borderId="0" xfId="3" applyFont="1"/>
    <xf numFmtId="43" fontId="1" fillId="0" borderId="0" xfId="5" applyFont="1"/>
    <xf numFmtId="0" fontId="17" fillId="0" borderId="0" xfId="0" applyFont="1" applyAlignment="1">
      <alignment horizontal="center" vertical="center" wrapText="1"/>
    </xf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6">
    <cellStyle name="Comma" xfId="5" builtinId="3"/>
    <cellStyle name="Currency" xfId="3" builtinId="4"/>
    <cellStyle name="fa_column_header_bottom" xfId="1" xr:uid="{00000000-0005-0000-0000-000000000000}"/>
    <cellStyle name="fa_row_header_standard" xfId="2" xr:uid="{00000000-0005-0000-0000-000001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112C-278B-104E-A87D-16AEB46866B1}">
  <dimension ref="A1:I63"/>
  <sheetViews>
    <sheetView workbookViewId="0">
      <selection activeCell="G8" sqref="G8"/>
    </sheetView>
    <sheetView topLeftCell="A31" workbookViewId="1">
      <pane xSplit="6380"/>
      <selection activeCell="A8" sqref="A8"/>
      <selection pane="topRight" activeCell="F28" sqref="F28"/>
    </sheetView>
  </sheetViews>
  <sheetFormatPr baseColWidth="10" defaultRowHeight="15" x14ac:dyDescent="0.2"/>
  <cols>
    <col min="1" max="1" width="49.33203125" customWidth="1"/>
    <col min="7" max="7" width="11" bestFit="1" customWidth="1"/>
    <col min="8" max="8" width="18.33203125" bestFit="1" customWidth="1"/>
  </cols>
  <sheetData>
    <row r="1" spans="1:9" x14ac:dyDescent="0.2">
      <c r="A1" s="77" t="s">
        <v>92</v>
      </c>
      <c r="B1" s="79" t="s">
        <v>93</v>
      </c>
      <c r="C1" s="78"/>
      <c r="D1" s="78"/>
    </row>
    <row r="2" spans="1:9" ht="32" x14ac:dyDescent="0.2">
      <c r="A2" s="78"/>
      <c r="B2" s="58" t="s">
        <v>94</v>
      </c>
      <c r="C2" s="58" t="s">
        <v>95</v>
      </c>
      <c r="D2" s="58" t="s">
        <v>96</v>
      </c>
      <c r="E2" s="58" t="s">
        <v>120</v>
      </c>
    </row>
    <row r="3" spans="1:9" ht="16" x14ac:dyDescent="0.2">
      <c r="A3" s="60" t="s">
        <v>97</v>
      </c>
      <c r="B3" s="61" t="s">
        <v>119</v>
      </c>
      <c r="C3" s="61" t="s">
        <v>119</v>
      </c>
      <c r="D3" s="61" t="s">
        <v>119</v>
      </c>
      <c r="E3" s="61" t="s">
        <v>119</v>
      </c>
      <c r="G3" t="s">
        <v>124</v>
      </c>
      <c r="H3" s="65">
        <f>1.6%</f>
        <v>1.6E-2</v>
      </c>
      <c r="I3" t="s">
        <v>123</v>
      </c>
    </row>
    <row r="4" spans="1:9" ht="16" x14ac:dyDescent="0.2">
      <c r="A4" s="61" t="s">
        <v>0</v>
      </c>
      <c r="B4" s="62">
        <v>60922</v>
      </c>
      <c r="C4" s="62">
        <v>26974</v>
      </c>
      <c r="D4" s="62">
        <v>26914</v>
      </c>
      <c r="E4" s="62">
        <v>16675</v>
      </c>
      <c r="G4" t="s">
        <v>125</v>
      </c>
      <c r="H4" s="66">
        <v>3.4000000000000002E-2</v>
      </c>
      <c r="I4" t="s">
        <v>126</v>
      </c>
    </row>
    <row r="5" spans="1:9" ht="16" x14ac:dyDescent="0.2">
      <c r="A5" s="61" t="s">
        <v>98</v>
      </c>
      <c r="B5" s="63">
        <v>16621</v>
      </c>
      <c r="C5" s="63">
        <v>11618</v>
      </c>
      <c r="D5" s="63">
        <v>9439</v>
      </c>
      <c r="E5" s="63">
        <v>6279</v>
      </c>
      <c r="G5" t="s">
        <v>127</v>
      </c>
      <c r="H5" s="67">
        <v>1.03E-2</v>
      </c>
      <c r="I5" t="s">
        <v>128</v>
      </c>
    </row>
    <row r="6" spans="1:9" ht="16" x14ac:dyDescent="0.2">
      <c r="A6" s="61" t="s">
        <v>99</v>
      </c>
      <c r="B6" s="63">
        <v>44301</v>
      </c>
      <c r="C6" s="63">
        <v>15356</v>
      </c>
      <c r="D6" s="63">
        <v>17475</v>
      </c>
      <c r="E6" s="63">
        <v>10396</v>
      </c>
      <c r="G6" t="s">
        <v>112</v>
      </c>
      <c r="H6" s="69">
        <v>53010000000</v>
      </c>
      <c r="I6" t="s">
        <v>130</v>
      </c>
    </row>
    <row r="7" spans="1:9" ht="16" x14ac:dyDescent="0.2">
      <c r="A7" s="60" t="s">
        <v>100</v>
      </c>
      <c r="B7" s="61" t="s">
        <v>119</v>
      </c>
      <c r="C7" s="61" t="s">
        <v>119</v>
      </c>
      <c r="D7" s="61" t="s">
        <v>119</v>
      </c>
      <c r="E7" s="61" t="s">
        <v>119</v>
      </c>
      <c r="G7" s="61" t="s">
        <v>129</v>
      </c>
      <c r="H7" s="68">
        <v>24530000000</v>
      </c>
      <c r="I7" s="61" t="s">
        <v>130</v>
      </c>
    </row>
    <row r="8" spans="1:9" ht="16" x14ac:dyDescent="0.2">
      <c r="A8" s="61" t="s">
        <v>101</v>
      </c>
      <c r="B8" s="63">
        <v>8675</v>
      </c>
      <c r="C8" s="63">
        <v>7339</v>
      </c>
      <c r="D8" s="63">
        <v>5268</v>
      </c>
      <c r="E8" s="63">
        <v>3924</v>
      </c>
    </row>
    <row r="9" spans="1:9" ht="16" x14ac:dyDescent="0.2">
      <c r="A9" s="61" t="s">
        <v>102</v>
      </c>
      <c r="B9" s="63">
        <v>2654</v>
      </c>
      <c r="C9" s="63">
        <v>2440</v>
      </c>
      <c r="D9" s="63">
        <v>2166</v>
      </c>
      <c r="E9" s="63">
        <v>1940</v>
      </c>
    </row>
    <row r="10" spans="1:9" ht="16" x14ac:dyDescent="0.2">
      <c r="A10" s="61" t="s">
        <v>103</v>
      </c>
      <c r="B10" s="63">
        <v>0</v>
      </c>
      <c r="C10" s="63">
        <v>1353</v>
      </c>
      <c r="D10" s="63">
        <v>0</v>
      </c>
      <c r="E10" s="63">
        <v>0</v>
      </c>
    </row>
    <row r="11" spans="1:9" ht="16" x14ac:dyDescent="0.2">
      <c r="A11" s="61" t="s">
        <v>104</v>
      </c>
      <c r="B11" s="63">
        <v>11329</v>
      </c>
      <c r="C11" s="63">
        <v>11132</v>
      </c>
      <c r="D11" s="63">
        <v>7434</v>
      </c>
      <c r="E11" s="63">
        <v>5864</v>
      </c>
    </row>
    <row r="12" spans="1:9" ht="16" x14ac:dyDescent="0.2">
      <c r="A12" s="61" t="s">
        <v>105</v>
      </c>
      <c r="B12" s="63">
        <v>32972</v>
      </c>
      <c r="C12" s="63">
        <v>4224</v>
      </c>
      <c r="D12" s="63">
        <v>10041</v>
      </c>
      <c r="E12" s="63">
        <v>4532</v>
      </c>
    </row>
    <row r="13" spans="1:9" ht="16" x14ac:dyDescent="0.2">
      <c r="A13" s="61" t="s">
        <v>106</v>
      </c>
      <c r="B13" s="63">
        <v>866</v>
      </c>
      <c r="C13" s="63">
        <v>267</v>
      </c>
      <c r="D13" s="63">
        <v>29</v>
      </c>
      <c r="E13" s="63">
        <v>57</v>
      </c>
    </row>
    <row r="14" spans="1:9" ht="16" x14ac:dyDescent="0.2">
      <c r="A14" s="61" t="s">
        <v>107</v>
      </c>
      <c r="B14" s="63">
        <v>-257</v>
      </c>
      <c r="C14" s="63">
        <v>-262</v>
      </c>
      <c r="D14" s="63">
        <v>-236</v>
      </c>
      <c r="E14" s="63">
        <v>-184</v>
      </c>
    </row>
    <row r="15" spans="1:9" ht="16" x14ac:dyDescent="0.2">
      <c r="A15" s="61" t="s">
        <v>108</v>
      </c>
      <c r="B15" s="63">
        <v>237</v>
      </c>
      <c r="C15" s="63">
        <v>-48</v>
      </c>
      <c r="D15" s="63">
        <v>107</v>
      </c>
      <c r="E15" s="63">
        <v>4</v>
      </c>
    </row>
    <row r="16" spans="1:9" ht="16" x14ac:dyDescent="0.2">
      <c r="A16" s="61" t="s">
        <v>109</v>
      </c>
      <c r="B16" s="63">
        <v>846</v>
      </c>
      <c r="C16" s="63">
        <v>-43</v>
      </c>
      <c r="D16" s="63">
        <v>-100</v>
      </c>
      <c r="E16" s="63">
        <v>-123</v>
      </c>
    </row>
    <row r="17" spans="1:6" ht="16" x14ac:dyDescent="0.2">
      <c r="A17" s="61" t="s">
        <v>110</v>
      </c>
      <c r="B17" s="63">
        <v>33818</v>
      </c>
      <c r="C17" s="63">
        <v>4181</v>
      </c>
      <c r="D17" s="63">
        <v>9941</v>
      </c>
      <c r="E17" s="63">
        <v>4409</v>
      </c>
    </row>
    <row r="18" spans="1:6" ht="16" x14ac:dyDescent="0.2">
      <c r="A18" s="61" t="s">
        <v>111</v>
      </c>
      <c r="B18" s="63">
        <v>4058</v>
      </c>
      <c r="C18" s="63">
        <v>-187</v>
      </c>
      <c r="D18" s="63">
        <v>189</v>
      </c>
      <c r="E18" s="63">
        <v>77</v>
      </c>
    </row>
    <row r="19" spans="1:6" ht="16" x14ac:dyDescent="0.2">
      <c r="A19" s="61" t="s">
        <v>112</v>
      </c>
      <c r="B19" s="62">
        <v>29760</v>
      </c>
      <c r="C19" s="62">
        <v>4368</v>
      </c>
      <c r="D19" s="62">
        <v>9752</v>
      </c>
      <c r="E19" s="62">
        <v>4332</v>
      </c>
    </row>
    <row r="20" spans="1:6" ht="16" x14ac:dyDescent="0.2">
      <c r="A20" s="60" t="s">
        <v>113</v>
      </c>
      <c r="B20" s="61" t="s">
        <v>119</v>
      </c>
      <c r="C20" s="61" t="s">
        <v>119</v>
      </c>
      <c r="D20" s="61" t="s">
        <v>119</v>
      </c>
      <c r="E20" s="61" t="s">
        <v>119</v>
      </c>
    </row>
    <row r="21" spans="1:6" ht="16" x14ac:dyDescent="0.2">
      <c r="A21" s="61" t="s">
        <v>114</v>
      </c>
      <c r="B21" s="64">
        <v>12.05</v>
      </c>
      <c r="C21" s="64">
        <v>1.76</v>
      </c>
      <c r="D21" s="64">
        <v>3.91</v>
      </c>
      <c r="E21" s="64">
        <v>1.76</v>
      </c>
    </row>
    <row r="22" spans="1:6" ht="16" x14ac:dyDescent="0.2">
      <c r="A22" s="61" t="s">
        <v>115</v>
      </c>
      <c r="B22" s="64">
        <v>11.93</v>
      </c>
      <c r="C22" s="64">
        <v>1.74</v>
      </c>
      <c r="D22" s="64">
        <v>3.85</v>
      </c>
      <c r="E22" s="64">
        <v>1.73</v>
      </c>
    </row>
    <row r="23" spans="1:6" ht="16" x14ac:dyDescent="0.2">
      <c r="A23" s="60" t="s">
        <v>116</v>
      </c>
      <c r="B23" s="61" t="s">
        <v>119</v>
      </c>
      <c r="C23" s="61" t="s">
        <v>119</v>
      </c>
      <c r="D23" s="61" t="s">
        <v>119</v>
      </c>
      <c r="E23" s="61" t="s">
        <v>119</v>
      </c>
    </row>
    <row r="24" spans="1:6" ht="16" x14ac:dyDescent="0.2">
      <c r="A24" s="61" t="s">
        <v>117</v>
      </c>
      <c r="B24" s="63">
        <v>2469</v>
      </c>
      <c r="C24" s="63">
        <v>2487</v>
      </c>
      <c r="D24" s="63">
        <v>2496</v>
      </c>
      <c r="E24" s="63">
        <v>2467</v>
      </c>
    </row>
    <row r="25" spans="1:6" ht="16" x14ac:dyDescent="0.2">
      <c r="A25" s="61" t="s">
        <v>118</v>
      </c>
      <c r="B25" s="63">
        <v>2494</v>
      </c>
      <c r="C25" s="63">
        <v>2507</v>
      </c>
      <c r="D25" s="63">
        <v>2535</v>
      </c>
      <c r="E25" s="63">
        <v>2510</v>
      </c>
    </row>
    <row r="26" spans="1:6" ht="16" x14ac:dyDescent="0.2">
      <c r="A26" s="61" t="s">
        <v>133</v>
      </c>
      <c r="B26" s="63">
        <v>1508</v>
      </c>
      <c r="C26" s="63">
        <v>1544</v>
      </c>
      <c r="D26" s="63">
        <v>1174</v>
      </c>
      <c r="E26" s="63">
        <v>1098</v>
      </c>
    </row>
    <row r="28" spans="1:6" ht="17" x14ac:dyDescent="0.2">
      <c r="A28" s="72" t="s">
        <v>134</v>
      </c>
      <c r="B28" s="63">
        <v>-41</v>
      </c>
      <c r="C28" s="63">
        <v>-47</v>
      </c>
      <c r="D28" s="63">
        <v>-54</v>
      </c>
      <c r="E28" s="63">
        <v>-37</v>
      </c>
      <c r="F28" s="63">
        <v>-9</v>
      </c>
    </row>
    <row r="30" spans="1:6" ht="32" x14ac:dyDescent="0.2">
      <c r="A30" s="59" t="s">
        <v>135</v>
      </c>
      <c r="B30" s="58" t="s">
        <v>94</v>
      </c>
      <c r="C30" s="58" t="s">
        <v>95</v>
      </c>
      <c r="D30" s="58" t="s">
        <v>96</v>
      </c>
      <c r="E30" s="58" t="s">
        <v>120</v>
      </c>
    </row>
    <row r="31" spans="1:6" ht="16" x14ac:dyDescent="0.2">
      <c r="A31" s="60" t="s">
        <v>136</v>
      </c>
      <c r="B31" s="61" t="s">
        <v>119</v>
      </c>
      <c r="C31" s="61" t="s">
        <v>119</v>
      </c>
    </row>
    <row r="32" spans="1:6" ht="16" x14ac:dyDescent="0.2">
      <c r="A32" s="61" t="s">
        <v>137</v>
      </c>
      <c r="B32" s="62">
        <v>7280</v>
      </c>
      <c r="C32" s="62">
        <v>3389</v>
      </c>
      <c r="D32" s="62">
        <v>1990</v>
      </c>
      <c r="E32" s="62">
        <v>847</v>
      </c>
    </row>
    <row r="33" spans="1:5" ht="16" x14ac:dyDescent="0.2">
      <c r="A33" s="61" t="s">
        <v>138</v>
      </c>
      <c r="B33" s="63">
        <v>18704</v>
      </c>
      <c r="C33" s="63">
        <v>9907</v>
      </c>
      <c r="D33" s="63">
        <v>19218</v>
      </c>
      <c r="E33" s="63">
        <v>10714</v>
      </c>
    </row>
    <row r="34" spans="1:5" ht="16" x14ac:dyDescent="0.2">
      <c r="A34" s="61" t="s">
        <v>139</v>
      </c>
      <c r="B34" s="63">
        <v>9999</v>
      </c>
      <c r="C34" s="63">
        <v>3827</v>
      </c>
      <c r="D34" s="63">
        <v>4650</v>
      </c>
      <c r="E34" s="63">
        <v>2429</v>
      </c>
    </row>
    <row r="35" spans="1:5" ht="16" x14ac:dyDescent="0.2">
      <c r="A35" s="61" t="s">
        <v>140</v>
      </c>
      <c r="B35" s="63">
        <v>5282</v>
      </c>
      <c r="C35" s="63">
        <v>5159</v>
      </c>
      <c r="D35" s="63">
        <v>2605</v>
      </c>
      <c r="E35" s="63">
        <v>1826</v>
      </c>
    </row>
    <row r="36" spans="1:5" ht="16" x14ac:dyDescent="0.2">
      <c r="A36" s="61" t="s">
        <v>141</v>
      </c>
      <c r="B36" s="63">
        <v>3080</v>
      </c>
      <c r="C36" s="63">
        <v>791</v>
      </c>
      <c r="D36" s="63">
        <v>366</v>
      </c>
      <c r="E36" s="63">
        <v>239</v>
      </c>
    </row>
    <row r="37" spans="1:5" ht="16" x14ac:dyDescent="0.2">
      <c r="A37" s="61" t="s">
        <v>142</v>
      </c>
      <c r="B37" s="63">
        <v>44345</v>
      </c>
      <c r="C37" s="63">
        <v>23073</v>
      </c>
      <c r="D37" s="63">
        <v>28829</v>
      </c>
      <c r="E37" s="63">
        <v>16055</v>
      </c>
    </row>
    <row r="38" spans="1:5" ht="16" x14ac:dyDescent="0.2">
      <c r="A38" s="61" t="s">
        <v>143</v>
      </c>
      <c r="B38" s="63">
        <v>3914</v>
      </c>
      <c r="C38" s="63">
        <v>3807</v>
      </c>
      <c r="D38" s="63">
        <v>2778</v>
      </c>
      <c r="E38" s="63">
        <v>2149</v>
      </c>
    </row>
    <row r="39" spans="1:5" ht="16" x14ac:dyDescent="0.2">
      <c r="A39" s="61" t="s">
        <v>144</v>
      </c>
      <c r="B39" s="63">
        <v>1346</v>
      </c>
      <c r="C39" s="63">
        <v>1038</v>
      </c>
      <c r="D39" s="63">
        <v>829</v>
      </c>
      <c r="E39" s="63">
        <v>707</v>
      </c>
    </row>
    <row r="40" spans="1:5" ht="16" x14ac:dyDescent="0.2">
      <c r="A40" s="61" t="s">
        <v>145</v>
      </c>
      <c r="B40" s="63">
        <v>4430</v>
      </c>
      <c r="C40" s="63">
        <v>4372</v>
      </c>
      <c r="D40" s="63">
        <v>4349</v>
      </c>
      <c r="E40" s="63">
        <v>4193</v>
      </c>
    </row>
    <row r="41" spans="1:5" ht="16" x14ac:dyDescent="0.2">
      <c r="A41" s="61" t="s">
        <v>146</v>
      </c>
      <c r="B41" s="63">
        <v>1112</v>
      </c>
      <c r="C41" s="63">
        <v>1676</v>
      </c>
      <c r="D41" s="63">
        <v>2339</v>
      </c>
      <c r="E41" s="63">
        <v>2737</v>
      </c>
    </row>
    <row r="42" spans="1:5" ht="16" x14ac:dyDescent="0.2">
      <c r="A42" s="61" t="s">
        <v>147</v>
      </c>
      <c r="B42" s="63">
        <v>6081</v>
      </c>
      <c r="C42" s="63">
        <v>3396</v>
      </c>
      <c r="D42" s="63">
        <v>1222</v>
      </c>
      <c r="E42" s="63">
        <v>806</v>
      </c>
    </row>
    <row r="43" spans="1:5" ht="16" x14ac:dyDescent="0.2">
      <c r="A43" s="61" t="s">
        <v>148</v>
      </c>
      <c r="B43" s="63">
        <v>4500</v>
      </c>
      <c r="C43" s="63">
        <v>3820</v>
      </c>
      <c r="D43" s="63">
        <v>3841</v>
      </c>
      <c r="E43" s="63">
        <v>2144</v>
      </c>
    </row>
    <row r="44" spans="1:5" ht="16" x14ac:dyDescent="0.2">
      <c r="A44" s="61" t="s">
        <v>149</v>
      </c>
      <c r="B44" s="63">
        <v>65728</v>
      </c>
      <c r="C44" s="63">
        <v>41182</v>
      </c>
      <c r="D44" s="63">
        <v>44187</v>
      </c>
      <c r="E44" s="63">
        <v>28791</v>
      </c>
    </row>
    <row r="45" spans="1:5" ht="16" x14ac:dyDescent="0.2">
      <c r="A45" s="60" t="s">
        <v>150</v>
      </c>
      <c r="B45" s="61" t="s">
        <v>119</v>
      </c>
      <c r="C45" s="61" t="s">
        <v>119</v>
      </c>
    </row>
    <row r="46" spans="1:5" ht="16" x14ac:dyDescent="0.2">
      <c r="A46" s="61" t="s">
        <v>151</v>
      </c>
      <c r="B46" s="63">
        <v>2699</v>
      </c>
      <c r="C46" s="63">
        <v>1193</v>
      </c>
      <c r="D46" s="63">
        <v>1783</v>
      </c>
      <c r="E46" s="63">
        <v>1149</v>
      </c>
    </row>
    <row r="47" spans="1:5" ht="16" x14ac:dyDescent="0.2">
      <c r="A47" s="61" t="s">
        <v>152</v>
      </c>
      <c r="B47" s="63">
        <v>6682</v>
      </c>
      <c r="C47" s="63">
        <v>4120</v>
      </c>
      <c r="D47" s="63">
        <v>2552</v>
      </c>
      <c r="E47" s="63">
        <v>1777</v>
      </c>
    </row>
    <row r="48" spans="1:5" ht="16" x14ac:dyDescent="0.2">
      <c r="A48" s="61" t="s">
        <v>153</v>
      </c>
      <c r="B48" s="63">
        <v>1250</v>
      </c>
      <c r="C48" s="63">
        <v>1250</v>
      </c>
      <c r="D48" s="63">
        <v>0</v>
      </c>
      <c r="E48" s="63">
        <v>999</v>
      </c>
    </row>
    <row r="49" spans="1:5" ht="16" x14ac:dyDescent="0.2">
      <c r="A49" s="61" t="s">
        <v>154</v>
      </c>
      <c r="B49" s="63">
        <v>10631</v>
      </c>
      <c r="C49" s="63">
        <v>6563</v>
      </c>
      <c r="D49" s="63">
        <v>4335</v>
      </c>
      <c r="E49" s="63">
        <v>3925</v>
      </c>
    </row>
    <row r="50" spans="1:5" ht="16" x14ac:dyDescent="0.2">
      <c r="A50" s="61" t="s">
        <v>155</v>
      </c>
      <c r="B50" s="63">
        <v>8459</v>
      </c>
      <c r="C50" s="63">
        <v>9703</v>
      </c>
      <c r="D50" s="63">
        <v>10946</v>
      </c>
      <c r="E50" s="63">
        <v>5964</v>
      </c>
    </row>
    <row r="51" spans="1:5" ht="16" x14ac:dyDescent="0.2">
      <c r="A51" s="61" t="s">
        <v>156</v>
      </c>
      <c r="B51" s="63">
        <v>1119</v>
      </c>
      <c r="C51" s="63">
        <v>902</v>
      </c>
      <c r="D51" s="63">
        <v>741</v>
      </c>
      <c r="E51" s="63">
        <v>634</v>
      </c>
    </row>
    <row r="52" spans="1:5" ht="16" x14ac:dyDescent="0.2">
      <c r="A52" s="61" t="s">
        <v>157</v>
      </c>
      <c r="B52" s="63">
        <v>2541</v>
      </c>
      <c r="C52" s="63">
        <v>1913</v>
      </c>
      <c r="D52" s="63">
        <v>1553</v>
      </c>
      <c r="E52" s="63">
        <v>1375</v>
      </c>
    </row>
    <row r="53" spans="1:5" ht="16" x14ac:dyDescent="0.2">
      <c r="A53" s="61" t="s">
        <v>158</v>
      </c>
      <c r="B53" s="63">
        <v>22750</v>
      </c>
      <c r="C53" s="63">
        <v>19081</v>
      </c>
      <c r="D53" s="63">
        <v>17575</v>
      </c>
      <c r="E53" s="63">
        <v>11898</v>
      </c>
    </row>
    <row r="54" spans="1:5" ht="16" x14ac:dyDescent="0.2">
      <c r="A54" s="61" t="s">
        <v>159</v>
      </c>
      <c r="B54" s="61" t="s">
        <v>160</v>
      </c>
      <c r="C54" s="61" t="s">
        <v>160</v>
      </c>
      <c r="D54" s="61" t="s">
        <v>160</v>
      </c>
      <c r="E54" s="61" t="s">
        <v>160</v>
      </c>
    </row>
    <row r="55" spans="1:5" ht="16" x14ac:dyDescent="0.2">
      <c r="A55" s="60" t="s">
        <v>161</v>
      </c>
      <c r="B55" s="61" t="s">
        <v>119</v>
      </c>
      <c r="C55" s="61" t="s">
        <v>119</v>
      </c>
    </row>
    <row r="56" spans="1:5" ht="32" x14ac:dyDescent="0.2">
      <c r="A56" s="61" t="s">
        <v>162</v>
      </c>
      <c r="B56" s="63">
        <v>0</v>
      </c>
      <c r="C56" s="63">
        <v>0</v>
      </c>
      <c r="D56" s="63">
        <v>0</v>
      </c>
      <c r="E56" s="63">
        <v>0</v>
      </c>
    </row>
    <row r="57" spans="1:5" ht="48" x14ac:dyDescent="0.2">
      <c r="A57" s="61" t="s">
        <v>163</v>
      </c>
      <c r="B57" s="63">
        <v>2</v>
      </c>
      <c r="C57" s="63">
        <v>2</v>
      </c>
      <c r="D57" s="63">
        <v>3</v>
      </c>
      <c r="E57" s="63">
        <v>3</v>
      </c>
    </row>
    <row r="58" spans="1:5" ht="16" x14ac:dyDescent="0.2">
      <c r="A58" s="61" t="s">
        <v>164</v>
      </c>
      <c r="B58" s="63">
        <v>13132</v>
      </c>
      <c r="C58" s="63">
        <v>11971</v>
      </c>
      <c r="D58" s="63">
        <v>10385</v>
      </c>
      <c r="E58" s="63">
        <v>8719</v>
      </c>
    </row>
    <row r="59" spans="1:5" ht="16" x14ac:dyDescent="0.2">
      <c r="A59" s="61" t="s">
        <v>165</v>
      </c>
      <c r="B59" s="63">
        <v>27</v>
      </c>
      <c r="C59" s="63">
        <v>-43</v>
      </c>
      <c r="D59" s="63">
        <v>0</v>
      </c>
      <c r="E59" s="63">
        <v>-10756</v>
      </c>
    </row>
    <row r="60" spans="1:5" ht="16" x14ac:dyDescent="0.2">
      <c r="A60" s="61" t="s">
        <v>166</v>
      </c>
      <c r="B60" s="63">
        <v>29817</v>
      </c>
      <c r="C60" s="63">
        <v>10171</v>
      </c>
      <c r="D60" s="63">
        <v>-11</v>
      </c>
      <c r="E60" s="63">
        <v>19</v>
      </c>
    </row>
    <row r="61" spans="1:5" ht="16" x14ac:dyDescent="0.2">
      <c r="A61" s="61" t="s">
        <v>167</v>
      </c>
      <c r="B61" s="63">
        <v>42978</v>
      </c>
      <c r="C61" s="63">
        <v>22101</v>
      </c>
      <c r="D61" s="63">
        <v>16235</v>
      </c>
      <c r="E61" s="63">
        <v>18908</v>
      </c>
    </row>
    <row r="62" spans="1:5" ht="16" x14ac:dyDescent="0.2">
      <c r="A62" s="61" t="s">
        <v>168</v>
      </c>
      <c r="B62" s="62">
        <v>65728</v>
      </c>
      <c r="C62" s="62">
        <v>41182</v>
      </c>
      <c r="D62" s="63">
        <v>26612</v>
      </c>
      <c r="E62" s="63">
        <v>16893</v>
      </c>
    </row>
    <row r="63" spans="1:5" x14ac:dyDescent="0.2">
      <c r="D63" s="62">
        <v>44187</v>
      </c>
      <c r="E63" s="62">
        <v>28791</v>
      </c>
    </row>
  </sheetData>
  <customSheetViews>
    <customSheetView guid="{6B4094F9-123B-C947-912E-6EEE12190E0A}">
      <selection activeCell="G8" sqref="G8"/>
      <pageMargins left="0.7" right="0.7" top="0.75" bottom="0.75" header="0.3" footer="0.3"/>
    </customSheetView>
  </customSheetViews>
  <mergeCells count="2">
    <mergeCell ref="A1:A2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opLeftCell="A15" workbookViewId="0">
      <selection activeCell="B28" sqref="B28"/>
    </sheetView>
    <sheetView tabSelected="1" topLeftCell="A9" workbookViewId="1">
      <selection activeCell="D22" sqref="D22"/>
    </sheetView>
  </sheetViews>
  <sheetFormatPr baseColWidth="10" defaultColWidth="9.1640625" defaultRowHeight="15" x14ac:dyDescent="0.2"/>
  <cols>
    <col min="1" max="1" width="24.33203125" style="1" bestFit="1" customWidth="1"/>
    <col min="2" max="2" width="18.83203125" style="1" bestFit="1" customWidth="1"/>
    <col min="3" max="3" width="8.33203125" style="1" bestFit="1" customWidth="1"/>
    <col min="4" max="16384" width="9.1640625" style="1"/>
  </cols>
  <sheetData>
    <row r="1" spans="1:14" x14ac:dyDescent="0.2">
      <c r="A1" s="12" t="s">
        <v>66</v>
      </c>
      <c r="B1" s="10"/>
      <c r="C1" s="10"/>
      <c r="D1" s="10"/>
      <c r="E1" s="10"/>
      <c r="F1" s="10"/>
    </row>
    <row r="2" spans="1:14" x14ac:dyDescent="0.2">
      <c r="A2" s="1" t="s">
        <v>69</v>
      </c>
    </row>
    <row r="4" spans="1:14" x14ac:dyDescent="0.2">
      <c r="A4" s="1" t="s">
        <v>70</v>
      </c>
    </row>
    <row r="5" spans="1:14" x14ac:dyDescent="0.2">
      <c r="A5" s="1" t="s">
        <v>71</v>
      </c>
    </row>
    <row r="6" spans="1:14" x14ac:dyDescent="0.2">
      <c r="A6" s="1" t="s">
        <v>72</v>
      </c>
    </row>
    <row r="8" spans="1:14" x14ac:dyDescent="0.2">
      <c r="A8" s="1" t="s">
        <v>73</v>
      </c>
    </row>
    <row r="10" spans="1:14" x14ac:dyDescent="0.2">
      <c r="A10" s="1" t="s">
        <v>67</v>
      </c>
    </row>
    <row r="11" spans="1:14" x14ac:dyDescent="0.2">
      <c r="A11" s="1" t="s">
        <v>68</v>
      </c>
    </row>
    <row r="13" spans="1:14" ht="24" x14ac:dyDescent="0.3">
      <c r="A13" s="29" t="s">
        <v>53</v>
      </c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x14ac:dyDescent="0.2">
      <c r="A14" s="9" t="s">
        <v>81</v>
      </c>
    </row>
    <row r="15" spans="1:14" x14ac:dyDescent="0.2">
      <c r="A15" s="9" t="s">
        <v>59</v>
      </c>
      <c r="B15" s="1" t="s">
        <v>85</v>
      </c>
    </row>
    <row r="16" spans="1:14" x14ac:dyDescent="0.2">
      <c r="A16" s="9"/>
    </row>
    <row r="17" spans="1:14" x14ac:dyDescent="0.2">
      <c r="A17" s="9" t="s">
        <v>86</v>
      </c>
    </row>
    <row r="18" spans="1:14" x14ac:dyDescent="0.2">
      <c r="A18" s="9"/>
    </row>
    <row r="19" spans="1:14" x14ac:dyDescent="0.2">
      <c r="A19" s="4" t="s">
        <v>17</v>
      </c>
      <c r="B19" s="2" t="s">
        <v>121</v>
      </c>
    </row>
    <row r="20" spans="1:14" x14ac:dyDescent="0.2">
      <c r="A20" s="4" t="s">
        <v>16</v>
      </c>
      <c r="B20" s="2" t="s">
        <v>122</v>
      </c>
    </row>
    <row r="21" spans="1:14" x14ac:dyDescent="0.2">
      <c r="A21" s="4" t="s">
        <v>36</v>
      </c>
      <c r="B21" s="30">
        <v>116</v>
      </c>
    </row>
    <row r="22" spans="1:14" x14ac:dyDescent="0.2">
      <c r="A22" s="4" t="s">
        <v>15</v>
      </c>
      <c r="B22" s="23">
        <v>1.6E-2</v>
      </c>
      <c r="D22" s="1" t="s">
        <v>123</v>
      </c>
    </row>
    <row r="23" spans="1:14" x14ac:dyDescent="0.2">
      <c r="A23" s="4" t="s">
        <v>26</v>
      </c>
      <c r="B23" s="23">
        <v>4.5999999999999999E-2</v>
      </c>
      <c r="D23" s="1" t="s">
        <v>131</v>
      </c>
    </row>
    <row r="24" spans="1:14" x14ac:dyDescent="0.2">
      <c r="A24" s="4" t="s">
        <v>25</v>
      </c>
      <c r="B24" s="23">
        <v>3.8800000000000001E-2</v>
      </c>
      <c r="D24" s="1" t="s">
        <v>87</v>
      </c>
    </row>
    <row r="25" spans="1:14" x14ac:dyDescent="0.2">
      <c r="A25" s="12" t="s">
        <v>18</v>
      </c>
      <c r="B25" s="13">
        <f>'FV Calculation'!B15</f>
        <v>2.5449215930268988E-2</v>
      </c>
    </row>
    <row r="27" spans="1:14" x14ac:dyDescent="0.2">
      <c r="A27" s="24" t="s">
        <v>35</v>
      </c>
      <c r="B27" s="25">
        <f>'FV Calculation'!$B$11/'FV Calculation'!$B$32</f>
        <v>126.59636739901883</v>
      </c>
    </row>
    <row r="28" spans="1:14" x14ac:dyDescent="0.2">
      <c r="A28" s="24" t="s">
        <v>37</v>
      </c>
      <c r="B28" s="26">
        <f>(B27-B21)/B21</f>
        <v>9.1347994819127851E-2</v>
      </c>
    </row>
    <row r="31" spans="1:14" ht="24" x14ac:dyDescent="0.3">
      <c r="A31" s="29" t="s">
        <v>63</v>
      </c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3" spans="1:2" x14ac:dyDescent="0.2">
      <c r="A33" s="1" t="s">
        <v>65</v>
      </c>
      <c r="B33" s="1" t="s">
        <v>64</v>
      </c>
    </row>
    <row r="35" spans="1:2" x14ac:dyDescent="0.2">
      <c r="A35" s="1" t="s">
        <v>52</v>
      </c>
      <c r="B35" s="1" t="s">
        <v>74</v>
      </c>
    </row>
  </sheetData>
  <customSheetViews>
    <customSheetView guid="{6B4094F9-123B-C947-912E-6EEE12190E0A}" showGridLines="0" topLeftCell="A15">
      <selection activeCell="B28" sqref="B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opLeftCell="B41" zoomScale="136" zoomScaleNormal="115" workbookViewId="0">
      <pane ySplit="5320" topLeftCell="A22"/>
      <selection activeCell="G48" sqref="G48:J48"/>
      <selection pane="bottomLeft" activeCell="A21" sqref="A21"/>
    </sheetView>
    <sheetView topLeftCell="A21" workbookViewId="1">
      <selection activeCell="F28" sqref="F28"/>
    </sheetView>
  </sheetViews>
  <sheetFormatPr baseColWidth="10" defaultColWidth="9.1640625" defaultRowHeight="15" x14ac:dyDescent="0.2"/>
  <cols>
    <col min="1" max="1" width="40.6640625" style="1" customWidth="1"/>
    <col min="2" max="2" width="10.6640625" style="1" bestFit="1" customWidth="1"/>
    <col min="3" max="6" width="9.1640625" style="1"/>
    <col min="7" max="7" width="10" style="1" bestFit="1" customWidth="1"/>
    <col min="8" max="11" width="9.1640625" style="1"/>
    <col min="12" max="12" width="48.1640625" style="1" customWidth="1"/>
    <col min="13" max="16384" width="9.1640625" style="1"/>
  </cols>
  <sheetData>
    <row r="1" spans="1:12" s="28" customFormat="1" ht="24" x14ac:dyDescent="0.3">
      <c r="A1" s="34" t="s">
        <v>43</v>
      </c>
    </row>
    <row r="2" spans="1:12" x14ac:dyDescent="0.2">
      <c r="A2" s="71" t="s">
        <v>132</v>
      </c>
      <c r="B2" s="4" t="s">
        <v>44</v>
      </c>
      <c r="F2" s="4" t="s">
        <v>45</v>
      </c>
    </row>
    <row r="3" spans="1:12" x14ac:dyDescent="0.2">
      <c r="A3" s="10"/>
      <c r="B3" s="37">
        <v>2021</v>
      </c>
      <c r="C3" s="37">
        <v>2022</v>
      </c>
      <c r="D3" s="37">
        <v>2023</v>
      </c>
      <c r="E3" s="37">
        <v>2024</v>
      </c>
      <c r="F3" s="37">
        <v>2025</v>
      </c>
      <c r="G3" s="37">
        <v>2026</v>
      </c>
      <c r="H3" s="37">
        <v>2027</v>
      </c>
      <c r="I3" s="37">
        <v>2028</v>
      </c>
      <c r="J3" s="37">
        <v>2029</v>
      </c>
      <c r="K3" s="10"/>
      <c r="L3" s="12" t="s">
        <v>52</v>
      </c>
    </row>
    <row r="4" spans="1:12" x14ac:dyDescent="0.2">
      <c r="L4" s="1" t="s">
        <v>60</v>
      </c>
    </row>
    <row r="6" spans="1:12" x14ac:dyDescent="0.2">
      <c r="A6" s="74" t="s">
        <v>171</v>
      </c>
      <c r="B6" s="1">
        <v>9834</v>
      </c>
      <c r="C6" s="1">
        <v>15868</v>
      </c>
      <c r="D6" s="1">
        <v>15068</v>
      </c>
      <c r="E6" s="1">
        <v>47405</v>
      </c>
      <c r="F6" s="7">
        <f>E6*(1+F7)</f>
        <v>52145.500000000007</v>
      </c>
      <c r="G6" s="7">
        <f t="shared" ref="G6:J6" si="0">F6*(1+G7)</f>
        <v>57360.05000000001</v>
      </c>
      <c r="H6" s="7">
        <f t="shared" si="0"/>
        <v>63096.055000000015</v>
      </c>
      <c r="I6" s="7">
        <f t="shared" si="0"/>
        <v>69405.660500000027</v>
      </c>
      <c r="J6" s="7">
        <f t="shared" si="0"/>
        <v>76346.226550000036</v>
      </c>
      <c r="L6" s="1" t="s">
        <v>172</v>
      </c>
    </row>
    <row r="7" spans="1:12" x14ac:dyDescent="0.2">
      <c r="A7" s="46" t="s">
        <v>2</v>
      </c>
      <c r="C7" s="11">
        <f>(C6-B6)/B6</f>
        <v>0.61358551962578811</v>
      </c>
      <c r="D7" s="11">
        <f t="shared" ref="D7" si="1">(D6-C6)/C6</f>
        <v>-5.0415931434333247E-2</v>
      </c>
      <c r="E7" s="11">
        <f>(E6-D6)/D6</f>
        <v>2.1460711441465357</v>
      </c>
      <c r="F7" s="56">
        <v>0.1</v>
      </c>
      <c r="G7" s="56">
        <v>0.1</v>
      </c>
      <c r="H7" s="56">
        <v>0.1</v>
      </c>
      <c r="I7" s="56">
        <v>0.1</v>
      </c>
      <c r="J7" s="56">
        <v>0.1</v>
      </c>
    </row>
    <row r="8" spans="1:12" x14ac:dyDescent="0.2">
      <c r="A8" s="74" t="s">
        <v>170</v>
      </c>
      <c r="B8" s="1">
        <v>6841</v>
      </c>
      <c r="C8" s="1">
        <v>11046</v>
      </c>
      <c r="D8" s="1">
        <v>11906</v>
      </c>
      <c r="E8" s="1">
        <v>13517</v>
      </c>
      <c r="F8" s="7">
        <f>E8*(1+F9)</f>
        <v>15219.431826943859</v>
      </c>
      <c r="G8" s="7">
        <f t="shared" ref="G8:J8" si="2">F8*(1+G9)</f>
        <v>17136.280619589532</v>
      </c>
      <c r="H8" s="7">
        <f t="shared" si="2"/>
        <v>19294.551650308658</v>
      </c>
      <c r="I8" s="7">
        <f t="shared" si="2"/>
        <v>21724.651436954926</v>
      </c>
      <c r="J8" s="7">
        <f t="shared" si="2"/>
        <v>24460.816121095912</v>
      </c>
    </row>
    <row r="9" spans="1:12" x14ac:dyDescent="0.2">
      <c r="A9" s="46" t="s">
        <v>2</v>
      </c>
      <c r="C9" s="11">
        <f>(C8-B8)/B8</f>
        <v>0.61467621692734975</v>
      </c>
      <c r="D9" s="11">
        <f t="shared" ref="D9:E9" si="3">(D8-C8)/C8</f>
        <v>7.7856237552055049E-2</v>
      </c>
      <c r="E9" s="11">
        <f t="shared" si="3"/>
        <v>0.13530992776751219</v>
      </c>
      <c r="F9" s="56">
        <f>AVERAGE($C$9:$E$9)-15%</f>
        <v>0.12594746074897231</v>
      </c>
      <c r="G9" s="56">
        <f t="shared" ref="G9:J9" si="4">AVERAGE($C$9:$E$9)-15%</f>
        <v>0.12594746074897231</v>
      </c>
      <c r="H9" s="56">
        <f t="shared" si="4"/>
        <v>0.12594746074897231</v>
      </c>
      <c r="I9" s="56">
        <f t="shared" si="4"/>
        <v>0.12594746074897231</v>
      </c>
      <c r="J9" s="56">
        <f t="shared" si="4"/>
        <v>0.12594746074897231</v>
      </c>
      <c r="L9" s="1" t="s">
        <v>173</v>
      </c>
    </row>
    <row r="10" spans="1:12" x14ac:dyDescent="0.2">
      <c r="A10" s="48" t="s">
        <v>0</v>
      </c>
      <c r="B10" s="5">
        <f>Data!E4</f>
        <v>16675</v>
      </c>
      <c r="C10" s="5">
        <f>Data!D4</f>
        <v>26914</v>
      </c>
      <c r="D10" s="5">
        <f>Data!C4</f>
        <v>26974</v>
      </c>
      <c r="E10" s="5">
        <f>Data!B4</f>
        <v>60922</v>
      </c>
      <c r="F10" s="15">
        <f>F6+F8</f>
        <v>67364.931826943866</v>
      </c>
      <c r="G10" s="15">
        <f t="shared" ref="G10:J10" si="5">G6+G8</f>
        <v>74496.330619589542</v>
      </c>
      <c r="H10" s="15">
        <f t="shared" si="5"/>
        <v>82390.606650308677</v>
      </c>
      <c r="I10" s="15">
        <f t="shared" si="5"/>
        <v>91130.311936954953</v>
      </c>
      <c r="J10" s="15">
        <f t="shared" si="5"/>
        <v>100807.04267109594</v>
      </c>
    </row>
    <row r="11" spans="1:12" x14ac:dyDescent="0.2">
      <c r="A11" s="46" t="s">
        <v>2</v>
      </c>
      <c r="B11" s="14"/>
      <c r="C11" s="38">
        <f>(C10-B10)/B10</f>
        <v>0.61403298350824587</v>
      </c>
      <c r="D11" s="38">
        <f>(D10-C10)/C10</f>
        <v>2.2293230289068887E-3</v>
      </c>
      <c r="E11" s="38">
        <f>(E10-D10)/D10</f>
        <v>1.2585452658115222</v>
      </c>
      <c r="F11" s="40">
        <f>(F10-E10)/E10</f>
        <v>0.10575706357217206</v>
      </c>
      <c r="G11" s="40">
        <f t="shared" ref="G11:J11" si="6">(G10-F10)/F10</f>
        <v>0.1058621837689345</v>
      </c>
      <c r="H11" s="40">
        <f t="shared" si="6"/>
        <v>0.10596865597355015</v>
      </c>
      <c r="I11" s="40">
        <f t="shared" si="6"/>
        <v>0.10607647694281826</v>
      </c>
      <c r="J11" s="40">
        <f t="shared" si="6"/>
        <v>0.10618564260852602</v>
      </c>
    </row>
    <row r="12" spans="1:12" x14ac:dyDescent="0.2">
      <c r="A12" s="44"/>
      <c r="B12" s="2"/>
      <c r="C12" s="2"/>
      <c r="D12" s="2"/>
      <c r="E12" s="2"/>
      <c r="F12" s="16"/>
      <c r="G12" s="16"/>
      <c r="H12" s="16"/>
      <c r="I12" s="16"/>
      <c r="J12" s="16"/>
    </row>
    <row r="13" spans="1:12" x14ac:dyDescent="0.2">
      <c r="A13" s="45" t="s">
        <v>3</v>
      </c>
      <c r="B13" s="70">
        <f>Data!E5</f>
        <v>6279</v>
      </c>
      <c r="C13" s="70">
        <f>Data!D5</f>
        <v>9439</v>
      </c>
      <c r="D13" s="70">
        <f>Data!C5</f>
        <v>11618</v>
      </c>
      <c r="E13" s="70">
        <f>Data!B5</f>
        <v>16621</v>
      </c>
      <c r="F13" s="15">
        <f>F10*F14</f>
        <v>27619.622049046982</v>
      </c>
      <c r="G13" s="15">
        <f>G10*G14</f>
        <v>30543.49555403171</v>
      </c>
      <c r="H13" s="15">
        <f>H10*H14</f>
        <v>33780.148726626554</v>
      </c>
      <c r="I13" s="15">
        <f>I10*I14</f>
        <v>37363.427894151529</v>
      </c>
      <c r="J13" s="15">
        <f>J10*J14</f>
        <v>41330.887495149334</v>
      </c>
    </row>
    <row r="14" spans="1:12" x14ac:dyDescent="0.2">
      <c r="A14" s="46" t="s">
        <v>4</v>
      </c>
      <c r="B14" s="11">
        <f>B13/B10</f>
        <v>0.37655172413793103</v>
      </c>
      <c r="C14" s="52">
        <f>C13/C10</f>
        <v>0.35070966783086871</v>
      </c>
      <c r="D14" s="52">
        <f>D13/D10</f>
        <v>0.43071105509008673</v>
      </c>
      <c r="E14" s="52">
        <f>E13/E10</f>
        <v>0.27282426709563046</v>
      </c>
      <c r="F14" s="39">
        <v>0.41</v>
      </c>
      <c r="G14" s="39">
        <f>F14</f>
        <v>0.41</v>
      </c>
      <c r="H14" s="39">
        <f t="shared" ref="H14:J14" si="7">G14</f>
        <v>0.41</v>
      </c>
      <c r="I14" s="39">
        <f t="shared" si="7"/>
        <v>0.41</v>
      </c>
      <c r="J14" s="39">
        <f t="shared" si="7"/>
        <v>0.41</v>
      </c>
    </row>
    <row r="15" spans="1:12" x14ac:dyDescent="0.2">
      <c r="A15" s="36"/>
      <c r="B15" s="11"/>
      <c r="C15" s="11"/>
      <c r="D15" s="11"/>
      <c r="E15" s="11"/>
      <c r="F15" s="17"/>
      <c r="G15" s="17"/>
      <c r="H15" s="17"/>
      <c r="I15" s="17"/>
      <c r="J15" s="17"/>
    </row>
    <row r="16" spans="1:12" x14ac:dyDescent="0.2">
      <c r="A16" s="48" t="s">
        <v>5</v>
      </c>
      <c r="B16" s="31">
        <f>B10-B13</f>
        <v>10396</v>
      </c>
      <c r="C16" s="31">
        <f t="shared" ref="C16:J16" si="8">C10-C13</f>
        <v>17475</v>
      </c>
      <c r="D16" s="31">
        <f t="shared" si="8"/>
        <v>15356</v>
      </c>
      <c r="E16" s="31">
        <f t="shared" si="8"/>
        <v>44301</v>
      </c>
      <c r="F16" s="43">
        <f t="shared" si="8"/>
        <v>39745.30977789688</v>
      </c>
      <c r="G16" s="43">
        <f t="shared" si="8"/>
        <v>43952.835065557832</v>
      </c>
      <c r="H16" s="43">
        <f t="shared" si="8"/>
        <v>48610.457923682123</v>
      </c>
      <c r="I16" s="43">
        <f t="shared" si="8"/>
        <v>53766.884042803424</v>
      </c>
      <c r="J16" s="43">
        <f t="shared" si="8"/>
        <v>59476.155175946609</v>
      </c>
    </row>
    <row r="17" spans="1:12" x14ac:dyDescent="0.2">
      <c r="A17" s="46" t="s">
        <v>76</v>
      </c>
      <c r="B17" s="35">
        <f>B16/B10</f>
        <v>0.62344827586206897</v>
      </c>
      <c r="C17" s="51">
        <f t="shared" ref="C17:J17" si="9">C16/C10</f>
        <v>0.64929033216913135</v>
      </c>
      <c r="D17" s="51">
        <f t="shared" si="9"/>
        <v>0.56928894490991322</v>
      </c>
      <c r="E17" s="51">
        <f t="shared" si="9"/>
        <v>0.72717573290436954</v>
      </c>
      <c r="F17" s="51">
        <f t="shared" si="9"/>
        <v>0.59</v>
      </c>
      <c r="G17" s="51">
        <f t="shared" si="9"/>
        <v>0.59000000000000008</v>
      </c>
      <c r="H17" s="51">
        <f t="shared" si="9"/>
        <v>0.59000000000000008</v>
      </c>
      <c r="I17" s="51">
        <f t="shared" si="9"/>
        <v>0.59</v>
      </c>
      <c r="J17" s="51">
        <f t="shared" si="9"/>
        <v>0.59000000000000008</v>
      </c>
    </row>
    <row r="18" spans="1:12" x14ac:dyDescent="0.2">
      <c r="A18" s="36"/>
      <c r="B18" s="11"/>
      <c r="C18" s="11"/>
      <c r="D18" s="11"/>
      <c r="E18" s="11"/>
      <c r="F18" s="17"/>
      <c r="G18" s="17"/>
      <c r="H18" s="17"/>
      <c r="I18" s="17"/>
      <c r="J18" s="17"/>
    </row>
    <row r="19" spans="1:12" x14ac:dyDescent="0.2">
      <c r="A19" s="47"/>
      <c r="B19" s="7"/>
      <c r="C19" s="7"/>
      <c r="D19" s="7"/>
      <c r="E19" s="7"/>
      <c r="F19" s="18"/>
      <c r="G19" s="18"/>
      <c r="H19" s="18"/>
      <c r="I19" s="18"/>
      <c r="J19" s="18"/>
    </row>
    <row r="20" spans="1:12" x14ac:dyDescent="0.2">
      <c r="A20" s="46"/>
      <c r="B20" s="11"/>
      <c r="C20" s="11"/>
      <c r="D20" s="11"/>
      <c r="E20" s="11"/>
      <c r="F20" s="19"/>
      <c r="G20" s="19"/>
      <c r="H20" s="19"/>
      <c r="I20" s="19"/>
      <c r="J20" s="19"/>
    </row>
    <row r="21" spans="1:12" x14ac:dyDescent="0.2">
      <c r="A21" s="47" t="s">
        <v>174</v>
      </c>
      <c r="B21" s="7">
        <v>1940</v>
      </c>
      <c r="C21" s="7">
        <v>2166</v>
      </c>
      <c r="D21" s="7">
        <v>2440</v>
      </c>
      <c r="E21" s="7">
        <v>2654</v>
      </c>
      <c r="F21" s="18">
        <f>F10*F22</f>
        <v>5571.7833099824165</v>
      </c>
      <c r="G21" s="18">
        <f>G10*G22</f>
        <v>6161.6244586644571</v>
      </c>
      <c r="H21" s="18">
        <f>H10*H22</f>
        <v>6814.5635211628833</v>
      </c>
      <c r="I21" s="18">
        <f>I10*I22</f>
        <v>7537.428411390888</v>
      </c>
      <c r="J21" s="18">
        <f>J10*J22</f>
        <v>8337.7950908701914</v>
      </c>
    </row>
    <row r="22" spans="1:12" x14ac:dyDescent="0.2">
      <c r="A22" s="46" t="s">
        <v>4</v>
      </c>
      <c r="B22" s="11">
        <f>B21/B10</f>
        <v>0.11634182908545727</v>
      </c>
      <c r="C22" s="11">
        <f>C21/C10</f>
        <v>8.0478561343538674E-2</v>
      </c>
      <c r="D22" s="11">
        <f>D21/D10</f>
        <v>9.0457477570994288E-2</v>
      </c>
      <c r="E22" s="11">
        <f>E21/E10</f>
        <v>4.3563901382095135E-2</v>
      </c>
      <c r="F22" s="19">
        <f>AVERAGE($B$22:$E$22)</f>
        <v>8.2710442345521343E-2</v>
      </c>
      <c r="G22" s="19">
        <f t="shared" ref="G22:J22" si="10">AVERAGE($B$22:$E$22)</f>
        <v>8.2710442345521343E-2</v>
      </c>
      <c r="H22" s="19">
        <f t="shared" si="10"/>
        <v>8.2710442345521343E-2</v>
      </c>
      <c r="I22" s="19">
        <f t="shared" si="10"/>
        <v>8.2710442345521343E-2</v>
      </c>
      <c r="J22" s="19">
        <f t="shared" si="10"/>
        <v>8.2710442345521343E-2</v>
      </c>
    </row>
    <row r="23" spans="1:12" x14ac:dyDescent="0.2">
      <c r="A23" s="45" t="s">
        <v>6</v>
      </c>
      <c r="B23" s="31">
        <f>SUM(B19,B21)</f>
        <v>1940</v>
      </c>
      <c r="C23" s="31">
        <f>SUM(C19,C21)</f>
        <v>2166</v>
      </c>
      <c r="D23" s="31">
        <f>SUM(D19,D21)</f>
        <v>2440</v>
      </c>
      <c r="E23" s="31">
        <f>SUM(E19,E21)</f>
        <v>2654</v>
      </c>
      <c r="F23" s="15">
        <f>AVERAGE($B$24:$E$24)*F10</f>
        <v>5571.7833099824165</v>
      </c>
      <c r="G23" s="15">
        <f>AVERAGE($B$24:$E$24)*G10</f>
        <v>6161.6244586644571</v>
      </c>
      <c r="H23" s="15">
        <f>AVERAGE($B$24:$E$24)*H10</f>
        <v>6814.5635211628833</v>
      </c>
      <c r="I23" s="15">
        <f>AVERAGE($B$24:$E$24)*I10</f>
        <v>7537.428411390888</v>
      </c>
      <c r="J23" s="15">
        <f>AVERAGE($B$24:$E$24)*J10</f>
        <v>8337.7950908701914</v>
      </c>
    </row>
    <row r="24" spans="1:12" x14ac:dyDescent="0.2">
      <c r="A24" s="46" t="s">
        <v>4</v>
      </c>
      <c r="B24" s="11">
        <f t="shared" ref="B24:J24" si="11">B23/B10</f>
        <v>0.11634182908545727</v>
      </c>
      <c r="C24" s="11">
        <f t="shared" si="11"/>
        <v>8.0478561343538674E-2</v>
      </c>
      <c r="D24" s="11">
        <f t="shared" si="11"/>
        <v>9.0457477570994288E-2</v>
      </c>
      <c r="E24" s="11">
        <f t="shared" si="11"/>
        <v>4.3563901382095135E-2</v>
      </c>
      <c r="F24" s="40">
        <f t="shared" si="11"/>
        <v>8.2710442345521343E-2</v>
      </c>
      <c r="G24" s="40">
        <f t="shared" si="11"/>
        <v>8.2710442345521343E-2</v>
      </c>
      <c r="H24" s="40">
        <f t="shared" si="11"/>
        <v>8.2710442345521343E-2</v>
      </c>
      <c r="I24" s="40">
        <f t="shared" si="11"/>
        <v>8.2710442345521343E-2</v>
      </c>
      <c r="J24" s="40">
        <f t="shared" si="11"/>
        <v>8.2710442345521343E-2</v>
      </c>
    </row>
    <row r="25" spans="1:12" x14ac:dyDescent="0.2">
      <c r="A25" s="46"/>
      <c r="B25" s="11"/>
      <c r="C25" s="11"/>
      <c r="D25" s="11"/>
      <c r="E25" s="11"/>
      <c r="F25" s="40"/>
      <c r="G25" s="40"/>
      <c r="H25" s="40"/>
      <c r="I25" s="40"/>
      <c r="J25" s="40"/>
    </row>
    <row r="26" spans="1:12" x14ac:dyDescent="0.2">
      <c r="A26" s="45" t="s">
        <v>7</v>
      </c>
      <c r="B26" s="49">
        <f>Data!E8</f>
        <v>3924</v>
      </c>
      <c r="C26" s="49">
        <f>Data!D8</f>
        <v>5268</v>
      </c>
      <c r="D26" s="49">
        <f>Data!C8</f>
        <v>7339</v>
      </c>
      <c r="E26" s="49">
        <f>Data!B8</f>
        <v>8675</v>
      </c>
      <c r="F26" s="49">
        <f>E26 * (1 + ((E26-D26)/D26))</f>
        <v>10254.206976427306</v>
      </c>
      <c r="G26" s="49">
        <f t="shared" ref="G26:J26" si="12">F26 * (1 + ((F26-E26)/E26))</f>
        <v>12120.894606963737</v>
      </c>
      <c r="H26" s="49">
        <f t="shared" si="12"/>
        <v>14327.396200491949</v>
      </c>
      <c r="I26" s="49">
        <f t="shared" si="12"/>
        <v>16935.571881627966</v>
      </c>
      <c r="J26" s="49">
        <f t="shared" si="12"/>
        <v>20018.542863213326</v>
      </c>
    </row>
    <row r="27" spans="1:12" x14ac:dyDescent="0.2">
      <c r="A27" s="45"/>
      <c r="B27" s="49"/>
      <c r="C27" s="49"/>
      <c r="D27" s="49"/>
      <c r="E27" s="49"/>
      <c r="F27" s="49"/>
      <c r="G27" s="49"/>
      <c r="H27" s="49"/>
      <c r="I27" s="49"/>
      <c r="J27" s="49"/>
    </row>
    <row r="28" spans="1:12" x14ac:dyDescent="0.2">
      <c r="A28" s="45" t="s">
        <v>8</v>
      </c>
      <c r="B28" s="31">
        <f>Data!E26</f>
        <v>1098</v>
      </c>
      <c r="C28" s="31">
        <f>Data!D26</f>
        <v>1174</v>
      </c>
      <c r="D28" s="31">
        <f>Data!C26</f>
        <v>1544</v>
      </c>
      <c r="E28" s="31">
        <f>Data!B26</f>
        <v>1508</v>
      </c>
      <c r="F28" s="20">
        <f>E28 * (1 + (($E$28-$C$28)/$C$28))</f>
        <v>1937.0221465076659</v>
      </c>
      <c r="G28" s="20">
        <f t="shared" ref="G28:J28" si="13">F28 * (1 + (($E$28-$C$28)/$C$28))</f>
        <v>2488.0999973880407</v>
      </c>
      <c r="H28" s="20">
        <f t="shared" si="13"/>
        <v>3195.9580886381304</v>
      </c>
      <c r="I28" s="20">
        <f t="shared" si="13"/>
        <v>4105.1999980121809</v>
      </c>
      <c r="J28" s="20">
        <f t="shared" si="13"/>
        <v>5273.1189071570425</v>
      </c>
      <c r="L28" s="1" t="s">
        <v>62</v>
      </c>
    </row>
    <row r="29" spans="1:12" x14ac:dyDescent="0.2">
      <c r="A29" s="46" t="s">
        <v>4</v>
      </c>
      <c r="B29" s="11">
        <f t="shared" ref="B29:J29" si="14">B28/B10</f>
        <v>6.5847076461769113E-2</v>
      </c>
      <c r="C29" s="11">
        <f t="shared" si="14"/>
        <v>4.362042059894479E-2</v>
      </c>
      <c r="D29" s="11">
        <f t="shared" si="14"/>
        <v>5.7240305479350488E-2</v>
      </c>
      <c r="E29" s="11">
        <f t="shared" si="14"/>
        <v>2.4752962804898065E-2</v>
      </c>
      <c r="F29" s="41">
        <f t="shared" si="14"/>
        <v>2.8754161757095664E-2</v>
      </c>
      <c r="G29" s="41">
        <f t="shared" si="14"/>
        <v>3.3398960414484771E-2</v>
      </c>
      <c r="H29" s="41">
        <f t="shared" si="14"/>
        <v>3.8790321112730355E-2</v>
      </c>
      <c r="I29" s="41">
        <f t="shared" si="14"/>
        <v>4.5047579787197568E-2</v>
      </c>
      <c r="J29" s="41">
        <f t="shared" si="14"/>
        <v>5.2309032855588231E-2</v>
      </c>
    </row>
    <row r="30" spans="1:12" x14ac:dyDescent="0.2">
      <c r="A30" s="32"/>
      <c r="F30" s="16"/>
      <c r="G30" s="16"/>
      <c r="H30" s="16"/>
      <c r="I30" s="16"/>
      <c r="J30" s="16"/>
    </row>
    <row r="31" spans="1:12" x14ac:dyDescent="0.2">
      <c r="A31" s="48" t="s">
        <v>79</v>
      </c>
      <c r="B31" s="31">
        <f>Data!E19+Data!E14+Data!E18+Data!E26</f>
        <v>5323</v>
      </c>
      <c r="C31" s="31">
        <f>Data!D19+Data!D14+Data!D18+Data!D26</f>
        <v>10879</v>
      </c>
      <c r="D31" s="31">
        <f>Data!C19+Data!C14+Data!C18+Data!C26</f>
        <v>5463</v>
      </c>
      <c r="E31" s="31">
        <f>Data!B19+Data!B14+Data!B18+Data!B26</f>
        <v>35069</v>
      </c>
      <c r="F31" s="15">
        <f>F16-F23</f>
        <v>34173.52646791446</v>
      </c>
      <c r="G31" s="15">
        <f>G16-G23</f>
        <v>37791.210606893379</v>
      </c>
      <c r="H31" s="15">
        <f>H16-H23</f>
        <v>41795.89440251924</v>
      </c>
      <c r="I31" s="15">
        <f>I16-I23</f>
        <v>46229.455631412537</v>
      </c>
      <c r="J31" s="15">
        <f>J16-J23</f>
        <v>51138.36008507642</v>
      </c>
    </row>
    <row r="32" spans="1:12" x14ac:dyDescent="0.2">
      <c r="A32" s="32"/>
      <c r="F32" s="16"/>
      <c r="G32" s="16"/>
      <c r="H32" s="16"/>
      <c r="I32" s="16"/>
      <c r="J32" s="16"/>
    </row>
    <row r="33" spans="1:12" x14ac:dyDescent="0.2">
      <c r="A33" s="48" t="s">
        <v>78</v>
      </c>
      <c r="B33" s="31">
        <f>B31-B28</f>
        <v>4225</v>
      </c>
      <c r="C33" s="31">
        <f t="shared" ref="C33:J33" si="15">C31-C28</f>
        <v>9705</v>
      </c>
      <c r="D33" s="31">
        <f t="shared" si="15"/>
        <v>3919</v>
      </c>
      <c r="E33" s="31">
        <f t="shared" si="15"/>
        <v>33561</v>
      </c>
      <c r="F33" s="15">
        <f t="shared" si="15"/>
        <v>32236.504321406795</v>
      </c>
      <c r="G33" s="15">
        <f t="shared" si="15"/>
        <v>35303.11060950534</v>
      </c>
      <c r="H33" s="15">
        <f t="shared" si="15"/>
        <v>38599.93631388111</v>
      </c>
      <c r="I33" s="15">
        <f t="shared" si="15"/>
        <v>42124.255633400353</v>
      </c>
      <c r="J33" s="15">
        <f t="shared" si="15"/>
        <v>45865.241177919379</v>
      </c>
    </row>
    <row r="34" spans="1:12" x14ac:dyDescent="0.2">
      <c r="A34" s="32"/>
      <c r="F34" s="16"/>
      <c r="G34" s="16"/>
      <c r="H34" s="16"/>
      <c r="I34" s="16"/>
      <c r="J34" s="16"/>
    </row>
    <row r="35" spans="1:12" x14ac:dyDescent="0.2">
      <c r="A35" s="47" t="s">
        <v>38</v>
      </c>
      <c r="B35" s="7">
        <f>Data!E13</f>
        <v>57</v>
      </c>
      <c r="C35" s="7">
        <f>Data!D13</f>
        <v>29</v>
      </c>
      <c r="D35" s="7">
        <f>Data!C13</f>
        <v>267</v>
      </c>
      <c r="E35" s="7">
        <f>Data!B13</f>
        <v>866</v>
      </c>
      <c r="F35" s="20">
        <f>E35</f>
        <v>866</v>
      </c>
      <c r="G35" s="20">
        <f t="shared" ref="G35:J35" si="16">F35</f>
        <v>866</v>
      </c>
      <c r="H35" s="20">
        <f t="shared" si="16"/>
        <v>866</v>
      </c>
      <c r="I35" s="20">
        <f t="shared" si="16"/>
        <v>866</v>
      </c>
      <c r="J35" s="20">
        <f t="shared" si="16"/>
        <v>866</v>
      </c>
      <c r="L35" s="1" t="s">
        <v>61</v>
      </c>
    </row>
    <row r="36" spans="1:12" x14ac:dyDescent="0.2">
      <c r="A36" s="47" t="s">
        <v>39</v>
      </c>
      <c r="B36" s="7">
        <f>Data!E14</f>
        <v>-184</v>
      </c>
      <c r="C36" s="7">
        <f>Data!D14</f>
        <v>-236</v>
      </c>
      <c r="D36" s="7">
        <f>Data!C14</f>
        <v>-262</v>
      </c>
      <c r="E36" s="7">
        <f>Data!B14</f>
        <v>-257</v>
      </c>
      <c r="F36" s="20">
        <f>E36</f>
        <v>-257</v>
      </c>
      <c r="G36" s="20">
        <f t="shared" ref="G36:J36" si="17">F36</f>
        <v>-257</v>
      </c>
      <c r="H36" s="20">
        <f t="shared" si="17"/>
        <v>-257</v>
      </c>
      <c r="I36" s="20">
        <f t="shared" si="17"/>
        <v>-257</v>
      </c>
      <c r="J36" s="20">
        <f t="shared" si="17"/>
        <v>-257</v>
      </c>
    </row>
    <row r="37" spans="1:12" x14ac:dyDescent="0.2">
      <c r="A37" s="45" t="s">
        <v>47</v>
      </c>
      <c r="B37" s="31">
        <f>-1*(B35-B36)</f>
        <v>-241</v>
      </c>
      <c r="C37" s="31">
        <f t="shared" ref="C37:E37" si="18">-1*(C35-C36)</f>
        <v>-265</v>
      </c>
      <c r="D37" s="31">
        <f t="shared" si="18"/>
        <v>-529</v>
      </c>
      <c r="E37" s="31">
        <f t="shared" si="18"/>
        <v>-1123</v>
      </c>
      <c r="F37" s="43">
        <f t="shared" ref="F37" si="19">-1*(F35-F36)</f>
        <v>-1123</v>
      </c>
      <c r="G37" s="43">
        <f t="shared" ref="G37" si="20">-1*(G35-G36)</f>
        <v>-1123</v>
      </c>
      <c r="H37" s="43">
        <f t="shared" ref="H37" si="21">-1*(H35-H36)</f>
        <v>-1123</v>
      </c>
      <c r="I37" s="43">
        <f t="shared" ref="I37" si="22">-1*(I35-I36)</f>
        <v>-1123</v>
      </c>
      <c r="J37" s="43">
        <f t="shared" ref="J37" si="23">-1*(J35-J36)</f>
        <v>-1123</v>
      </c>
    </row>
    <row r="38" spans="1:12" x14ac:dyDescent="0.2">
      <c r="A38" s="32"/>
      <c r="C38" s="4"/>
      <c r="D38" s="4"/>
      <c r="E38" s="4"/>
      <c r="F38" s="16"/>
      <c r="G38" s="16"/>
      <c r="H38" s="16"/>
      <c r="I38" s="16"/>
      <c r="J38" s="16"/>
    </row>
    <row r="39" spans="1:12" x14ac:dyDescent="0.2">
      <c r="A39" s="47" t="s">
        <v>40</v>
      </c>
      <c r="B39" s="7">
        <f>Data!E28-Data!F28</f>
        <v>-28</v>
      </c>
      <c r="C39" s="7">
        <f>Data!D28-Data!E28</f>
        <v>-17</v>
      </c>
      <c r="D39" s="7">
        <f>Data!C28-Data!D28</f>
        <v>7</v>
      </c>
      <c r="E39" s="7">
        <f>Data!B28-Data!C28</f>
        <v>6</v>
      </c>
      <c r="F39" s="21"/>
      <c r="G39" s="21"/>
      <c r="H39" s="21"/>
      <c r="I39" s="21"/>
      <c r="J39" s="21"/>
    </row>
    <row r="40" spans="1:12" x14ac:dyDescent="0.2">
      <c r="A40" s="47" t="s">
        <v>46</v>
      </c>
      <c r="B40" s="7">
        <v>9.5169999999999995</v>
      </c>
      <c r="C40" s="7">
        <v>-18.515999999999998</v>
      </c>
      <c r="D40" s="7">
        <v>-8.0739999999999998</v>
      </c>
      <c r="E40" s="7">
        <v>0</v>
      </c>
      <c r="F40" s="21"/>
      <c r="G40" s="21"/>
      <c r="H40" s="21"/>
      <c r="I40" s="21"/>
      <c r="J40" s="21"/>
    </row>
    <row r="41" spans="1:12" x14ac:dyDescent="0.2">
      <c r="A41" s="47" t="s">
        <v>41</v>
      </c>
      <c r="B41" s="7">
        <v>0</v>
      </c>
      <c r="C41" s="7">
        <v>0</v>
      </c>
      <c r="D41" s="7">
        <v>7.5789999999999997</v>
      </c>
      <c r="E41" s="7">
        <v>0</v>
      </c>
      <c r="F41" s="22"/>
      <c r="G41" s="22"/>
      <c r="H41" s="22"/>
      <c r="I41" s="22"/>
      <c r="J41" s="22"/>
    </row>
    <row r="42" spans="1:12" x14ac:dyDescent="0.2">
      <c r="A42" s="47" t="s">
        <v>42</v>
      </c>
      <c r="B42" s="7">
        <v>7.1999999999999995E-2</v>
      </c>
      <c r="C42" s="7">
        <v>2.3279999999999998</v>
      </c>
      <c r="D42" s="7">
        <v>2.2970000000000002</v>
      </c>
      <c r="E42" s="7">
        <v>1.353</v>
      </c>
      <c r="F42" s="22"/>
      <c r="G42" s="22"/>
      <c r="H42" s="22"/>
      <c r="I42" s="22"/>
      <c r="J42" s="22"/>
    </row>
    <row r="43" spans="1:12" x14ac:dyDescent="0.2">
      <c r="A43" s="45" t="s">
        <v>48</v>
      </c>
      <c r="B43" s="31">
        <f>SUM(B39:B42)</f>
        <v>-18.411000000000001</v>
      </c>
      <c r="C43" s="31">
        <f t="shared" ref="C43:D43" si="24">SUM(C39:C42)</f>
        <v>-33.187999999999995</v>
      </c>
      <c r="D43" s="31">
        <f t="shared" si="24"/>
        <v>8.8019999999999996</v>
      </c>
      <c r="E43" s="31">
        <f>SUM(E39:E42)</f>
        <v>7.3529999999999998</v>
      </c>
      <c r="F43" s="42">
        <v>2</v>
      </c>
      <c r="G43" s="42">
        <f t="shared" ref="G43:J43" si="25">F43</f>
        <v>2</v>
      </c>
      <c r="H43" s="42">
        <f t="shared" si="25"/>
        <v>2</v>
      </c>
      <c r="I43" s="42">
        <f t="shared" si="25"/>
        <v>2</v>
      </c>
      <c r="J43" s="42">
        <f t="shared" si="25"/>
        <v>2</v>
      </c>
    </row>
    <row r="44" spans="1:12" x14ac:dyDescent="0.2">
      <c r="A44" s="32"/>
      <c r="F44" s="18"/>
      <c r="G44" s="18"/>
      <c r="H44" s="18"/>
      <c r="I44" s="18"/>
      <c r="J44" s="18"/>
    </row>
    <row r="45" spans="1:12" x14ac:dyDescent="0.2">
      <c r="A45" s="48" t="s">
        <v>77</v>
      </c>
      <c r="B45" s="7">
        <f t="shared" ref="B45:J45" si="26">B10-SUM(B13, B23, B28, B37, B43)</f>
        <v>7617.4110000000001</v>
      </c>
      <c r="C45" s="7">
        <f t="shared" si="26"/>
        <v>14433.188</v>
      </c>
      <c r="D45" s="7">
        <f t="shared" si="26"/>
        <v>11892.198</v>
      </c>
      <c r="E45" s="7">
        <f t="shared" si="26"/>
        <v>41254.646999999997</v>
      </c>
      <c r="F45" s="18">
        <f t="shared" si="26"/>
        <v>33357.504321406799</v>
      </c>
      <c r="G45" s="18">
        <f t="shared" si="26"/>
        <v>36424.11060950534</v>
      </c>
      <c r="H45" s="18">
        <f t="shared" si="26"/>
        <v>39720.93631388111</v>
      </c>
      <c r="I45" s="18">
        <f t="shared" si="26"/>
        <v>43245.255633400353</v>
      </c>
      <c r="J45" s="18">
        <f t="shared" si="26"/>
        <v>46986.241177919379</v>
      </c>
    </row>
    <row r="46" spans="1:12" x14ac:dyDescent="0.2">
      <c r="A46" s="44"/>
      <c r="F46" s="16"/>
      <c r="G46" s="16"/>
      <c r="H46" s="16"/>
      <c r="I46" s="16"/>
      <c r="J46" s="16"/>
    </row>
    <row r="47" spans="1:12" x14ac:dyDescent="0.2">
      <c r="A47" s="45" t="s">
        <v>49</v>
      </c>
      <c r="B47" s="7">
        <f>Data!E18</f>
        <v>77</v>
      </c>
      <c r="C47" s="7">
        <f>Data!D18</f>
        <v>189</v>
      </c>
      <c r="D47" s="7">
        <f>Data!C18</f>
        <v>-187</v>
      </c>
      <c r="E47" s="7">
        <f>Data!B18</f>
        <v>4058</v>
      </c>
      <c r="F47" s="18">
        <f>IF(F45&lt;0, 0, F48*F31)</f>
        <v>4100.8231761497354</v>
      </c>
      <c r="G47" s="18">
        <f t="shared" ref="G47:J47" si="27">IF(G45&lt;0, 0, G48*G31)</f>
        <v>5479.7255379995395</v>
      </c>
      <c r="H47" s="18">
        <f t="shared" si="27"/>
        <v>7105.3020484282697</v>
      </c>
      <c r="I47" s="18">
        <f t="shared" si="27"/>
        <v>9014.743848125443</v>
      </c>
      <c r="J47" s="18">
        <f t="shared" si="27"/>
        <v>11250.439218716811</v>
      </c>
    </row>
    <row r="48" spans="1:12" x14ac:dyDescent="0.2">
      <c r="A48" s="46" t="s">
        <v>51</v>
      </c>
      <c r="B48" s="11">
        <f>IF(B45 &gt; 0, B47/B31, 0)</f>
        <v>1.4465526958482059E-2</v>
      </c>
      <c r="C48" s="11">
        <f t="shared" ref="C48:E48" si="28">IF(C45 &gt; 0, C47/C31, 0)</f>
        <v>1.7372920305175107E-2</v>
      </c>
      <c r="D48" s="11">
        <f t="shared" si="28"/>
        <v>-3.4230276404905731E-2</v>
      </c>
      <c r="E48" s="11">
        <f t="shared" si="28"/>
        <v>0.1157147338104879</v>
      </c>
      <c r="F48" s="19">
        <v>0.12</v>
      </c>
      <c r="G48" s="19">
        <f>F48+0.025</f>
        <v>0.14499999999999999</v>
      </c>
      <c r="H48" s="19">
        <f>G48+0.025</f>
        <v>0.16999999999999998</v>
      </c>
      <c r="I48" s="19">
        <f>H48+0.025</f>
        <v>0.19499999999999998</v>
      </c>
      <c r="J48" s="19">
        <f>I48+0.025</f>
        <v>0.21999999999999997</v>
      </c>
    </row>
    <row r="49" spans="1:10" x14ac:dyDescent="0.2">
      <c r="A49" s="44"/>
      <c r="F49" s="16"/>
      <c r="G49" s="16"/>
      <c r="H49" s="16"/>
      <c r="I49" s="16"/>
      <c r="J49" s="16"/>
    </row>
    <row r="50" spans="1:10" x14ac:dyDescent="0.2">
      <c r="A50" s="45" t="s">
        <v>84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44"/>
      <c r="F51" s="16"/>
      <c r="G51" s="16"/>
      <c r="H51" s="16"/>
      <c r="I51" s="16"/>
      <c r="J51" s="16"/>
    </row>
    <row r="52" spans="1:10" x14ac:dyDescent="0.2">
      <c r="A52" s="48" t="s">
        <v>50</v>
      </c>
      <c r="B52" s="53">
        <f>B45-B47-B50</f>
        <v>7540.4110000000001</v>
      </c>
      <c r="C52" s="53">
        <f t="shared" ref="C52:H52" si="29">C45-C47-C50</f>
        <v>14244.188</v>
      </c>
      <c r="D52" s="53">
        <f t="shared" si="29"/>
        <v>12079.198</v>
      </c>
      <c r="E52" s="53">
        <f t="shared" si="29"/>
        <v>37196.646999999997</v>
      </c>
      <c r="F52" s="53">
        <f t="shared" si="29"/>
        <v>29256.681145257062</v>
      </c>
      <c r="G52" s="53">
        <f t="shared" si="29"/>
        <v>30944.3850715058</v>
      </c>
      <c r="H52" s="53">
        <f t="shared" si="29"/>
        <v>32615.634265452842</v>
      </c>
      <c r="I52" s="53">
        <f t="shared" ref="I52:J52" si="30">I45-I47</f>
        <v>34230.51178527491</v>
      </c>
      <c r="J52" s="53">
        <f t="shared" si="30"/>
        <v>35735.801959202567</v>
      </c>
    </row>
    <row r="53" spans="1:10" x14ac:dyDescent="0.2">
      <c r="A53" s="2"/>
      <c r="C53" s="3"/>
      <c r="D53" s="3"/>
      <c r="E53" s="3"/>
      <c r="F53" s="6"/>
      <c r="G53" s="6"/>
      <c r="H53" s="6"/>
      <c r="I53" s="6"/>
      <c r="J53" s="6"/>
    </row>
    <row r="54" spans="1:10" x14ac:dyDescent="0.2">
      <c r="A54" s="4"/>
      <c r="F54" s="6"/>
      <c r="G54" s="6"/>
      <c r="H54" s="6"/>
      <c r="I54" s="6"/>
      <c r="J54" s="6"/>
    </row>
    <row r="55" spans="1:10" x14ac:dyDescent="0.2">
      <c r="F55" s="6"/>
      <c r="G55" s="6"/>
      <c r="H55" s="6"/>
      <c r="I55" s="6"/>
      <c r="J55" s="6"/>
    </row>
    <row r="56" spans="1:10" x14ac:dyDescent="0.2">
      <c r="A56" s="4"/>
      <c r="F56" s="6"/>
      <c r="G56" s="6"/>
      <c r="H56" s="6"/>
      <c r="I56" s="6"/>
      <c r="J56" s="6"/>
    </row>
    <row r="57" spans="1:10" x14ac:dyDescent="0.2">
      <c r="F57" s="6"/>
      <c r="G57" s="6"/>
      <c r="H57" s="6"/>
      <c r="I57" s="6"/>
      <c r="J57" s="6"/>
    </row>
    <row r="58" spans="1:10" x14ac:dyDescent="0.2">
      <c r="F58" s="6"/>
      <c r="G58" s="6"/>
      <c r="H58" s="6"/>
      <c r="I58" s="6"/>
      <c r="J58" s="6"/>
    </row>
  </sheetData>
  <customSheetViews>
    <customSheetView guid="{6B4094F9-123B-C947-912E-6EEE12190E0A}" scale="115">
      <pane xSplit="1" topLeftCell="B1" activePane="topRight" state="frozen"/>
      <selection pane="topRight" activeCell="A14" sqref="A1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zoomScale="130" zoomScaleNormal="130" workbookViewId="0">
      <pane xSplit="1" topLeftCell="K1" activePane="topRight" state="frozen"/>
      <selection pane="topRight" activeCell="L11" sqref="L11"/>
    </sheetView>
    <sheetView workbookViewId="1"/>
  </sheetViews>
  <sheetFormatPr baseColWidth="10" defaultColWidth="9.1640625" defaultRowHeight="15" x14ac:dyDescent="0.2"/>
  <cols>
    <col min="1" max="1" width="30.6640625" style="1" customWidth="1"/>
    <col min="2" max="2" width="10" style="1" bestFit="1" customWidth="1"/>
    <col min="3" max="3" width="9.6640625" style="1" bestFit="1" customWidth="1"/>
    <col min="4" max="5" width="9.1640625" style="1"/>
    <col min="6" max="6" width="9.6640625" style="1" bestFit="1" customWidth="1"/>
    <col min="7" max="11" width="9.1640625" style="1"/>
    <col min="12" max="12" width="40.1640625" style="1" customWidth="1"/>
    <col min="13" max="16384" width="9.1640625" style="1"/>
  </cols>
  <sheetData>
    <row r="1" spans="1:14" s="28" customFormat="1" ht="24" x14ac:dyDescent="0.3">
      <c r="A1" s="34" t="s">
        <v>57</v>
      </c>
    </row>
    <row r="2" spans="1:14" x14ac:dyDescent="0.2">
      <c r="A2" s="36" t="s">
        <v>169</v>
      </c>
      <c r="B2" s="4" t="s">
        <v>44</v>
      </c>
      <c r="F2" s="4" t="s">
        <v>45</v>
      </c>
    </row>
    <row r="3" spans="1:14" x14ac:dyDescent="0.2">
      <c r="A3" s="10"/>
      <c r="B3" s="37">
        <f>'Income Statement'!B3</f>
        <v>2021</v>
      </c>
      <c r="C3" s="37">
        <f>'Income Statement'!C3</f>
        <v>2022</v>
      </c>
      <c r="D3" s="37">
        <f>'Income Statement'!D3</f>
        <v>2023</v>
      </c>
      <c r="E3" s="37">
        <f>'Income Statement'!E3</f>
        <v>2024</v>
      </c>
      <c r="F3" s="37">
        <f>'Income Statement'!F3</f>
        <v>2025</v>
      </c>
      <c r="G3" s="37">
        <f>'Income Statement'!G3</f>
        <v>2026</v>
      </c>
      <c r="H3" s="37">
        <f>'Income Statement'!H3</f>
        <v>2027</v>
      </c>
      <c r="I3" s="37">
        <f>'Income Statement'!I3</f>
        <v>2028</v>
      </c>
      <c r="J3" s="37">
        <f>'Income Statement'!J3</f>
        <v>2029</v>
      </c>
      <c r="K3" s="10"/>
      <c r="L3" s="10" t="s">
        <v>52</v>
      </c>
      <c r="M3" s="10"/>
      <c r="N3" s="10"/>
    </row>
    <row r="5" spans="1:14" x14ac:dyDescent="0.2">
      <c r="A5" s="47" t="s">
        <v>89</v>
      </c>
      <c r="B5" s="73">
        <f>Data!E34</f>
        <v>2429</v>
      </c>
      <c r="C5" s="73">
        <f>Data!D34</f>
        <v>4650</v>
      </c>
      <c r="D5" s="73">
        <f>Data!C34</f>
        <v>3827</v>
      </c>
      <c r="E5" s="73">
        <f>Data!B34</f>
        <v>9999</v>
      </c>
      <c r="F5" s="55">
        <f>AVERAGE(B5:E5)</f>
        <v>5226.25</v>
      </c>
      <c r="G5" s="55">
        <f t="shared" ref="G5:J7" si="0">AVERAGE(C5:F5)</f>
        <v>5925.5625</v>
      </c>
      <c r="H5" s="55">
        <f t="shared" si="0"/>
        <v>6244.453125</v>
      </c>
      <c r="I5" s="55">
        <f t="shared" si="0"/>
        <v>6848.81640625</v>
      </c>
      <c r="J5" s="55">
        <f t="shared" si="0"/>
        <v>6061.2705078125</v>
      </c>
    </row>
    <row r="6" spans="1:14" x14ac:dyDescent="0.2">
      <c r="A6" s="47" t="s">
        <v>90</v>
      </c>
      <c r="B6" s="7">
        <f>Data!E35</f>
        <v>1826</v>
      </c>
      <c r="C6" s="7">
        <f>Data!D35</f>
        <v>2605</v>
      </c>
      <c r="D6" s="7">
        <f>Data!C35</f>
        <v>5159</v>
      </c>
      <c r="E6" s="7">
        <f>Data!B35</f>
        <v>5282</v>
      </c>
      <c r="F6" s="55">
        <f t="shared" ref="F6:F7" si="1">AVERAGE(B6:E6)</f>
        <v>3718</v>
      </c>
      <c r="G6" s="55">
        <f t="shared" si="0"/>
        <v>4191</v>
      </c>
      <c r="H6" s="55">
        <f t="shared" si="0"/>
        <v>4587.5</v>
      </c>
      <c r="I6" s="55">
        <f t="shared" si="0"/>
        <v>4444.625</v>
      </c>
      <c r="J6" s="55">
        <f t="shared" si="0"/>
        <v>4235.28125</v>
      </c>
    </row>
    <row r="7" spans="1:14" x14ac:dyDescent="0.2">
      <c r="A7" s="47" t="s">
        <v>80</v>
      </c>
      <c r="B7" s="7">
        <f>Data!E46</f>
        <v>1149</v>
      </c>
      <c r="C7" s="7">
        <f>Data!D46</f>
        <v>1783</v>
      </c>
      <c r="D7" s="7">
        <f>Data!C46</f>
        <v>1193</v>
      </c>
      <c r="E7" s="7">
        <f>Data!B46</f>
        <v>2699</v>
      </c>
      <c r="F7" s="55">
        <f t="shared" si="1"/>
        <v>1706</v>
      </c>
      <c r="G7" s="55">
        <f t="shared" si="0"/>
        <v>1845.25</v>
      </c>
      <c r="H7" s="55">
        <f t="shared" si="0"/>
        <v>1860.8125</v>
      </c>
      <c r="I7" s="55">
        <f t="shared" si="0"/>
        <v>2027.765625</v>
      </c>
      <c r="J7" s="55">
        <f t="shared" si="0"/>
        <v>1859.95703125</v>
      </c>
    </row>
    <row r="8" spans="1:14" x14ac:dyDescent="0.2">
      <c r="A8" s="32" t="s">
        <v>91</v>
      </c>
      <c r="B8" s="7">
        <f>SUM(B5:B6) - B7</f>
        <v>3106</v>
      </c>
      <c r="C8" s="7">
        <f t="shared" ref="C8:J8" si="2">SUM(C5:C6) - C7</f>
        <v>5472</v>
      </c>
      <c r="D8" s="7">
        <f t="shared" si="2"/>
        <v>7793</v>
      </c>
      <c r="E8" s="7">
        <f t="shared" si="2"/>
        <v>12582</v>
      </c>
      <c r="F8" s="55">
        <f t="shared" si="2"/>
        <v>7238.25</v>
      </c>
      <c r="G8" s="55">
        <f t="shared" si="2"/>
        <v>8271.3125</v>
      </c>
      <c r="H8" s="55">
        <f t="shared" si="2"/>
        <v>8971.140625</v>
      </c>
      <c r="I8" s="55">
        <f t="shared" si="2"/>
        <v>9265.67578125</v>
      </c>
      <c r="J8" s="55">
        <f t="shared" si="2"/>
        <v>8436.5947265625</v>
      </c>
    </row>
    <row r="9" spans="1:14" x14ac:dyDescent="0.2">
      <c r="A9" s="4"/>
      <c r="B9" s="7"/>
      <c r="C9" s="7"/>
      <c r="D9" s="7"/>
      <c r="E9" s="7"/>
      <c r="F9" s="55"/>
      <c r="G9" s="55"/>
      <c r="H9" s="55"/>
      <c r="I9" s="55"/>
      <c r="J9" s="55"/>
    </row>
    <row r="10" spans="1:14" x14ac:dyDescent="0.2">
      <c r="A10" s="32" t="s">
        <v>10</v>
      </c>
      <c r="B10" s="7"/>
      <c r="C10" s="7">
        <f>B$8-C$8</f>
        <v>-2366</v>
      </c>
      <c r="D10" s="7">
        <f t="shared" ref="D10:J10" si="3">C$8-D$8</f>
        <v>-2321</v>
      </c>
      <c r="E10" s="7">
        <f t="shared" si="3"/>
        <v>-4789</v>
      </c>
      <c r="F10" s="7">
        <f t="shared" si="3"/>
        <v>5343.75</v>
      </c>
      <c r="G10" s="55">
        <f t="shared" si="3"/>
        <v>-1033.0625</v>
      </c>
      <c r="H10" s="55">
        <f t="shared" si="3"/>
        <v>-699.828125</v>
      </c>
      <c r="I10" s="55">
        <f t="shared" si="3"/>
        <v>-294.53515625</v>
      </c>
      <c r="J10" s="55">
        <f t="shared" si="3"/>
        <v>829.0810546875</v>
      </c>
      <c r="L10" s="1" t="s">
        <v>175</v>
      </c>
    </row>
    <row r="11" spans="1:14" x14ac:dyDescent="0.2">
      <c r="A11" s="50"/>
      <c r="F11" s="55"/>
      <c r="G11" s="55"/>
      <c r="H11" s="55"/>
      <c r="I11" s="55"/>
      <c r="J11" s="55"/>
    </row>
    <row r="12" spans="1:14" x14ac:dyDescent="0.2">
      <c r="A12" s="48"/>
      <c r="F12" s="55"/>
      <c r="G12" s="55"/>
      <c r="H12" s="55"/>
      <c r="I12" s="55"/>
      <c r="J12" s="55"/>
    </row>
    <row r="13" spans="1:14" x14ac:dyDescent="0.2">
      <c r="A13" s="4"/>
      <c r="F13" s="6"/>
      <c r="G13" s="6"/>
      <c r="H13" s="6"/>
      <c r="I13" s="6"/>
      <c r="J13" s="6"/>
    </row>
    <row r="14" spans="1:14" x14ac:dyDescent="0.2">
      <c r="A14" s="47"/>
      <c r="F14" s="55"/>
      <c r="G14" s="55"/>
      <c r="H14" s="55"/>
      <c r="I14" s="55"/>
      <c r="J14" s="55"/>
    </row>
    <row r="15" spans="1:14" x14ac:dyDescent="0.2">
      <c r="A15" s="47"/>
      <c r="F15" s="55"/>
      <c r="G15" s="55"/>
      <c r="H15" s="55"/>
      <c r="I15" s="55"/>
      <c r="J15" s="55"/>
    </row>
    <row r="16" spans="1:14" x14ac:dyDescent="0.2">
      <c r="A16" s="47"/>
      <c r="F16" s="55"/>
      <c r="G16" s="55"/>
      <c r="H16" s="55"/>
      <c r="I16" s="55"/>
      <c r="J16" s="55"/>
    </row>
    <row r="17" spans="1:10" x14ac:dyDescent="0.2">
      <c r="A17" s="47"/>
      <c r="F17" s="55"/>
      <c r="G17" s="55"/>
      <c r="H17" s="55"/>
      <c r="I17" s="55"/>
      <c r="J17" s="55"/>
    </row>
    <row r="18" spans="1:10" x14ac:dyDescent="0.2">
      <c r="A18" s="47"/>
      <c r="F18" s="6"/>
      <c r="G18" s="6"/>
      <c r="H18" s="6"/>
      <c r="I18" s="6"/>
      <c r="J18" s="6"/>
    </row>
    <row r="19" spans="1:10" x14ac:dyDescent="0.2">
      <c r="A19" s="47"/>
      <c r="F19" s="55"/>
      <c r="G19" s="55"/>
      <c r="H19" s="55"/>
      <c r="I19" s="55"/>
      <c r="J19" s="55"/>
    </row>
    <row r="20" spans="1:10" x14ac:dyDescent="0.2">
      <c r="A20" s="50"/>
      <c r="B20" s="7"/>
      <c r="C20" s="7"/>
      <c r="D20" s="7"/>
      <c r="E20" s="7"/>
      <c r="F20" s="55"/>
      <c r="G20" s="55"/>
      <c r="H20" s="55"/>
      <c r="I20" s="55"/>
      <c r="J20" s="55"/>
    </row>
    <row r="21" spans="1:10" x14ac:dyDescent="0.2">
      <c r="F21" s="6"/>
      <c r="G21" s="6"/>
      <c r="H21" s="6"/>
      <c r="I21" s="6"/>
      <c r="J21" s="6"/>
    </row>
    <row r="22" spans="1:10" x14ac:dyDescent="0.2">
      <c r="A22" s="47"/>
      <c r="F22" s="55"/>
      <c r="G22" s="55"/>
      <c r="H22" s="55"/>
      <c r="I22" s="55"/>
      <c r="J22" s="55"/>
    </row>
    <row r="23" spans="1:10" x14ac:dyDescent="0.2">
      <c r="A23" s="47"/>
      <c r="F23" s="55"/>
      <c r="G23" s="55"/>
      <c r="H23" s="55"/>
      <c r="I23" s="55"/>
      <c r="J23" s="55"/>
    </row>
    <row r="24" spans="1:10" x14ac:dyDescent="0.2">
      <c r="A24" s="47"/>
      <c r="F24" s="55"/>
      <c r="G24" s="55"/>
      <c r="H24" s="55"/>
      <c r="I24" s="55"/>
      <c r="J24" s="55"/>
    </row>
    <row r="25" spans="1:10" x14ac:dyDescent="0.2">
      <c r="A25" s="50"/>
      <c r="F25" s="6"/>
      <c r="G25" s="6"/>
      <c r="H25" s="6"/>
      <c r="I25" s="6"/>
      <c r="J25" s="6"/>
    </row>
    <row r="26" spans="1:10" x14ac:dyDescent="0.2">
      <c r="A26" s="48"/>
      <c r="F26" s="6"/>
      <c r="G26" s="6"/>
      <c r="H26" s="6"/>
      <c r="I26" s="6"/>
      <c r="J26" s="6"/>
    </row>
    <row r="27" spans="1:10" x14ac:dyDescent="0.2">
      <c r="A27" s="50"/>
      <c r="F27" s="55"/>
      <c r="G27" s="55"/>
      <c r="H27" s="55"/>
      <c r="I27" s="55"/>
      <c r="J27" s="55"/>
    </row>
    <row r="28" spans="1:10" x14ac:dyDescent="0.2">
      <c r="A28" s="47"/>
      <c r="F28" s="55"/>
      <c r="G28" s="55"/>
      <c r="H28" s="55"/>
      <c r="I28" s="55"/>
      <c r="J28" s="55"/>
    </row>
    <row r="29" spans="1:10" x14ac:dyDescent="0.2">
      <c r="A29" s="50"/>
      <c r="F29" s="55"/>
      <c r="G29" s="55"/>
      <c r="H29" s="55"/>
      <c r="I29" s="55"/>
      <c r="J29" s="55"/>
    </row>
    <row r="30" spans="1:10" x14ac:dyDescent="0.2">
      <c r="A30" s="50"/>
      <c r="F30" s="55"/>
      <c r="G30" s="55"/>
      <c r="H30" s="55"/>
      <c r="I30" s="55"/>
      <c r="J30" s="55"/>
    </row>
    <row r="31" spans="1:10" x14ac:dyDescent="0.2">
      <c r="A31" s="47"/>
      <c r="F31" s="55"/>
      <c r="G31" s="55"/>
      <c r="H31" s="55"/>
      <c r="I31" s="55"/>
      <c r="J31" s="55"/>
    </row>
    <row r="32" spans="1:10" x14ac:dyDescent="0.2">
      <c r="F32" s="6"/>
      <c r="G32" s="6"/>
      <c r="H32" s="6"/>
      <c r="I32" s="6"/>
      <c r="J32" s="6"/>
    </row>
    <row r="33" spans="1:10" x14ac:dyDescent="0.2">
      <c r="A33" s="50"/>
      <c r="F33" s="55"/>
      <c r="G33" s="55"/>
      <c r="H33" s="55"/>
      <c r="I33" s="55"/>
      <c r="J33" s="55"/>
    </row>
    <row r="34" spans="1:10" x14ac:dyDescent="0.2">
      <c r="F34" s="6"/>
      <c r="G34" s="6"/>
      <c r="H34" s="6"/>
      <c r="I34" s="6"/>
      <c r="J34" s="6"/>
    </row>
  </sheetData>
  <customSheetViews>
    <customSheetView guid="{6B4094F9-123B-C947-912E-6EEE12190E0A}" scale="130">
      <pane xSplit="1" topLeftCell="B1" activePane="topRight" state="frozen"/>
      <selection pane="topRight" activeCell="D5" sqref="D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pane xSplit="1" topLeftCell="D1" activePane="topRight" state="frozen"/>
      <selection activeCell="A2" sqref="A2"/>
      <selection pane="topRight" activeCell="H10" sqref="H10"/>
    </sheetView>
    <sheetView workbookViewId="1">
      <selection activeCell="B10" sqref="B10"/>
    </sheetView>
  </sheetViews>
  <sheetFormatPr baseColWidth="10" defaultColWidth="9.1640625" defaultRowHeight="15" x14ac:dyDescent="0.2"/>
  <cols>
    <col min="1" max="1" width="32.6640625" style="1" customWidth="1"/>
    <col min="2" max="10" width="9.1640625" style="1"/>
    <col min="11" max="11" width="35.33203125" style="1" customWidth="1"/>
    <col min="12" max="16384" width="9.1640625" style="1"/>
  </cols>
  <sheetData>
    <row r="1" spans="1:13" s="28" customFormat="1" ht="24" x14ac:dyDescent="0.3">
      <c r="A1" s="34" t="s">
        <v>58</v>
      </c>
    </row>
    <row r="2" spans="1:13" x14ac:dyDescent="0.2">
      <c r="A2" s="9" t="s">
        <v>1</v>
      </c>
      <c r="B2" s="4" t="s">
        <v>44</v>
      </c>
      <c r="E2" s="4" t="s">
        <v>45</v>
      </c>
    </row>
    <row r="3" spans="1:13" x14ac:dyDescent="0.2">
      <c r="A3" s="10"/>
      <c r="B3" s="37">
        <f>'Income Statement'!C3</f>
        <v>2022</v>
      </c>
      <c r="C3" s="37">
        <f>'Income Statement'!D3</f>
        <v>2023</v>
      </c>
      <c r="D3" s="37">
        <f>'Income Statement'!E3</f>
        <v>2024</v>
      </c>
      <c r="E3" s="37">
        <f>'Income Statement'!F3</f>
        <v>2025</v>
      </c>
      <c r="F3" s="37">
        <f>'Income Statement'!G3</f>
        <v>2026</v>
      </c>
      <c r="G3" s="37">
        <f>'Income Statement'!H3</f>
        <v>2027</v>
      </c>
      <c r="H3" s="37">
        <f>'Income Statement'!I3</f>
        <v>2028</v>
      </c>
      <c r="I3" s="37">
        <f>'Income Statement'!J3</f>
        <v>2029</v>
      </c>
      <c r="J3" s="10"/>
      <c r="K3" s="10" t="s">
        <v>52</v>
      </c>
      <c r="L3" s="10"/>
      <c r="M3" s="10"/>
    </row>
    <row r="5" spans="1:13" x14ac:dyDescent="0.2">
      <c r="A5" s="1" t="s">
        <v>9</v>
      </c>
      <c r="B5" s="54">
        <f>'Income Statement'!C52</f>
        <v>14244.188</v>
      </c>
      <c r="C5" s="54">
        <f>'Income Statement'!D52</f>
        <v>12079.198</v>
      </c>
      <c r="D5" s="54">
        <f>'Income Statement'!E52</f>
        <v>37196.646999999997</v>
      </c>
      <c r="E5" s="57">
        <f>'Income Statement'!F52</f>
        <v>29256.681145257062</v>
      </c>
      <c r="F5" s="57">
        <f>'Income Statement'!G52</f>
        <v>30944.3850715058</v>
      </c>
      <c r="G5" s="57">
        <f>'Income Statement'!H52</f>
        <v>32615.634265452842</v>
      </c>
      <c r="H5" s="57">
        <f>'Income Statement'!I52</f>
        <v>34230.51178527491</v>
      </c>
      <c r="I5" s="57">
        <f>'Income Statement'!J52</f>
        <v>35735.801959202567</v>
      </c>
    </row>
    <row r="6" spans="1:13" x14ac:dyDescent="0.2">
      <c r="A6" s="1" t="s">
        <v>8</v>
      </c>
      <c r="B6" s="7">
        <f>'Income Statement'!C28</f>
        <v>1174</v>
      </c>
      <c r="C6" s="7">
        <f>'Income Statement'!D28</f>
        <v>1544</v>
      </c>
      <c r="D6" s="7">
        <f>'Income Statement'!E28</f>
        <v>1508</v>
      </c>
      <c r="E6" s="55">
        <f>'Income Statement'!F28</f>
        <v>1937.0221465076659</v>
      </c>
      <c r="F6" s="55">
        <f>'Income Statement'!G28</f>
        <v>2488.0999973880407</v>
      </c>
      <c r="G6" s="55">
        <f>'Income Statement'!H28</f>
        <v>3195.9580886381304</v>
      </c>
      <c r="H6" s="55">
        <f>'Income Statement'!I28</f>
        <v>4105.1999980121809</v>
      </c>
      <c r="I6" s="55">
        <f>'Income Statement'!J28</f>
        <v>5273.1189071570425</v>
      </c>
    </row>
    <row r="7" spans="1:13" x14ac:dyDescent="0.2">
      <c r="A7" s="1" t="s">
        <v>88</v>
      </c>
      <c r="B7" s="1">
        <f>'Working Capital Calculation'!C10</f>
        <v>-2366</v>
      </c>
      <c r="C7" s="1">
        <f>'Working Capital Calculation'!D10</f>
        <v>-2321</v>
      </c>
      <c r="D7" s="1">
        <f>'Working Capital Calculation'!E10</f>
        <v>-4789</v>
      </c>
      <c r="E7" s="55">
        <f>'Working Capital Calculation'!F10</f>
        <v>5343.75</v>
      </c>
      <c r="F7" s="55">
        <f>'Working Capital Calculation'!G10</f>
        <v>-1033.0625</v>
      </c>
      <c r="G7" s="55">
        <f>'Working Capital Calculation'!H10</f>
        <v>-699.828125</v>
      </c>
      <c r="H7" s="55">
        <f>'Working Capital Calculation'!I10</f>
        <v>-294.53515625</v>
      </c>
      <c r="I7" s="55">
        <f>'Working Capital Calculation'!J10</f>
        <v>829.0810546875</v>
      </c>
    </row>
    <row r="8" spans="1:13" x14ac:dyDescent="0.2">
      <c r="A8" s="1" t="s">
        <v>11</v>
      </c>
      <c r="B8" s="1">
        <v>20.91</v>
      </c>
      <c r="C8" s="1">
        <v>35.17</v>
      </c>
      <c r="D8" s="1">
        <v>22.34</v>
      </c>
      <c r="E8" s="55">
        <f>AVERAGE(B8:D8)</f>
        <v>26.14</v>
      </c>
      <c r="F8" s="55">
        <f t="shared" ref="F8:I8" si="0">AVERAGE(B8:E8)</f>
        <v>26.14</v>
      </c>
      <c r="G8" s="55">
        <f t="shared" si="0"/>
        <v>27.447500000000002</v>
      </c>
      <c r="H8" s="55">
        <f t="shared" si="0"/>
        <v>25.516875000000002</v>
      </c>
      <c r="I8" s="55">
        <f t="shared" si="0"/>
        <v>26.311093750000001</v>
      </c>
      <c r="K8" s="1" t="s">
        <v>82</v>
      </c>
    </row>
    <row r="9" spans="1:13" x14ac:dyDescent="0.2">
      <c r="E9" s="6"/>
      <c r="F9" s="6"/>
      <c r="G9" s="6"/>
      <c r="H9" s="6"/>
      <c r="I9" s="6"/>
    </row>
    <row r="10" spans="1:13" x14ac:dyDescent="0.2">
      <c r="A10" s="4" t="s">
        <v>12</v>
      </c>
      <c r="B10" s="7">
        <f t="shared" ref="B10:I10" si="1">B5+B6-B7-B8</f>
        <v>17763.278000000002</v>
      </c>
      <c r="C10" s="7">
        <f t="shared" si="1"/>
        <v>15909.028</v>
      </c>
      <c r="D10" s="7">
        <f t="shared" si="1"/>
        <v>43471.307000000001</v>
      </c>
      <c r="E10" s="55">
        <f t="shared" si="1"/>
        <v>25823.813291764727</v>
      </c>
      <c r="F10" s="55">
        <f t="shared" si="1"/>
        <v>34439.407568893839</v>
      </c>
      <c r="G10" s="55">
        <f t="shared" si="1"/>
        <v>36483.97297909097</v>
      </c>
      <c r="H10" s="55">
        <f t="shared" si="1"/>
        <v>38604.730064537092</v>
      </c>
      <c r="I10" s="55">
        <f t="shared" si="1"/>
        <v>40153.528717922105</v>
      </c>
    </row>
  </sheetData>
  <customSheetViews>
    <customSheetView guid="{6B4094F9-123B-C947-912E-6EEE12190E0A}" topLeftCell="A2">
      <pane xSplit="1" topLeftCell="B1" activePane="topRight" state="frozen"/>
      <selection pane="topRight" activeCell="D10" sqref="D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tabSelected="1" workbookViewId="0">
      <selection activeCell="B11" sqref="B11"/>
    </sheetView>
    <sheetView topLeftCell="A3" workbookViewId="1">
      <selection activeCell="B18" sqref="B18"/>
    </sheetView>
  </sheetViews>
  <sheetFormatPr baseColWidth="10" defaultColWidth="9.1640625" defaultRowHeight="15" x14ac:dyDescent="0.2"/>
  <cols>
    <col min="1" max="1" width="22.33203125" style="1" bestFit="1" customWidth="1"/>
    <col min="2" max="2" width="12.1640625" style="1" bestFit="1" customWidth="1"/>
    <col min="3" max="3" width="9.6640625" style="1" bestFit="1" customWidth="1"/>
    <col min="4" max="9" width="9.1640625" style="1"/>
    <col min="10" max="10" width="10.33203125" style="1" bestFit="1" customWidth="1"/>
    <col min="11" max="11" width="11" style="1" bestFit="1" customWidth="1"/>
    <col min="12" max="16384" width="9.1640625" style="1"/>
  </cols>
  <sheetData>
    <row r="1" spans="1:10" s="28" customFormat="1" ht="24" x14ac:dyDescent="0.3">
      <c r="A1" s="34" t="s">
        <v>75</v>
      </c>
    </row>
    <row r="2" spans="1:10" x14ac:dyDescent="0.2">
      <c r="A2" s="9" t="s">
        <v>55</v>
      </c>
    </row>
    <row r="3" spans="1:10" x14ac:dyDescent="0.2">
      <c r="A3" s="8"/>
      <c r="B3" s="8">
        <f>'FCF Calculation'!B3</f>
        <v>2022</v>
      </c>
      <c r="C3" s="8">
        <f>'FCF Calculation'!C3</f>
        <v>2023</v>
      </c>
      <c r="D3" s="8">
        <f>'FCF Calculation'!D3</f>
        <v>2024</v>
      </c>
      <c r="E3" s="8">
        <f>'FCF Calculation'!E3</f>
        <v>2025</v>
      </c>
      <c r="F3" s="8">
        <f>'FCF Calculation'!F3</f>
        <v>2026</v>
      </c>
      <c r="G3" s="8">
        <f>'FCF Calculation'!G3</f>
        <v>2027</v>
      </c>
      <c r="H3" s="8">
        <f>'FCF Calculation'!H3</f>
        <v>2028</v>
      </c>
      <c r="I3" s="8">
        <f>'FCF Calculation'!I3</f>
        <v>2029</v>
      </c>
      <c r="J3" s="8" t="s">
        <v>30</v>
      </c>
    </row>
    <row r="4" spans="1:10" x14ac:dyDescent="0.2">
      <c r="A4" s="32" t="s">
        <v>13</v>
      </c>
      <c r="E4" s="1">
        <v>1</v>
      </c>
      <c r="F4" s="1">
        <f>E4+1</f>
        <v>2</v>
      </c>
      <c r="G4" s="1">
        <f t="shared" ref="G4:I4" si="0">F4+1</f>
        <v>3</v>
      </c>
      <c r="H4" s="1">
        <f t="shared" si="0"/>
        <v>4</v>
      </c>
      <c r="I4" s="1">
        <f t="shared" si="0"/>
        <v>5</v>
      </c>
      <c r="J4" s="1">
        <v>5</v>
      </c>
    </row>
    <row r="5" spans="1:10" x14ac:dyDescent="0.2">
      <c r="A5" s="1" t="s">
        <v>12</v>
      </c>
      <c r="B5" s="7">
        <f>'FCF Calculation'!B10</f>
        <v>17763.278000000002</v>
      </c>
      <c r="C5" s="7">
        <f>'FCF Calculation'!C10</f>
        <v>15909.028</v>
      </c>
      <c r="D5" s="7">
        <f>'FCF Calculation'!D10</f>
        <v>43471.307000000001</v>
      </c>
      <c r="E5" s="7">
        <f>'FCF Calculation'!E10</f>
        <v>25823.813291764727</v>
      </c>
      <c r="F5" s="7">
        <f>'FCF Calculation'!F10</f>
        <v>34439.407568893839</v>
      </c>
      <c r="G5" s="7">
        <f>'FCF Calculation'!G10</f>
        <v>36483.97297909097</v>
      </c>
      <c r="H5" s="7">
        <f>'FCF Calculation'!H10</f>
        <v>38604.730064537092</v>
      </c>
      <c r="I5" s="7">
        <f>'FCF Calculation'!I10</f>
        <v>40153.528717922105</v>
      </c>
      <c r="J5" s="7">
        <f>'FCF Calculation'!I10</f>
        <v>40153.528717922105</v>
      </c>
    </row>
    <row r="6" spans="1:10" x14ac:dyDescent="0.2">
      <c r="A6" s="1" t="s">
        <v>83</v>
      </c>
      <c r="B6" s="7"/>
      <c r="C6" s="7"/>
      <c r="D6" s="7"/>
      <c r="E6" s="7">
        <f>((1+Dashboard!$B$25)^E4)</f>
        <v>1.0254492159302691</v>
      </c>
      <c r="F6" s="7">
        <f>((1+Dashboard!$B$25)^F4)</f>
        <v>1.0515460944520036</v>
      </c>
      <c r="G6" s="7">
        <f>((1+Dashboard!$B$25)^G4)</f>
        <v>1.0783071180703439</v>
      </c>
      <c r="H6" s="7">
        <f>((1+Dashboard!$B$25)^H4)</f>
        <v>1.1057491887572621</v>
      </c>
      <c r="I6" s="7">
        <f>((1+Dashboard!$B$25)^I4)</f>
        <v>1.1338896386266655</v>
      </c>
      <c r="J6" s="7">
        <f>(Dashboard!$B$25-Dashboard!$B$22)</f>
        <v>9.4492159302689872E-3</v>
      </c>
    </row>
    <row r="7" spans="1:10" x14ac:dyDescent="0.2">
      <c r="A7" s="10" t="s">
        <v>14</v>
      </c>
      <c r="B7" s="10"/>
      <c r="C7" s="10"/>
      <c r="D7" s="10"/>
      <c r="E7" s="33">
        <f>E5/E6</f>
        <v>25182.927531265239</v>
      </c>
      <c r="F7" s="33">
        <f t="shared" ref="F7:H7" si="1">F5/F6</f>
        <v>32751.21057516873</v>
      </c>
      <c r="G7" s="33">
        <f t="shared" si="1"/>
        <v>33834.491461375037</v>
      </c>
      <c r="H7" s="33">
        <f t="shared" si="1"/>
        <v>34912.736502139756</v>
      </c>
      <c r="I7" s="33">
        <f>I5/I6</f>
        <v>35412.201814062704</v>
      </c>
      <c r="J7" s="33">
        <f>((J5*(1+Dashboard!$B$22))/J6)/(I6*H6*G6*F6*E6)</f>
        <v>2961483.3244139203</v>
      </c>
    </row>
    <row r="9" spans="1:10" x14ac:dyDescent="0.2">
      <c r="A9" s="1" t="s">
        <v>32</v>
      </c>
      <c r="B9" s="76">
        <f>SUM(E7:J7)</f>
        <v>3123576.8922979319</v>
      </c>
    </row>
    <row r="10" spans="1:10" x14ac:dyDescent="0.2">
      <c r="A10" s="10" t="s">
        <v>33</v>
      </c>
      <c r="B10" s="10">
        <f>(9709+8459)</f>
        <v>18168</v>
      </c>
    </row>
    <row r="11" spans="1:10" x14ac:dyDescent="0.2">
      <c r="A11" s="4" t="s">
        <v>34</v>
      </c>
      <c r="B11" s="75">
        <f>B9-B10</f>
        <v>3105408.8922979319</v>
      </c>
    </row>
    <row r="13" spans="1:10" s="28" customFormat="1" ht="24" x14ac:dyDescent="0.3">
      <c r="A13" s="34" t="s">
        <v>54</v>
      </c>
    </row>
    <row r="15" spans="1:10" x14ac:dyDescent="0.2">
      <c r="A15" s="4" t="s">
        <v>18</v>
      </c>
      <c r="B15" s="35">
        <f>C18*B24+ C19*B29</f>
        <v>2.5449215930268988E-2</v>
      </c>
    </row>
    <row r="17" spans="1:5" x14ac:dyDescent="0.2">
      <c r="B17" s="8" t="s">
        <v>21</v>
      </c>
      <c r="C17" s="8" t="s">
        <v>22</v>
      </c>
      <c r="E17" s="4" t="s">
        <v>52</v>
      </c>
    </row>
    <row r="18" spans="1:5" x14ac:dyDescent="0.2">
      <c r="A18" s="4" t="s">
        <v>19</v>
      </c>
      <c r="B18" s="1">
        <v>10010</v>
      </c>
      <c r="C18" s="7">
        <f>B18/(SUM($B$18:$B$19))</f>
        <v>0.14690325882955127</v>
      </c>
    </row>
    <row r="19" spans="1:5" x14ac:dyDescent="0.2">
      <c r="A19" s="12" t="s">
        <v>20</v>
      </c>
      <c r="B19" s="33">
        <f>B18/0.1722</f>
        <v>58130.081300813014</v>
      </c>
      <c r="C19" s="33">
        <f>B19/(SUM($B$18:$B$19))</f>
        <v>0.85309674117044887</v>
      </c>
    </row>
    <row r="22" spans="1:5" x14ac:dyDescent="0.2">
      <c r="A22" s="1" t="s">
        <v>24</v>
      </c>
      <c r="B22" s="7">
        <f>(B19/(B19+B18))*(1+(1-'Income Statement'!B48))*(B19/B18)</f>
        <v>9.8365446482770231</v>
      </c>
    </row>
    <row r="23" spans="1:5" x14ac:dyDescent="0.2">
      <c r="A23" s="1" t="s">
        <v>27</v>
      </c>
      <c r="B23" s="3">
        <f>Dashboard!B23-Dashboard!B24</f>
        <v>7.1999999999999981E-3</v>
      </c>
    </row>
    <row r="24" spans="1:5" x14ac:dyDescent="0.2">
      <c r="A24" s="12" t="s">
        <v>23</v>
      </c>
      <c r="B24" s="13">
        <f>Dashboard!B24+B22*B23</f>
        <v>0.10962312146759455</v>
      </c>
      <c r="C24" s="10"/>
    </row>
    <row r="27" spans="1:5" x14ac:dyDescent="0.2">
      <c r="A27" s="1" t="s">
        <v>28</v>
      </c>
      <c r="B27" s="3">
        <f>(257/(9709+8459)*(1-'Income Statement'!F48))</f>
        <v>1.2448260678115367E-2</v>
      </c>
    </row>
    <row r="28" spans="1:5" x14ac:dyDescent="0.2">
      <c r="A28" s="1" t="s">
        <v>56</v>
      </c>
      <c r="B28" s="3">
        <f>'Income Statement'!F48</f>
        <v>0.12</v>
      </c>
    </row>
    <row r="29" spans="1:5" x14ac:dyDescent="0.2">
      <c r="A29" s="12" t="s">
        <v>29</v>
      </c>
      <c r="B29" s="13">
        <f>B27*(1-B28)</f>
        <v>1.0954469396741523E-2</v>
      </c>
      <c r="C29" s="10"/>
    </row>
    <row r="32" spans="1:5" x14ac:dyDescent="0.2">
      <c r="A32" s="4" t="s">
        <v>31</v>
      </c>
      <c r="B32" s="4">
        <v>24530</v>
      </c>
      <c r="C32" s="4"/>
    </row>
  </sheetData>
  <customSheetViews>
    <customSheetView guid="{6B4094F9-123B-C947-912E-6EEE12190E0A}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Dashboard</vt:lpstr>
      <vt:lpstr>Income Statement</vt:lpstr>
      <vt:lpstr>Working Capital Calculation</vt:lpstr>
      <vt:lpstr>FCF Calculation</vt:lpstr>
      <vt:lpstr>FV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 Han</dc:creator>
  <cp:lastModifiedBy>Microsoft Office User</cp:lastModifiedBy>
  <dcterms:created xsi:type="dcterms:W3CDTF">2014-08-18T21:33:52Z</dcterms:created>
  <dcterms:modified xsi:type="dcterms:W3CDTF">2024-09-24T22:51:13Z</dcterms:modified>
</cp:coreProperties>
</file>