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purpledwarak/Dropbox/Academics/ASU/Research/papers/CCU CO2 ROI Paper/Python/code_folder/CCU CO2 ROI/"/>
    </mc:Choice>
  </mc:AlternateContent>
  <xr:revisionPtr revIDLastSave="0" documentId="13_ncr:1_{5A655813-B327-DE47-AA6B-18C5A80E8B26}" xr6:coauthVersionLast="45" xr6:coauthVersionMax="45" xr10:uidLastSave="{00000000-0000-0000-0000-000000000000}"/>
  <bookViews>
    <workbookView xWindow="0" yWindow="460" windowWidth="28800" windowHeight="16720" activeTab="1" xr2:uid="{F42D90B4-CAA3-0D40-A96A-F39F1053E70B}"/>
  </bookViews>
  <sheets>
    <sheet name="worksheet-Concrete" sheetId="16" r:id="rId1"/>
    <sheet name="worksheet-chemicals" sheetId="15" r:id="rId2"/>
    <sheet name="Chemicals" sheetId="13" r:id="rId3"/>
  </sheets>
  <definedNames>
    <definedName name="_xlnm._FilterDatabase" localSheetId="2" hidden="1">Chemicals!$A$1:$BS$70</definedName>
    <definedName name="_xlnm._FilterDatabase" localSheetId="1" hidden="1">'worksheet-chemicals'!$A$1:$CA$71</definedName>
    <definedName name="_xlnm._FilterDatabase" localSheetId="0" hidden="1">'worksheet-Concrete'!$A$1:$Z$101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X50" i="15" l="1"/>
  <c r="U2" i="16"/>
  <c r="BD85" i="16" s="1"/>
  <c r="J2" i="16"/>
  <c r="T2" i="16"/>
  <c r="I2" i="16"/>
  <c r="AE3" i="16"/>
  <c r="AF3" i="16"/>
  <c r="AE4" i="16"/>
  <c r="AF4" i="16"/>
  <c r="AE5" i="16"/>
  <c r="AF5" i="16"/>
  <c r="AE6" i="16"/>
  <c r="AF6" i="16"/>
  <c r="AE7" i="16"/>
  <c r="AF7" i="16"/>
  <c r="AE8" i="16"/>
  <c r="AF8" i="16"/>
  <c r="AE9" i="16"/>
  <c r="AF9" i="16"/>
  <c r="AE10" i="16"/>
  <c r="AF10" i="16"/>
  <c r="AE11" i="16"/>
  <c r="AF11" i="16"/>
  <c r="AE12" i="16"/>
  <c r="AF12" i="16"/>
  <c r="AE13" i="16"/>
  <c r="AF13" i="16"/>
  <c r="AE14" i="16"/>
  <c r="AF14" i="16"/>
  <c r="AE15" i="16"/>
  <c r="AF15" i="16"/>
  <c r="AE16" i="16"/>
  <c r="AF16" i="16"/>
  <c r="AE17" i="16"/>
  <c r="AF17" i="16"/>
  <c r="AE18" i="16"/>
  <c r="AF18" i="16"/>
  <c r="AE19" i="16"/>
  <c r="AF19" i="16"/>
  <c r="AE20" i="16"/>
  <c r="AF20" i="16"/>
  <c r="AE21" i="16"/>
  <c r="AF21" i="16"/>
  <c r="AE22" i="16"/>
  <c r="AF22" i="16"/>
  <c r="AE23" i="16"/>
  <c r="AF23" i="16"/>
  <c r="AE24" i="16"/>
  <c r="AF24" i="16"/>
  <c r="AE25" i="16"/>
  <c r="AF25" i="16"/>
  <c r="AE26" i="16"/>
  <c r="AF26" i="16"/>
  <c r="AE27" i="16"/>
  <c r="AF27" i="16"/>
  <c r="AE28" i="16"/>
  <c r="AF28" i="16"/>
  <c r="AE29" i="16"/>
  <c r="AF29" i="16"/>
  <c r="AE30" i="16"/>
  <c r="AF30" i="16"/>
  <c r="AE31" i="16"/>
  <c r="AF31" i="16"/>
  <c r="AE32" i="16"/>
  <c r="AF32" i="16"/>
  <c r="AE33" i="16"/>
  <c r="AF33" i="16"/>
  <c r="AE34" i="16"/>
  <c r="AF34" i="16"/>
  <c r="AE35" i="16"/>
  <c r="AF35" i="16"/>
  <c r="AE36" i="16"/>
  <c r="AF36" i="16"/>
  <c r="AE37" i="16"/>
  <c r="AF37" i="16"/>
  <c r="AE38" i="16"/>
  <c r="AF38" i="16"/>
  <c r="AE39" i="16"/>
  <c r="AF39" i="16"/>
  <c r="AE40" i="16"/>
  <c r="AF40" i="16"/>
  <c r="AE41" i="16"/>
  <c r="AF41" i="16"/>
  <c r="AE42" i="16"/>
  <c r="AF42" i="16"/>
  <c r="AE43" i="16"/>
  <c r="AF43" i="16"/>
  <c r="AE44" i="16"/>
  <c r="AF44" i="16"/>
  <c r="AE45" i="16"/>
  <c r="AF45" i="16"/>
  <c r="AE46" i="16"/>
  <c r="AF46" i="16"/>
  <c r="AE47" i="16"/>
  <c r="AF47" i="16"/>
  <c r="AE48" i="16"/>
  <c r="AF48" i="16"/>
  <c r="AE49" i="16"/>
  <c r="AF49" i="16"/>
  <c r="AE50" i="16"/>
  <c r="AF50" i="16"/>
  <c r="AE51" i="16"/>
  <c r="AF51" i="16"/>
  <c r="AE52" i="16"/>
  <c r="AF52" i="16"/>
  <c r="AE53" i="16"/>
  <c r="AF53" i="16"/>
  <c r="AE54" i="16"/>
  <c r="AF54" i="16"/>
  <c r="AE55" i="16"/>
  <c r="AF55" i="16"/>
  <c r="AE56" i="16"/>
  <c r="AF56" i="16"/>
  <c r="AE57" i="16"/>
  <c r="AF57" i="16"/>
  <c r="AE58" i="16"/>
  <c r="AF58" i="16"/>
  <c r="AE59" i="16"/>
  <c r="AF59" i="16"/>
  <c r="AE60" i="16"/>
  <c r="AF60" i="16"/>
  <c r="AE61" i="16"/>
  <c r="AF61" i="16"/>
  <c r="AE62" i="16"/>
  <c r="AF62" i="16"/>
  <c r="AE63" i="16"/>
  <c r="AF63" i="16"/>
  <c r="AE64" i="16"/>
  <c r="AF64" i="16"/>
  <c r="AE65" i="16"/>
  <c r="AF65" i="16"/>
  <c r="AE66" i="16"/>
  <c r="AF66" i="16"/>
  <c r="AE67" i="16"/>
  <c r="AF67" i="16"/>
  <c r="AE68" i="16"/>
  <c r="AF68" i="16"/>
  <c r="AE69" i="16"/>
  <c r="AF69" i="16"/>
  <c r="AE70" i="16"/>
  <c r="AF70" i="16"/>
  <c r="AE71" i="16"/>
  <c r="AF71" i="16"/>
  <c r="AE72" i="16"/>
  <c r="AF72" i="16"/>
  <c r="AE73" i="16"/>
  <c r="AF73" i="16"/>
  <c r="AE74" i="16"/>
  <c r="AF74" i="16"/>
  <c r="AE75" i="16"/>
  <c r="AF75" i="16"/>
  <c r="AE76" i="16"/>
  <c r="AF76" i="16"/>
  <c r="AE77" i="16"/>
  <c r="AF77" i="16"/>
  <c r="AE78" i="16"/>
  <c r="AF78" i="16"/>
  <c r="AE79" i="16"/>
  <c r="AF79" i="16"/>
  <c r="AE80" i="16"/>
  <c r="AF80" i="16"/>
  <c r="AF82" i="16"/>
  <c r="AF83" i="16"/>
  <c r="AF84" i="16"/>
  <c r="AF85" i="16"/>
  <c r="AF86" i="16"/>
  <c r="AF87" i="16"/>
  <c r="AF88" i="16"/>
  <c r="AF89" i="16"/>
  <c r="AF90" i="16"/>
  <c r="AF91" i="16"/>
  <c r="AF92" i="16"/>
  <c r="AF93" i="16"/>
  <c r="AF94" i="16"/>
  <c r="AF95" i="16"/>
  <c r="AF96" i="16"/>
  <c r="AF97" i="16"/>
  <c r="AF98" i="16"/>
  <c r="AF99" i="16"/>
  <c r="AF100" i="16"/>
  <c r="AF101" i="16"/>
  <c r="AF81" i="16"/>
  <c r="AE82" i="16"/>
  <c r="AE83" i="16"/>
  <c r="AE84" i="16"/>
  <c r="AE85" i="16"/>
  <c r="AE86" i="16"/>
  <c r="AE87" i="16"/>
  <c r="AE88" i="16"/>
  <c r="AE89" i="16"/>
  <c r="AE90" i="16"/>
  <c r="AE91" i="16"/>
  <c r="AE92" i="16"/>
  <c r="AE93" i="16"/>
  <c r="AE94" i="16"/>
  <c r="AE95" i="16"/>
  <c r="AE96" i="16"/>
  <c r="AE97" i="16"/>
  <c r="AE98" i="16"/>
  <c r="AE99" i="16"/>
  <c r="AE100" i="16"/>
  <c r="AE101" i="16"/>
  <c r="AE81" i="16"/>
  <c r="AS88" i="16"/>
  <c r="AC81" i="16"/>
  <c r="AY82" i="16"/>
  <c r="AZ82" i="16"/>
  <c r="BA82" i="16"/>
  <c r="BB82" i="16"/>
  <c r="BC82" i="16"/>
  <c r="BD82" i="16"/>
  <c r="BE82" i="16"/>
  <c r="BF82" i="16"/>
  <c r="BG82" i="16"/>
  <c r="BH82" i="16"/>
  <c r="BI82" i="16"/>
  <c r="AY83" i="16"/>
  <c r="AZ83" i="16"/>
  <c r="BA83" i="16"/>
  <c r="BB83" i="16"/>
  <c r="BC83" i="16"/>
  <c r="BE83" i="16"/>
  <c r="BF83" i="16"/>
  <c r="BG83" i="16"/>
  <c r="BH83" i="16"/>
  <c r="BI83" i="16"/>
  <c r="AY84" i="16"/>
  <c r="AZ84" i="16"/>
  <c r="BA84" i="16"/>
  <c r="BB84" i="16"/>
  <c r="BC84" i="16"/>
  <c r="BE84" i="16"/>
  <c r="BF84" i="16"/>
  <c r="BG84" i="16"/>
  <c r="BH84" i="16"/>
  <c r="BI84" i="16"/>
  <c r="AY85" i="16"/>
  <c r="AZ85" i="16"/>
  <c r="BA85" i="16"/>
  <c r="BB85" i="16"/>
  <c r="BC85" i="16"/>
  <c r="BE85" i="16"/>
  <c r="BF85" i="16"/>
  <c r="BG85" i="16"/>
  <c r="BH85" i="16"/>
  <c r="BI85" i="16"/>
  <c r="AY86" i="16"/>
  <c r="AZ86" i="16"/>
  <c r="BA86" i="16"/>
  <c r="BB86" i="16"/>
  <c r="BC86" i="16"/>
  <c r="BE86" i="16"/>
  <c r="BF86" i="16"/>
  <c r="BG86" i="16"/>
  <c r="BH86" i="16"/>
  <c r="BI86" i="16"/>
  <c r="AY87" i="16"/>
  <c r="AZ87" i="16"/>
  <c r="BA87" i="16"/>
  <c r="BB87" i="16"/>
  <c r="BC87" i="16"/>
  <c r="BD87" i="16"/>
  <c r="BE87" i="16"/>
  <c r="BF87" i="16"/>
  <c r="BG87" i="16"/>
  <c r="BH87" i="16"/>
  <c r="BI87" i="16"/>
  <c r="AY88" i="16"/>
  <c r="AZ88" i="16"/>
  <c r="BA88" i="16"/>
  <c r="BB88" i="16"/>
  <c r="BC88" i="16"/>
  <c r="BE88" i="16"/>
  <c r="BF88" i="16"/>
  <c r="BG88" i="16"/>
  <c r="BH88" i="16"/>
  <c r="BI88" i="16"/>
  <c r="AY89" i="16"/>
  <c r="AZ89" i="16"/>
  <c r="BA89" i="16"/>
  <c r="BB89" i="16"/>
  <c r="BC89" i="16"/>
  <c r="BE89" i="16"/>
  <c r="BF89" i="16"/>
  <c r="BG89" i="16"/>
  <c r="BH89" i="16"/>
  <c r="BI89" i="16"/>
  <c r="AY90" i="16"/>
  <c r="AZ90" i="16"/>
  <c r="BA90" i="16"/>
  <c r="BB90" i="16"/>
  <c r="BC90" i="16"/>
  <c r="BD90" i="16"/>
  <c r="BE90" i="16"/>
  <c r="BF90" i="16"/>
  <c r="BG90" i="16"/>
  <c r="BH90" i="16"/>
  <c r="BI90" i="16"/>
  <c r="AY91" i="16"/>
  <c r="AZ91" i="16"/>
  <c r="BA91" i="16"/>
  <c r="BB91" i="16"/>
  <c r="BC91" i="16"/>
  <c r="BE91" i="16"/>
  <c r="BF91" i="16"/>
  <c r="BG91" i="16"/>
  <c r="BH91" i="16"/>
  <c r="BI91" i="16"/>
  <c r="AY92" i="16"/>
  <c r="AZ92" i="16"/>
  <c r="BA92" i="16"/>
  <c r="BB92" i="16"/>
  <c r="BC92" i="16"/>
  <c r="BE92" i="16"/>
  <c r="BF92" i="16"/>
  <c r="BG92" i="16"/>
  <c r="BH92" i="16"/>
  <c r="BI92" i="16"/>
  <c r="AY93" i="16"/>
  <c r="AZ93" i="16"/>
  <c r="BA93" i="16"/>
  <c r="BB93" i="16"/>
  <c r="BC93" i="16"/>
  <c r="BD93" i="16"/>
  <c r="BE93" i="16"/>
  <c r="BF93" i="16"/>
  <c r="BG93" i="16"/>
  <c r="BH93" i="16"/>
  <c r="BI93" i="16"/>
  <c r="AY94" i="16"/>
  <c r="AZ94" i="16"/>
  <c r="BA94" i="16"/>
  <c r="BB94" i="16"/>
  <c r="BC94" i="16"/>
  <c r="BE94" i="16"/>
  <c r="BF94" i="16"/>
  <c r="BG94" i="16"/>
  <c r="BH94" i="16"/>
  <c r="BI94" i="16"/>
  <c r="AY95" i="16"/>
  <c r="AZ95" i="16"/>
  <c r="BA95" i="16"/>
  <c r="BB95" i="16"/>
  <c r="BC95" i="16"/>
  <c r="BD95" i="16"/>
  <c r="BE95" i="16"/>
  <c r="BF95" i="16"/>
  <c r="BG95" i="16"/>
  <c r="BH95" i="16"/>
  <c r="BI95" i="16"/>
  <c r="AY96" i="16"/>
  <c r="AZ96" i="16"/>
  <c r="BA96" i="16"/>
  <c r="BB96" i="16"/>
  <c r="BC96" i="16"/>
  <c r="BD96" i="16"/>
  <c r="BE96" i="16"/>
  <c r="BF96" i="16"/>
  <c r="BG96" i="16"/>
  <c r="BH96" i="16"/>
  <c r="BI96" i="16"/>
  <c r="AY97" i="16"/>
  <c r="AZ97" i="16"/>
  <c r="BA97" i="16"/>
  <c r="BB97" i="16"/>
  <c r="BC97" i="16"/>
  <c r="BE97" i="16"/>
  <c r="BF97" i="16"/>
  <c r="BG97" i="16"/>
  <c r="BH97" i="16"/>
  <c r="BI97" i="16"/>
  <c r="AY98" i="16"/>
  <c r="AZ98" i="16"/>
  <c r="BA98" i="16"/>
  <c r="BB98" i="16"/>
  <c r="BC98" i="16"/>
  <c r="BD98" i="16"/>
  <c r="BE98" i="16"/>
  <c r="BF98" i="16"/>
  <c r="BG98" i="16"/>
  <c r="BH98" i="16"/>
  <c r="BI98" i="16"/>
  <c r="AY99" i="16"/>
  <c r="AZ99" i="16"/>
  <c r="BA99" i="16"/>
  <c r="BB99" i="16"/>
  <c r="BC99" i="16"/>
  <c r="BE99" i="16"/>
  <c r="BF99" i="16"/>
  <c r="BG99" i="16"/>
  <c r="BH99" i="16"/>
  <c r="BI99" i="16"/>
  <c r="AY100" i="16"/>
  <c r="AZ100" i="16"/>
  <c r="BA100" i="16"/>
  <c r="BB100" i="16"/>
  <c r="BC100" i="16"/>
  <c r="BE100" i="16"/>
  <c r="BF100" i="16"/>
  <c r="BG100" i="16"/>
  <c r="BH100" i="16"/>
  <c r="BI100" i="16"/>
  <c r="AY101" i="16"/>
  <c r="AZ101" i="16"/>
  <c r="BA101" i="16"/>
  <c r="BB101" i="16"/>
  <c r="BC101" i="16"/>
  <c r="BD101" i="16"/>
  <c r="BE101" i="16"/>
  <c r="BF101" i="16"/>
  <c r="BG101" i="16"/>
  <c r="BH101" i="16"/>
  <c r="BI101" i="16"/>
  <c r="BI81" i="16"/>
  <c r="BH81" i="16"/>
  <c r="BG81" i="16"/>
  <c r="BF81" i="16"/>
  <c r="BE81" i="16"/>
  <c r="BC81" i="16"/>
  <c r="BB81" i="16"/>
  <c r="BA81" i="16"/>
  <c r="AZ81" i="16"/>
  <c r="AY81" i="16"/>
  <c r="AN82" i="16"/>
  <c r="AO82" i="16"/>
  <c r="AP82" i="16"/>
  <c r="AQ82" i="16"/>
  <c r="AR82" i="16"/>
  <c r="AS82" i="16"/>
  <c r="AU82" i="16"/>
  <c r="AV82" i="16"/>
  <c r="AW82" i="16"/>
  <c r="AX82" i="16"/>
  <c r="AN83" i="16"/>
  <c r="AO83" i="16"/>
  <c r="AP83" i="16"/>
  <c r="AQ83" i="16"/>
  <c r="AR83" i="16"/>
  <c r="AS83" i="16"/>
  <c r="AU83" i="16"/>
  <c r="AV83" i="16"/>
  <c r="AW83" i="16"/>
  <c r="AX83" i="16"/>
  <c r="AN84" i="16"/>
  <c r="AO84" i="16"/>
  <c r="AP84" i="16"/>
  <c r="AQ84" i="16"/>
  <c r="AR84" i="16"/>
  <c r="AS84" i="16"/>
  <c r="AU84" i="16"/>
  <c r="AV84" i="16"/>
  <c r="AW84" i="16"/>
  <c r="AX84" i="16"/>
  <c r="AN85" i="16"/>
  <c r="AO85" i="16"/>
  <c r="AP85" i="16"/>
  <c r="AQ85" i="16"/>
  <c r="AR85" i="16"/>
  <c r="AS85" i="16"/>
  <c r="AU85" i="16"/>
  <c r="AV85" i="16"/>
  <c r="AW85" i="16"/>
  <c r="AX85" i="16"/>
  <c r="AN86" i="16"/>
  <c r="AO86" i="16"/>
  <c r="AP86" i="16"/>
  <c r="AQ86" i="16"/>
  <c r="AR86" i="16"/>
  <c r="AS86" i="16"/>
  <c r="AU86" i="16"/>
  <c r="AV86" i="16"/>
  <c r="AW86" i="16"/>
  <c r="AX86" i="16"/>
  <c r="AN87" i="16"/>
  <c r="AO87" i="16"/>
  <c r="AP87" i="16"/>
  <c r="AQ87" i="16"/>
  <c r="AR87" i="16"/>
  <c r="AS87" i="16"/>
  <c r="AU87" i="16"/>
  <c r="AV87" i="16"/>
  <c r="AW87" i="16"/>
  <c r="AX87" i="16"/>
  <c r="AN88" i="16"/>
  <c r="AO88" i="16"/>
  <c r="AP88" i="16"/>
  <c r="AQ88" i="16"/>
  <c r="AR88" i="16"/>
  <c r="AU88" i="16"/>
  <c r="AV88" i="16"/>
  <c r="AW88" i="16"/>
  <c r="AX88" i="16"/>
  <c r="AN89" i="16"/>
  <c r="AO89" i="16"/>
  <c r="AP89" i="16"/>
  <c r="AQ89" i="16"/>
  <c r="AR89" i="16"/>
  <c r="AS89" i="16"/>
  <c r="AU89" i="16"/>
  <c r="AV89" i="16"/>
  <c r="AW89" i="16"/>
  <c r="AX89" i="16"/>
  <c r="AN90" i="16"/>
  <c r="AO90" i="16"/>
  <c r="AP90" i="16"/>
  <c r="AQ90" i="16"/>
  <c r="AR90" i="16"/>
  <c r="AS90" i="16"/>
  <c r="AU90" i="16"/>
  <c r="AV90" i="16"/>
  <c r="AW90" i="16"/>
  <c r="AX90" i="16"/>
  <c r="AN91" i="16"/>
  <c r="AO91" i="16"/>
  <c r="AP91" i="16"/>
  <c r="AQ91" i="16"/>
  <c r="AR91" i="16"/>
  <c r="AS91" i="16"/>
  <c r="AU91" i="16"/>
  <c r="AV91" i="16"/>
  <c r="AW91" i="16"/>
  <c r="AX91" i="16"/>
  <c r="AN92" i="16"/>
  <c r="AO92" i="16"/>
  <c r="AP92" i="16"/>
  <c r="AQ92" i="16"/>
  <c r="AR92" i="16"/>
  <c r="AS92" i="16"/>
  <c r="AU92" i="16"/>
  <c r="AV92" i="16"/>
  <c r="AW92" i="16"/>
  <c r="AX92" i="16"/>
  <c r="AN93" i="16"/>
  <c r="AO93" i="16"/>
  <c r="AP93" i="16"/>
  <c r="AQ93" i="16"/>
  <c r="AR93" i="16"/>
  <c r="AS93" i="16"/>
  <c r="AU93" i="16"/>
  <c r="AV93" i="16"/>
  <c r="AW93" i="16"/>
  <c r="AX93" i="16"/>
  <c r="AN94" i="16"/>
  <c r="AO94" i="16"/>
  <c r="AP94" i="16"/>
  <c r="AQ94" i="16"/>
  <c r="AR94" i="16"/>
  <c r="AS94" i="16"/>
  <c r="AU94" i="16"/>
  <c r="AV94" i="16"/>
  <c r="AW94" i="16"/>
  <c r="AX94" i="16"/>
  <c r="AN95" i="16"/>
  <c r="AO95" i="16"/>
  <c r="AP95" i="16"/>
  <c r="AQ95" i="16"/>
  <c r="AR95" i="16"/>
  <c r="AS95" i="16"/>
  <c r="AU95" i="16"/>
  <c r="AV95" i="16"/>
  <c r="AW95" i="16"/>
  <c r="AX95" i="16"/>
  <c r="AN96" i="16"/>
  <c r="AO96" i="16"/>
  <c r="AP96" i="16"/>
  <c r="AQ96" i="16"/>
  <c r="AR96" i="16"/>
  <c r="AS96" i="16"/>
  <c r="AU96" i="16"/>
  <c r="AV96" i="16"/>
  <c r="AW96" i="16"/>
  <c r="AX96" i="16"/>
  <c r="AN97" i="16"/>
  <c r="AO97" i="16"/>
  <c r="AP97" i="16"/>
  <c r="AQ97" i="16"/>
  <c r="AR97" i="16"/>
  <c r="AS97" i="16"/>
  <c r="AU97" i="16"/>
  <c r="AV97" i="16"/>
  <c r="AW97" i="16"/>
  <c r="AX97" i="16"/>
  <c r="AN98" i="16"/>
  <c r="AO98" i="16"/>
  <c r="AP98" i="16"/>
  <c r="AQ98" i="16"/>
  <c r="AR98" i="16"/>
  <c r="AS98" i="16"/>
  <c r="AU98" i="16"/>
  <c r="AV98" i="16"/>
  <c r="AW98" i="16"/>
  <c r="AX98" i="16"/>
  <c r="AN99" i="16"/>
  <c r="AO99" i="16"/>
  <c r="AP99" i="16"/>
  <c r="AQ99" i="16"/>
  <c r="AR99" i="16"/>
  <c r="AS99" i="16"/>
  <c r="AU99" i="16"/>
  <c r="AV99" i="16"/>
  <c r="AW99" i="16"/>
  <c r="AX99" i="16"/>
  <c r="AN100" i="16"/>
  <c r="AO100" i="16"/>
  <c r="AP100" i="16"/>
  <c r="AQ100" i="16"/>
  <c r="AR100" i="16"/>
  <c r="AS100" i="16"/>
  <c r="AU100" i="16"/>
  <c r="AV100" i="16"/>
  <c r="AW100" i="16"/>
  <c r="AX100" i="16"/>
  <c r="AN101" i="16"/>
  <c r="AO101" i="16"/>
  <c r="AP101" i="16"/>
  <c r="AQ101" i="16"/>
  <c r="AR101" i="16"/>
  <c r="AS101" i="16"/>
  <c r="AU101" i="16"/>
  <c r="AV101" i="16"/>
  <c r="AW101" i="16"/>
  <c r="AX101" i="16"/>
  <c r="AX81" i="16"/>
  <c r="AW81" i="16"/>
  <c r="AV81" i="16"/>
  <c r="AU81" i="16"/>
  <c r="AS81" i="16"/>
  <c r="AR81" i="16"/>
  <c r="AQ81" i="16"/>
  <c r="AP81" i="16"/>
  <c r="AO81" i="16"/>
  <c r="AN81" i="16"/>
  <c r="AC86" i="16"/>
  <c r="AC87" i="16"/>
  <c r="AC88" i="16"/>
  <c r="AC89" i="16"/>
  <c r="AC90" i="16"/>
  <c r="AC91" i="16"/>
  <c r="AC92" i="16"/>
  <c r="AC93" i="16"/>
  <c r="AI93" i="16" s="1"/>
  <c r="AC94" i="16"/>
  <c r="AC95" i="16"/>
  <c r="AC96" i="16"/>
  <c r="AC97" i="16"/>
  <c r="AC98" i="16"/>
  <c r="AC99" i="16"/>
  <c r="AC100" i="16"/>
  <c r="AC101" i="16"/>
  <c r="K101" i="16"/>
  <c r="AB101" i="16" s="1"/>
  <c r="K100" i="16"/>
  <c r="AB100" i="16" s="1"/>
  <c r="K99" i="16"/>
  <c r="AB99" i="16" s="1"/>
  <c r="K98" i="16"/>
  <c r="AB98" i="16" s="1"/>
  <c r="K97" i="16"/>
  <c r="AB97" i="16" s="1"/>
  <c r="K96" i="16"/>
  <c r="AB96" i="16" s="1"/>
  <c r="AH96" i="16" s="1"/>
  <c r="K95" i="16"/>
  <c r="AB95" i="16" s="1"/>
  <c r="K94" i="16"/>
  <c r="AB94" i="16" s="1"/>
  <c r="K93" i="16"/>
  <c r="AB93" i="16" s="1"/>
  <c r="K92" i="16"/>
  <c r="AB92" i="16" s="1"/>
  <c r="K91" i="16"/>
  <c r="AB91" i="16" s="1"/>
  <c r="K90" i="16"/>
  <c r="AB90" i="16" s="1"/>
  <c r="K89" i="16"/>
  <c r="AB89" i="16" s="1"/>
  <c r="K88" i="16"/>
  <c r="AB88" i="16" s="1"/>
  <c r="AH88" i="16" s="1"/>
  <c r="K87" i="16"/>
  <c r="AB87" i="16" s="1"/>
  <c r="K86" i="16"/>
  <c r="AB86" i="16" s="1"/>
  <c r="K85" i="16"/>
  <c r="AB85" i="16" s="1"/>
  <c r="K84" i="16"/>
  <c r="AB84" i="16" s="1"/>
  <c r="K83" i="16"/>
  <c r="AB83" i="16" s="1"/>
  <c r="K82" i="16"/>
  <c r="AB82" i="16" s="1"/>
  <c r="K81" i="16"/>
  <c r="AB81" i="16" s="1"/>
  <c r="BD83" i="16" l="1"/>
  <c r="BD88" i="16"/>
  <c r="AH93" i="16"/>
  <c r="AK93" i="16" s="1"/>
  <c r="AI94" i="16"/>
  <c r="AI86" i="16"/>
  <c r="AH86" i="16"/>
  <c r="AH94" i="16"/>
  <c r="AI92" i="16"/>
  <c r="AI91" i="16"/>
  <c r="AH82" i="16"/>
  <c r="AI89" i="16"/>
  <c r="AI81" i="16"/>
  <c r="AI90" i="16"/>
  <c r="AH90" i="16"/>
  <c r="AI97" i="16"/>
  <c r="AH83" i="16"/>
  <c r="AH91" i="16"/>
  <c r="AI96" i="16"/>
  <c r="AK96" i="16" s="1"/>
  <c r="AH84" i="16"/>
  <c r="AH92" i="16"/>
  <c r="AI95" i="16"/>
  <c r="AC85" i="16"/>
  <c r="AI85" i="16" s="1"/>
  <c r="BD100" i="16"/>
  <c r="BD92" i="16"/>
  <c r="BD84" i="16"/>
  <c r="AC84" i="16"/>
  <c r="AI84" i="16" s="1"/>
  <c r="BD97" i="16"/>
  <c r="BD89" i="16"/>
  <c r="AC83" i="16"/>
  <c r="AI83" i="16" s="1"/>
  <c r="BD81" i="16"/>
  <c r="BD94" i="16"/>
  <c r="BD86" i="16"/>
  <c r="AC82" i="16"/>
  <c r="AI82" i="16" s="1"/>
  <c r="BD99" i="16"/>
  <c r="BD91" i="16"/>
  <c r="AH81" i="16"/>
  <c r="AH95" i="16"/>
  <c r="AH85" i="16"/>
  <c r="AH89" i="16"/>
  <c r="AH97" i="16"/>
  <c r="AH99" i="16"/>
  <c r="AI88" i="16"/>
  <c r="AK88" i="16" s="1"/>
  <c r="AH100" i="16"/>
  <c r="AH87" i="16"/>
  <c r="AI100" i="16"/>
  <c r="AT82" i="16"/>
  <c r="AI87" i="16"/>
  <c r="AI99" i="16"/>
  <c r="AH98" i="16"/>
  <c r="AI101" i="16"/>
  <c r="AH101" i="16"/>
  <c r="AT86" i="16"/>
  <c r="AT81" i="16"/>
  <c r="AI98" i="16"/>
  <c r="AT97" i="16"/>
  <c r="AT85" i="16"/>
  <c r="AT93" i="16"/>
  <c r="AT98" i="16"/>
  <c r="AT90" i="16"/>
  <c r="AT87" i="16"/>
  <c r="AT95" i="16"/>
  <c r="AT84" i="16"/>
  <c r="AT101" i="16"/>
  <c r="AT100" i="16"/>
  <c r="AT92" i="16"/>
  <c r="AT96" i="16"/>
  <c r="AT88" i="16"/>
  <c r="AT89" i="16"/>
  <c r="AT94" i="16"/>
  <c r="AT83" i="16"/>
  <c r="AT99" i="16"/>
  <c r="AT91" i="16"/>
  <c r="AC73" i="16"/>
  <c r="AI73" i="16" s="1"/>
  <c r="AC74" i="16"/>
  <c r="AI74" i="16" s="1"/>
  <c r="AC75" i="16"/>
  <c r="AI75" i="16" s="1"/>
  <c r="AC76" i="16"/>
  <c r="AI76" i="16" s="1"/>
  <c r="AC77" i="16"/>
  <c r="AI77" i="16" s="1"/>
  <c r="AC78" i="16"/>
  <c r="AI78" i="16" s="1"/>
  <c r="AC79" i="16"/>
  <c r="AI79" i="16" s="1"/>
  <c r="AC80" i="16"/>
  <c r="AI80" i="16" s="1"/>
  <c r="K80" i="16"/>
  <c r="AB80" i="16" s="1"/>
  <c r="AH80" i="16" s="1"/>
  <c r="K79" i="16"/>
  <c r="AB79" i="16" s="1"/>
  <c r="AH79" i="16" s="1"/>
  <c r="K78" i="16"/>
  <c r="AB78" i="16" s="1"/>
  <c r="AH78" i="16" s="1"/>
  <c r="K77" i="16"/>
  <c r="AB77" i="16" s="1"/>
  <c r="AH77" i="16" s="1"/>
  <c r="K76" i="16"/>
  <c r="AB76" i="16" s="1"/>
  <c r="AH76" i="16" s="1"/>
  <c r="K75" i="16"/>
  <c r="AB75" i="16" s="1"/>
  <c r="AH75" i="16" s="1"/>
  <c r="K74" i="16"/>
  <c r="AB74" i="16" s="1"/>
  <c r="AH74" i="16" s="1"/>
  <c r="K73" i="16"/>
  <c r="AB73" i="16" s="1"/>
  <c r="AH73" i="16" s="1"/>
  <c r="AK94" i="16" l="1"/>
  <c r="AK86" i="16"/>
  <c r="AK92" i="16"/>
  <c r="AK101" i="16"/>
  <c r="AK84" i="16"/>
  <c r="AK82" i="16"/>
  <c r="AK91" i="16"/>
  <c r="AK99" i="16"/>
  <c r="AK87" i="16"/>
  <c r="AK97" i="16"/>
  <c r="AK98" i="16"/>
  <c r="AK85" i="16"/>
  <c r="AK100" i="16"/>
  <c r="AK83" i="16"/>
  <c r="AK95" i="16"/>
  <c r="AK90" i="16"/>
  <c r="AK81" i="16"/>
  <c r="AK89" i="16"/>
  <c r="AK79" i="16"/>
  <c r="AK73" i="16"/>
  <c r="AK74" i="16"/>
  <c r="AK75" i="16"/>
  <c r="AK78" i="16"/>
  <c r="AK80" i="16"/>
  <c r="AK77" i="16"/>
  <c r="AK76" i="16"/>
  <c r="AC53" i="16"/>
  <c r="AI53" i="16" s="1"/>
  <c r="AC54" i="16"/>
  <c r="AI54" i="16" s="1"/>
  <c r="AC55" i="16"/>
  <c r="AI55" i="16" s="1"/>
  <c r="AC56" i="16"/>
  <c r="AI56" i="16" s="1"/>
  <c r="AC57" i="16"/>
  <c r="AI57" i="16" s="1"/>
  <c r="AC58" i="16"/>
  <c r="AI58" i="16" s="1"/>
  <c r="AC59" i="16"/>
  <c r="AI59" i="16" s="1"/>
  <c r="AC60" i="16"/>
  <c r="AI60" i="16" s="1"/>
  <c r="AC61" i="16"/>
  <c r="AI61" i="16" s="1"/>
  <c r="AC62" i="16"/>
  <c r="AI62" i="16" s="1"/>
  <c r="AC63" i="16"/>
  <c r="AI63" i="16" s="1"/>
  <c r="AC64" i="16"/>
  <c r="AI64" i="16" s="1"/>
  <c r="AC65" i="16"/>
  <c r="AI65" i="16" s="1"/>
  <c r="AC66" i="16"/>
  <c r="AI66" i="16" s="1"/>
  <c r="AC67" i="16"/>
  <c r="AI67" i="16" s="1"/>
  <c r="AC68" i="16"/>
  <c r="AI68" i="16" s="1"/>
  <c r="AC69" i="16"/>
  <c r="AI69" i="16" s="1"/>
  <c r="AC70" i="16"/>
  <c r="AI70" i="16" s="1"/>
  <c r="AC71" i="16"/>
  <c r="AI71" i="16" s="1"/>
  <c r="AC72" i="16"/>
  <c r="AI72" i="16" s="1"/>
  <c r="K72" i="16"/>
  <c r="AB72" i="16" s="1"/>
  <c r="AH72" i="16" s="1"/>
  <c r="K71" i="16"/>
  <c r="AB71" i="16" s="1"/>
  <c r="AH71" i="16" s="1"/>
  <c r="K70" i="16"/>
  <c r="AB70" i="16" s="1"/>
  <c r="AH70" i="16" s="1"/>
  <c r="K69" i="16"/>
  <c r="AB69" i="16" s="1"/>
  <c r="AH69" i="16" s="1"/>
  <c r="K68" i="16"/>
  <c r="AB68" i="16" s="1"/>
  <c r="AH68" i="16" s="1"/>
  <c r="K67" i="16"/>
  <c r="AB67" i="16" s="1"/>
  <c r="AH67" i="16" s="1"/>
  <c r="K66" i="16"/>
  <c r="AB66" i="16" s="1"/>
  <c r="AH66" i="16" s="1"/>
  <c r="K65" i="16"/>
  <c r="AB65" i="16" s="1"/>
  <c r="AH65" i="16" s="1"/>
  <c r="K64" i="16"/>
  <c r="AB64" i="16" s="1"/>
  <c r="AH64" i="16" s="1"/>
  <c r="K63" i="16"/>
  <c r="AB63" i="16" s="1"/>
  <c r="AH63" i="16" s="1"/>
  <c r="K62" i="16"/>
  <c r="AB62" i="16" s="1"/>
  <c r="AH62" i="16" s="1"/>
  <c r="K61" i="16"/>
  <c r="AB61" i="16" s="1"/>
  <c r="AH61" i="16" s="1"/>
  <c r="K60" i="16"/>
  <c r="AB60" i="16" s="1"/>
  <c r="AH60" i="16" s="1"/>
  <c r="K59" i="16"/>
  <c r="AB59" i="16" s="1"/>
  <c r="AH59" i="16" s="1"/>
  <c r="K58" i="16"/>
  <c r="AB58" i="16" s="1"/>
  <c r="AH58" i="16" s="1"/>
  <c r="K57" i="16"/>
  <c r="AB57" i="16" s="1"/>
  <c r="AH57" i="16" s="1"/>
  <c r="K56" i="16"/>
  <c r="AB56" i="16" s="1"/>
  <c r="AH56" i="16" s="1"/>
  <c r="K55" i="16"/>
  <c r="AB55" i="16" s="1"/>
  <c r="AH55" i="16" s="1"/>
  <c r="K54" i="16"/>
  <c r="AB54" i="16" s="1"/>
  <c r="AH54" i="16" s="1"/>
  <c r="K53" i="16"/>
  <c r="AB53" i="16" s="1"/>
  <c r="AH53" i="16" s="1"/>
  <c r="AK53" i="16" l="1"/>
  <c r="AK55" i="16"/>
  <c r="AK61" i="16"/>
  <c r="AK59" i="16"/>
  <c r="AK60" i="16"/>
  <c r="AK54" i="16"/>
  <c r="AK58" i="16"/>
  <c r="AK66" i="16"/>
  <c r="AK67" i="16"/>
  <c r="AK57" i="16"/>
  <c r="AK72" i="16"/>
  <c r="AK65" i="16"/>
  <c r="AK71" i="16"/>
  <c r="AK68" i="16"/>
  <c r="AK64" i="16"/>
  <c r="AK69" i="16"/>
  <c r="AK63" i="16"/>
  <c r="AK62" i="16"/>
  <c r="AK70" i="16"/>
  <c r="AK56" i="16"/>
  <c r="AC4" i="16"/>
  <c r="AI4" i="16" s="1"/>
  <c r="AC5" i="16"/>
  <c r="AI5" i="16" s="1"/>
  <c r="AC6" i="16"/>
  <c r="AI6" i="16" s="1"/>
  <c r="AC7" i="16"/>
  <c r="AI7" i="16" s="1"/>
  <c r="AC8" i="16"/>
  <c r="AI8" i="16" s="1"/>
  <c r="AC9" i="16"/>
  <c r="AI9" i="16" s="1"/>
  <c r="AC10" i="16"/>
  <c r="AI10" i="16" s="1"/>
  <c r="AC11" i="16"/>
  <c r="AI11" i="16" s="1"/>
  <c r="AC12" i="16"/>
  <c r="AI12" i="16" s="1"/>
  <c r="AC13" i="16"/>
  <c r="AI13" i="16" s="1"/>
  <c r="AC14" i="16"/>
  <c r="AI14" i="16" s="1"/>
  <c r="AC15" i="16"/>
  <c r="AI15" i="16" s="1"/>
  <c r="AC16" i="16"/>
  <c r="AI16" i="16" s="1"/>
  <c r="AC17" i="16"/>
  <c r="AI17" i="16" s="1"/>
  <c r="AC18" i="16"/>
  <c r="AI18" i="16" s="1"/>
  <c r="AC19" i="16"/>
  <c r="AI19" i="16" s="1"/>
  <c r="AC20" i="16"/>
  <c r="AI20" i="16" s="1"/>
  <c r="AC21" i="16"/>
  <c r="AI21" i="16" s="1"/>
  <c r="AC22" i="16"/>
  <c r="AI22" i="16" s="1"/>
  <c r="AC23" i="16"/>
  <c r="AI23" i="16" s="1"/>
  <c r="AC24" i="16"/>
  <c r="AI24" i="16" s="1"/>
  <c r="AC25" i="16"/>
  <c r="AI25" i="16" s="1"/>
  <c r="AC26" i="16"/>
  <c r="AI26" i="16" s="1"/>
  <c r="AC27" i="16"/>
  <c r="AI27" i="16" s="1"/>
  <c r="AC28" i="16"/>
  <c r="AI28" i="16" s="1"/>
  <c r="AC29" i="16"/>
  <c r="AI29" i="16" s="1"/>
  <c r="AC30" i="16"/>
  <c r="AI30" i="16" s="1"/>
  <c r="AC31" i="16"/>
  <c r="AI31" i="16" s="1"/>
  <c r="AC32" i="16"/>
  <c r="AI32" i="16" s="1"/>
  <c r="AC33" i="16"/>
  <c r="AI33" i="16" s="1"/>
  <c r="AC34" i="16"/>
  <c r="AI34" i="16" s="1"/>
  <c r="AC35" i="16"/>
  <c r="AI35" i="16" s="1"/>
  <c r="AC36" i="16"/>
  <c r="AI36" i="16" s="1"/>
  <c r="AC37" i="16"/>
  <c r="AI37" i="16" s="1"/>
  <c r="AC38" i="16"/>
  <c r="AI38" i="16" s="1"/>
  <c r="AC39" i="16"/>
  <c r="AI39" i="16" s="1"/>
  <c r="AC40" i="16"/>
  <c r="AI40" i="16" s="1"/>
  <c r="AC41" i="16"/>
  <c r="AI41" i="16" s="1"/>
  <c r="AC42" i="16"/>
  <c r="AI42" i="16" s="1"/>
  <c r="AC43" i="16"/>
  <c r="AI43" i="16" s="1"/>
  <c r="AC44" i="16"/>
  <c r="AI44" i="16" s="1"/>
  <c r="AC45" i="16"/>
  <c r="AI45" i="16" s="1"/>
  <c r="AC46" i="16"/>
  <c r="AI46" i="16" s="1"/>
  <c r="AC47" i="16"/>
  <c r="AI47" i="16" s="1"/>
  <c r="AC48" i="16"/>
  <c r="AI48" i="16" s="1"/>
  <c r="AC49" i="16"/>
  <c r="AI49" i="16" s="1"/>
  <c r="AC50" i="16"/>
  <c r="AI50" i="16" s="1"/>
  <c r="AC51" i="16"/>
  <c r="AI51" i="16" s="1"/>
  <c r="AC52" i="16"/>
  <c r="AI52" i="16" s="1"/>
  <c r="AC3" i="16"/>
  <c r="AI3" i="16" s="1"/>
  <c r="X2" i="16"/>
  <c r="M2" i="16"/>
  <c r="K52" i="16"/>
  <c r="AB52" i="16" s="1"/>
  <c r="AH52" i="16" s="1"/>
  <c r="K51" i="16"/>
  <c r="AB51" i="16" s="1"/>
  <c r="AH51" i="16" s="1"/>
  <c r="K50" i="16"/>
  <c r="AB50" i="16" s="1"/>
  <c r="AH50" i="16" s="1"/>
  <c r="K49" i="16"/>
  <c r="AB49" i="16" s="1"/>
  <c r="AH49" i="16" s="1"/>
  <c r="K48" i="16"/>
  <c r="AB48" i="16" s="1"/>
  <c r="AH48" i="16" s="1"/>
  <c r="K47" i="16"/>
  <c r="AB47" i="16" s="1"/>
  <c r="AH47" i="16" s="1"/>
  <c r="K46" i="16"/>
  <c r="AB46" i="16" s="1"/>
  <c r="AH46" i="16" s="1"/>
  <c r="K45" i="16"/>
  <c r="AB45" i="16" s="1"/>
  <c r="AH45" i="16" s="1"/>
  <c r="K44" i="16"/>
  <c r="AB44" i="16" s="1"/>
  <c r="AH44" i="16" s="1"/>
  <c r="K43" i="16"/>
  <c r="AB43" i="16" s="1"/>
  <c r="AH43" i="16" s="1"/>
  <c r="K42" i="16"/>
  <c r="AB42" i="16" s="1"/>
  <c r="AH42" i="16" s="1"/>
  <c r="K41" i="16"/>
  <c r="AB41" i="16" s="1"/>
  <c r="AH41" i="16" s="1"/>
  <c r="K40" i="16"/>
  <c r="AB40" i="16" s="1"/>
  <c r="AH40" i="16" s="1"/>
  <c r="K39" i="16"/>
  <c r="AB39" i="16" s="1"/>
  <c r="AH39" i="16" s="1"/>
  <c r="K38" i="16"/>
  <c r="AB38" i="16" s="1"/>
  <c r="AH38" i="16" s="1"/>
  <c r="K37" i="16"/>
  <c r="AB37" i="16" s="1"/>
  <c r="AH37" i="16" s="1"/>
  <c r="K36" i="16"/>
  <c r="AB36" i="16" s="1"/>
  <c r="AH36" i="16" s="1"/>
  <c r="K35" i="16"/>
  <c r="AB35" i="16" s="1"/>
  <c r="AH35" i="16" s="1"/>
  <c r="K34" i="16"/>
  <c r="AB34" i="16" s="1"/>
  <c r="AH34" i="16" s="1"/>
  <c r="K33" i="16"/>
  <c r="AB33" i="16" s="1"/>
  <c r="AH33" i="16" s="1"/>
  <c r="K32" i="16"/>
  <c r="AB32" i="16" s="1"/>
  <c r="AH32" i="16" s="1"/>
  <c r="K31" i="16"/>
  <c r="AB31" i="16" s="1"/>
  <c r="AH31" i="16" s="1"/>
  <c r="K30" i="16"/>
  <c r="AB30" i="16" s="1"/>
  <c r="AH30" i="16" s="1"/>
  <c r="K29" i="16"/>
  <c r="AB29" i="16" s="1"/>
  <c r="AH29" i="16" s="1"/>
  <c r="K28" i="16"/>
  <c r="AB28" i="16" s="1"/>
  <c r="AH28" i="16" s="1"/>
  <c r="K27" i="16"/>
  <c r="AB27" i="16" s="1"/>
  <c r="AH27" i="16" s="1"/>
  <c r="K26" i="16"/>
  <c r="AB26" i="16" s="1"/>
  <c r="AH26" i="16" s="1"/>
  <c r="K25" i="16"/>
  <c r="AB25" i="16" s="1"/>
  <c r="AH25" i="16" s="1"/>
  <c r="K24" i="16"/>
  <c r="AB24" i="16" s="1"/>
  <c r="AH24" i="16" s="1"/>
  <c r="K23" i="16"/>
  <c r="AB23" i="16" s="1"/>
  <c r="AH23" i="16" s="1"/>
  <c r="K22" i="16"/>
  <c r="AB22" i="16" s="1"/>
  <c r="AH22" i="16" s="1"/>
  <c r="K21" i="16"/>
  <c r="AB21" i="16" s="1"/>
  <c r="AH21" i="16" s="1"/>
  <c r="K20" i="16"/>
  <c r="AB20" i="16" s="1"/>
  <c r="AH20" i="16" s="1"/>
  <c r="K19" i="16"/>
  <c r="AB19" i="16" s="1"/>
  <c r="AH19" i="16" s="1"/>
  <c r="K18" i="16"/>
  <c r="AB18" i="16" s="1"/>
  <c r="AH18" i="16" s="1"/>
  <c r="K17" i="16"/>
  <c r="AB17" i="16" s="1"/>
  <c r="AH17" i="16" s="1"/>
  <c r="K16" i="16"/>
  <c r="AB16" i="16" s="1"/>
  <c r="AH16" i="16" s="1"/>
  <c r="K15" i="16"/>
  <c r="AB15" i="16" s="1"/>
  <c r="AH15" i="16" s="1"/>
  <c r="K14" i="16"/>
  <c r="AB14" i="16" s="1"/>
  <c r="AH14" i="16" s="1"/>
  <c r="K13" i="16"/>
  <c r="AB13" i="16" s="1"/>
  <c r="AH13" i="16" s="1"/>
  <c r="K12" i="16"/>
  <c r="AB12" i="16" s="1"/>
  <c r="AH12" i="16" s="1"/>
  <c r="K11" i="16"/>
  <c r="AB11" i="16" s="1"/>
  <c r="AH11" i="16" s="1"/>
  <c r="K10" i="16"/>
  <c r="AB10" i="16" s="1"/>
  <c r="K9" i="16"/>
  <c r="AB9" i="16" s="1"/>
  <c r="AH9" i="16" s="1"/>
  <c r="K8" i="16"/>
  <c r="AB8" i="16" s="1"/>
  <c r="AH8" i="16" s="1"/>
  <c r="K7" i="16"/>
  <c r="AB7" i="16" s="1"/>
  <c r="AH7" i="16" s="1"/>
  <c r="K6" i="16"/>
  <c r="AB6" i="16" s="1"/>
  <c r="AH6" i="16" s="1"/>
  <c r="K5" i="16"/>
  <c r="AB5" i="16" s="1"/>
  <c r="AH5" i="16" s="1"/>
  <c r="K4" i="16"/>
  <c r="AB4" i="16" s="1"/>
  <c r="AH4" i="16" s="1"/>
  <c r="K3" i="16"/>
  <c r="AB3" i="16" s="1"/>
  <c r="AH3" i="16" s="1"/>
  <c r="AH10" i="16" l="1"/>
  <c r="AK10" i="16" s="1"/>
  <c r="AK5" i="16"/>
  <c r="AK21" i="16"/>
  <c r="AK6" i="16"/>
  <c r="AK45" i="16"/>
  <c r="AK3" i="16"/>
  <c r="AK29" i="16"/>
  <c r="AK15" i="16"/>
  <c r="AK23" i="16"/>
  <c r="AK9" i="16"/>
  <c r="AK17" i="16"/>
  <c r="AK25" i="16"/>
  <c r="AK33" i="16"/>
  <c r="AK41" i="16"/>
  <c r="AK49" i="16"/>
  <c r="AK8" i="16"/>
  <c r="AK16" i="16"/>
  <c r="AK26" i="16"/>
  <c r="AK34" i="16"/>
  <c r="AK42" i="16"/>
  <c r="AK50" i="16"/>
  <c r="AK18" i="16"/>
  <c r="AK19" i="16"/>
  <c r="AK43" i="16"/>
  <c r="AK37" i="16"/>
  <c r="AK11" i="16"/>
  <c r="AK27" i="16"/>
  <c r="AK35" i="16"/>
  <c r="AK51" i="16"/>
  <c r="AK13" i="16"/>
  <c r="AK14" i="16"/>
  <c r="AK30" i="16"/>
  <c r="AK46" i="16"/>
  <c r="AK39" i="16"/>
  <c r="AK22" i="16"/>
  <c r="AK38" i="16"/>
  <c r="AK32" i="16"/>
  <c r="AK48" i="16"/>
  <c r="AK31" i="16"/>
  <c r="AK24" i="16"/>
  <c r="AK40" i="16"/>
  <c r="AK7" i="16"/>
  <c r="AK47" i="16"/>
  <c r="AK4" i="16"/>
  <c r="AK12" i="16"/>
  <c r="AK20" i="16"/>
  <c r="AK28" i="16"/>
  <c r="AK36" i="16"/>
  <c r="AK44" i="16"/>
  <c r="AK52" i="16"/>
  <c r="BX32" i="15"/>
  <c r="BX30" i="15"/>
  <c r="BX28" i="15"/>
  <c r="BX27" i="15"/>
  <c r="P26" i="15"/>
  <c r="BV23" i="15"/>
  <c r="BX3" i="15" l="1"/>
  <c r="BX4" i="15"/>
  <c r="BX5" i="15"/>
  <c r="BX6" i="15"/>
  <c r="BX7" i="15"/>
  <c r="BX8" i="15"/>
  <c r="BX9" i="15"/>
  <c r="BX10" i="15"/>
  <c r="BX11" i="15"/>
  <c r="BX12" i="15"/>
  <c r="BX13" i="15"/>
  <c r="BX14" i="15"/>
  <c r="BX15" i="15"/>
  <c r="BX16" i="15"/>
  <c r="BX17" i="15"/>
  <c r="BX18" i="15"/>
  <c r="BX19" i="15"/>
  <c r="BX20" i="15"/>
  <c r="BX21" i="15"/>
  <c r="BX22" i="15"/>
  <c r="BX23" i="15"/>
  <c r="BX24" i="15"/>
  <c r="BX25" i="15"/>
  <c r="BX26" i="15"/>
  <c r="BX29" i="15"/>
  <c r="BX31" i="15"/>
  <c r="BX33" i="15"/>
  <c r="BX34" i="15"/>
  <c r="BX35" i="15"/>
  <c r="BX36" i="15"/>
  <c r="BX37" i="15"/>
  <c r="BX38" i="15"/>
  <c r="BX39" i="15"/>
  <c r="BX40" i="15"/>
  <c r="BX41" i="15"/>
  <c r="BX42" i="15"/>
  <c r="BX43" i="15"/>
  <c r="BX44" i="15"/>
  <c r="BX45" i="15"/>
  <c r="BX46" i="15"/>
  <c r="BX47" i="15"/>
  <c r="BX48" i="15"/>
  <c r="W2" i="15"/>
  <c r="V2" i="15"/>
  <c r="X2" i="15"/>
  <c r="BX51" i="15"/>
  <c r="BX52" i="15"/>
  <c r="BX53" i="15"/>
  <c r="BX54" i="15"/>
  <c r="BX55" i="15"/>
  <c r="BX56" i="15"/>
  <c r="BX57" i="15"/>
  <c r="BX58" i="15"/>
  <c r="BX59" i="15"/>
  <c r="BX60" i="15"/>
  <c r="BX61" i="15"/>
  <c r="BX62" i="15"/>
  <c r="BX63" i="15"/>
  <c r="BX64" i="15"/>
  <c r="BX65" i="15"/>
  <c r="BX66" i="15"/>
  <c r="BX67" i="15"/>
  <c r="BX68" i="15"/>
  <c r="BX69" i="15"/>
  <c r="BX70" i="15"/>
  <c r="BX71" i="15"/>
  <c r="BX49" i="15"/>
  <c r="BY71" i="15"/>
  <c r="BY69" i="15"/>
  <c r="BY63" i="15"/>
  <c r="BY62" i="15"/>
  <c r="BY59" i="15"/>
  <c r="BY58" i="15"/>
  <c r="BY57" i="15"/>
  <c r="BY56" i="15"/>
  <c r="BY55" i="15"/>
  <c r="BY54" i="15"/>
  <c r="BY53" i="15"/>
  <c r="BY52" i="15"/>
  <c r="BY48" i="15"/>
  <c r="BY47" i="15"/>
  <c r="BY46" i="15"/>
  <c r="BY45" i="15"/>
  <c r="BY44" i="15"/>
  <c r="BY43" i="15"/>
  <c r="BY36" i="15"/>
  <c r="BY35" i="15"/>
  <c r="BY32" i="15"/>
  <c r="BY28" i="15"/>
  <c r="BY26" i="15"/>
  <c r="BY25" i="15"/>
  <c r="BY22" i="15"/>
  <c r="BY21" i="15"/>
  <c r="BY17" i="15"/>
  <c r="BY10" i="15"/>
  <c r="BY9" i="15"/>
  <c r="BY8" i="15"/>
  <c r="BY7" i="15"/>
  <c r="BV4" i="15"/>
  <c r="BV5" i="15"/>
  <c r="BV6" i="15"/>
  <c r="BV7" i="15"/>
  <c r="BV8" i="15"/>
  <c r="BV9" i="15"/>
  <c r="BV10" i="15"/>
  <c r="BV11" i="15"/>
  <c r="BV12" i="15"/>
  <c r="BV13" i="15"/>
  <c r="BV14" i="15"/>
  <c r="BV15" i="15"/>
  <c r="BV16" i="15"/>
  <c r="BV17" i="15"/>
  <c r="BV18" i="15"/>
  <c r="BV19" i="15"/>
  <c r="BV20" i="15"/>
  <c r="BV21" i="15"/>
  <c r="BV22" i="15"/>
  <c r="BV24" i="15"/>
  <c r="BV25" i="15"/>
  <c r="BV26" i="15"/>
  <c r="BV27" i="15"/>
  <c r="BV29" i="15"/>
  <c r="BV30" i="15"/>
  <c r="BV31" i="15"/>
  <c r="BV32" i="15"/>
  <c r="BV33" i="15"/>
  <c r="BV34" i="15"/>
  <c r="BV35" i="15"/>
  <c r="BV36" i="15"/>
  <c r="BV37" i="15"/>
  <c r="BV38" i="15"/>
  <c r="BV39" i="15"/>
  <c r="BV40" i="15"/>
  <c r="BV41" i="15"/>
  <c r="BV42" i="15"/>
  <c r="BV43" i="15"/>
  <c r="BV44" i="15"/>
  <c r="BV45" i="15"/>
  <c r="BV46" i="15"/>
  <c r="BV47" i="15"/>
  <c r="BV48" i="15"/>
  <c r="BV49" i="15"/>
  <c r="BV50" i="15"/>
  <c r="BV51" i="15"/>
  <c r="BV52" i="15"/>
  <c r="BV53" i="15"/>
  <c r="BV54" i="15"/>
  <c r="BV55" i="15"/>
  <c r="BV56" i="15"/>
  <c r="BV57" i="15"/>
  <c r="BV58" i="15"/>
  <c r="BV59" i="15"/>
  <c r="BV60" i="15"/>
  <c r="BV61" i="15"/>
  <c r="BV62" i="15"/>
  <c r="BV63" i="15"/>
  <c r="BV64" i="15"/>
  <c r="BV65" i="15"/>
  <c r="BV66" i="15"/>
  <c r="BV67" i="15"/>
  <c r="BV68" i="15"/>
  <c r="BV69" i="15"/>
  <c r="BV70" i="15"/>
  <c r="BV71" i="15"/>
  <c r="BH71" i="15" l="1"/>
  <c r="Z71" i="15"/>
  <c r="P71" i="15"/>
  <c r="O71" i="15"/>
  <c r="Z70" i="15"/>
  <c r="Y70" i="15"/>
  <c r="X70" i="15"/>
  <c r="V70" i="15"/>
  <c r="BH69" i="15"/>
  <c r="Z69" i="15"/>
  <c r="P69" i="15"/>
  <c r="O69" i="15"/>
  <c r="Z65" i="15"/>
  <c r="BI64" i="15"/>
  <c r="BI63" i="15"/>
  <c r="Y63" i="15"/>
  <c r="Q63" i="15"/>
  <c r="P63" i="15"/>
  <c r="O63" i="15"/>
  <c r="X63" i="15" s="1"/>
  <c r="BI62" i="15"/>
  <c r="BH62" i="15"/>
  <c r="AX62" i="15"/>
  <c r="AW62" i="15"/>
  <c r="AU62" i="15"/>
  <c r="Z62" i="15"/>
  <c r="Y62" i="15"/>
  <c r="R62" i="15"/>
  <c r="Q62" i="15"/>
  <c r="P62" i="15"/>
  <c r="O62" i="15"/>
  <c r="AU61" i="15"/>
  <c r="Z61" i="15"/>
  <c r="Y61" i="15"/>
  <c r="X61" i="15"/>
  <c r="W61" i="15"/>
  <c r="R61" i="15"/>
  <c r="Y60" i="15"/>
  <c r="X60" i="15"/>
  <c r="BH59" i="15"/>
  <c r="Z59" i="15"/>
  <c r="P59" i="15"/>
  <c r="Y59" i="15" s="1"/>
  <c r="O59" i="15"/>
  <c r="X59" i="15" s="1"/>
  <c r="BI58" i="15"/>
  <c r="BH58" i="15"/>
  <c r="AX58" i="15"/>
  <c r="Z58" i="15"/>
  <c r="P58" i="15"/>
  <c r="Y58" i="15" s="1"/>
  <c r="O58" i="15"/>
  <c r="X58" i="15" s="1"/>
  <c r="AC57" i="15"/>
  <c r="Z57" i="15"/>
  <c r="P57" i="15"/>
  <c r="O57" i="15"/>
  <c r="AX56" i="15"/>
  <c r="AU56" i="15"/>
  <c r="Z56" i="15"/>
  <c r="Y56" i="15"/>
  <c r="X56" i="15"/>
  <c r="W56" i="15"/>
  <c r="P56" i="15"/>
  <c r="R56" i="15" s="1"/>
  <c r="O56" i="15"/>
  <c r="AX55" i="15"/>
  <c r="AU55" i="15"/>
  <c r="Z55" i="15"/>
  <c r="Y55" i="15"/>
  <c r="X55" i="15"/>
  <c r="R55" i="15"/>
  <c r="P55" i="15"/>
  <c r="O55" i="15"/>
  <c r="W55" i="15" s="1"/>
  <c r="AX54" i="15"/>
  <c r="AU54" i="15"/>
  <c r="Z54" i="15"/>
  <c r="Y54" i="15"/>
  <c r="P54" i="15"/>
  <c r="R54" i="15" s="1"/>
  <c r="O54" i="15"/>
  <c r="X54" i="15" s="1"/>
  <c r="AU53" i="15"/>
  <c r="Z53" i="15"/>
  <c r="Y53" i="15"/>
  <c r="X53" i="15"/>
  <c r="BS52" i="15"/>
  <c r="BI52" i="15"/>
  <c r="AW52" i="15"/>
  <c r="AU52" i="15"/>
  <c r="AT52" i="15"/>
  <c r="Z52" i="15"/>
  <c r="Y52" i="15"/>
  <c r="X52" i="15"/>
  <c r="W52" i="15"/>
  <c r="Q52" i="15"/>
  <c r="Z51" i="15"/>
  <c r="Y51" i="15"/>
  <c r="X51" i="15"/>
  <c r="AX50" i="15"/>
  <c r="X50" i="15"/>
  <c r="Z49" i="15"/>
  <c r="BF48" i="15"/>
  <c r="AE48" i="15"/>
  <c r="Z48" i="15"/>
  <c r="Q48" i="15"/>
  <c r="O48" i="15"/>
  <c r="BI47" i="15"/>
  <c r="BH47" i="15"/>
  <c r="AF47" i="15"/>
  <c r="AB47" i="15"/>
  <c r="Z47" i="15"/>
  <c r="R47" i="15"/>
  <c r="O47" i="15"/>
  <c r="BH46" i="15"/>
  <c r="AY46" i="15"/>
  <c r="AR46" i="15"/>
  <c r="AA46" i="15"/>
  <c r="Z46" i="15"/>
  <c r="R46" i="15"/>
  <c r="O46" i="15"/>
  <c r="AP45" i="15"/>
  <c r="AO45" i="15"/>
  <c r="AN45" i="15"/>
  <c r="AF45" i="15"/>
  <c r="Z45" i="15"/>
  <c r="R45" i="15"/>
  <c r="O45" i="15"/>
  <c r="BO44" i="15"/>
  <c r="BN44" i="15"/>
  <c r="BM44" i="15"/>
  <c r="BI44" i="15"/>
  <c r="BH44" i="15"/>
  <c r="AR44" i="15"/>
  <c r="AF44" i="15"/>
  <c r="AA44" i="15"/>
  <c r="Z44" i="15"/>
  <c r="R44" i="15"/>
  <c r="O44" i="15"/>
  <c r="BH43" i="15"/>
  <c r="AE43" i="15"/>
  <c r="Z43" i="15"/>
  <c r="P43" i="15"/>
  <c r="O43" i="15"/>
  <c r="AA42" i="15"/>
  <c r="AA41" i="15"/>
  <c r="AC37" i="15"/>
  <c r="BI36" i="15"/>
  <c r="AI36" i="15"/>
  <c r="AH36" i="15"/>
  <c r="AE36" i="15"/>
  <c r="O36" i="15"/>
  <c r="BH35" i="15"/>
  <c r="BE35" i="15"/>
  <c r="BD35" i="15"/>
  <c r="AJ35" i="15"/>
  <c r="AH35" i="15"/>
  <c r="AE35" i="15"/>
  <c r="O35" i="15"/>
  <c r="AL34" i="15"/>
  <c r="AK34" i="15"/>
  <c r="Z34" i="15"/>
  <c r="BR33" i="15"/>
  <c r="AM33" i="15"/>
  <c r="AL33" i="15"/>
  <c r="AK33" i="15"/>
  <c r="Z33" i="15"/>
  <c r="BG32" i="15"/>
  <c r="AY32" i="15"/>
  <c r="P32" i="15"/>
  <c r="O32" i="15"/>
  <c r="AY31" i="15"/>
  <c r="Z31" i="15"/>
  <c r="X31" i="15"/>
  <c r="V31" i="15"/>
  <c r="Z30" i="15"/>
  <c r="BI28" i="15"/>
  <c r="AY28" i="15"/>
  <c r="AD28" i="15"/>
  <c r="AY26" i="15"/>
  <c r="Z26" i="15"/>
  <c r="O26" i="15"/>
  <c r="AY25" i="15"/>
  <c r="Z25" i="15"/>
  <c r="Q25" i="15"/>
  <c r="P25" i="15"/>
  <c r="O25" i="15"/>
  <c r="BK23" i="15"/>
  <c r="AQ23" i="15"/>
  <c r="R23" i="15"/>
  <c r="BH22" i="15"/>
  <c r="AE22" i="15"/>
  <c r="Z22" i="15"/>
  <c r="P22" i="15"/>
  <c r="O22" i="15"/>
  <c r="AE21" i="15"/>
  <c r="Z21" i="15"/>
  <c r="Q21" i="15"/>
  <c r="O21" i="15"/>
  <c r="AC20" i="15"/>
  <c r="Y20" i="15"/>
  <c r="P20" i="15"/>
  <c r="AC19" i="15"/>
  <c r="Y19" i="15"/>
  <c r="P19" i="15"/>
  <c r="BH17" i="15"/>
  <c r="AG17" i="15"/>
  <c r="Z17" i="15"/>
  <c r="P17" i="15"/>
  <c r="O17" i="15"/>
  <c r="Z14" i="15"/>
  <c r="AT13" i="15"/>
  <c r="Z13" i="15"/>
  <c r="AT12" i="15"/>
  <c r="Z12" i="15"/>
  <c r="Z11" i="15"/>
  <c r="BC10" i="15"/>
  <c r="AU10" i="15"/>
  <c r="AT10" i="15"/>
  <c r="Z10" i="15"/>
  <c r="U10" i="15"/>
  <c r="T10" i="15"/>
  <c r="R10" i="15"/>
  <c r="Q10" i="15"/>
  <c r="O10" i="15"/>
  <c r="BB9" i="15"/>
  <c r="AU9" i="15"/>
  <c r="AT9" i="15"/>
  <c r="Z9" i="15"/>
  <c r="T9" i="15"/>
  <c r="S9" i="15"/>
  <c r="R9" i="15"/>
  <c r="Q9" i="15"/>
  <c r="O9" i="15"/>
  <c r="BA8" i="15"/>
  <c r="AU8" i="15"/>
  <c r="AT8" i="15"/>
  <c r="Z8" i="15"/>
  <c r="S8" i="15"/>
  <c r="R8" i="15"/>
  <c r="Q8" i="15"/>
  <c r="O8" i="15"/>
  <c r="AU7" i="15"/>
  <c r="AT7" i="15"/>
  <c r="Z7" i="15"/>
  <c r="R7" i="15"/>
  <c r="Q7" i="15"/>
  <c r="O7" i="15"/>
  <c r="BI6" i="15"/>
  <c r="BG6" i="15"/>
  <c r="AU6" i="15"/>
  <c r="AT6" i="15"/>
  <c r="Q6" i="15"/>
  <c r="BI5" i="15"/>
  <c r="BG5" i="15"/>
  <c r="AU5" i="15"/>
  <c r="AT5" i="15"/>
  <c r="Q5" i="15"/>
  <c r="BI4" i="15"/>
  <c r="BG4" i="15"/>
  <c r="AU4" i="15"/>
  <c r="AT4" i="15"/>
  <c r="BV3" i="15"/>
  <c r="AC3" i="15"/>
  <c r="Z3" i="15"/>
  <c r="AZ2" i="15"/>
  <c r="AX2" i="15"/>
  <c r="AG2" i="15"/>
  <c r="AC2" i="15"/>
  <c r="BT26" i="15" l="1"/>
  <c r="BT52" i="15"/>
  <c r="BT49" i="15"/>
  <c r="BT25" i="15"/>
  <c r="BU10" i="15"/>
  <c r="BU18" i="15"/>
  <c r="BU26" i="15"/>
  <c r="BU34" i="15"/>
  <c r="BU42" i="15"/>
  <c r="BU50" i="15"/>
  <c r="BU58" i="15"/>
  <c r="BU66" i="15"/>
  <c r="BU16" i="15"/>
  <c r="BU3" i="15"/>
  <c r="BU25" i="15"/>
  <c r="BU11" i="15"/>
  <c r="BU19" i="15"/>
  <c r="BU27" i="15"/>
  <c r="BU35" i="15"/>
  <c r="BU43" i="15"/>
  <c r="BU51" i="15"/>
  <c r="BU59" i="15"/>
  <c r="BU67" i="15"/>
  <c r="BU48" i="15"/>
  <c r="BU17" i="15"/>
  <c r="BU57" i="15"/>
  <c r="BU4" i="15"/>
  <c r="BU12" i="15"/>
  <c r="BU20" i="15"/>
  <c r="BU28" i="15"/>
  <c r="BU36" i="15"/>
  <c r="BU44" i="15"/>
  <c r="BU52" i="15"/>
  <c r="BU60" i="15"/>
  <c r="BU68" i="15"/>
  <c r="BU24" i="15"/>
  <c r="BU56" i="15"/>
  <c r="BU49" i="15"/>
  <c r="BU5" i="15"/>
  <c r="BU13" i="15"/>
  <c r="BU21" i="15"/>
  <c r="BU29" i="15"/>
  <c r="BU37" i="15"/>
  <c r="BU45" i="15"/>
  <c r="BU53" i="15"/>
  <c r="BU61" i="15"/>
  <c r="BU69" i="15"/>
  <c r="BU32" i="15"/>
  <c r="BU41" i="15"/>
  <c r="BU6" i="15"/>
  <c r="BU14" i="15"/>
  <c r="BU22" i="15"/>
  <c r="BU30" i="15"/>
  <c r="BU38" i="15"/>
  <c r="BU46" i="15"/>
  <c r="BU54" i="15"/>
  <c r="BU62" i="15"/>
  <c r="BU70" i="15"/>
  <c r="BU8" i="15"/>
  <c r="BU64" i="15"/>
  <c r="BU9" i="15"/>
  <c r="BU65" i="15"/>
  <c r="BU7" i="15"/>
  <c r="BU15" i="15"/>
  <c r="BU23" i="15"/>
  <c r="BU31" i="15"/>
  <c r="BU39" i="15"/>
  <c r="BU47" i="15"/>
  <c r="BU55" i="15"/>
  <c r="BU63" i="15"/>
  <c r="BU71" i="15"/>
  <c r="BU40" i="15"/>
  <c r="BU33" i="15"/>
  <c r="BT46" i="15"/>
  <c r="BT7" i="15"/>
  <c r="BT57" i="15"/>
  <c r="BT12" i="15"/>
  <c r="BT51" i="15"/>
  <c r="BT4" i="15"/>
  <c r="BT16" i="15"/>
  <c r="BT30" i="15"/>
  <c r="BT40" i="15"/>
  <c r="BT53" i="15"/>
  <c r="BT65" i="15"/>
  <c r="BT15" i="15"/>
  <c r="BT19" i="15"/>
  <c r="BT5" i="15"/>
  <c r="BT17" i="15"/>
  <c r="BT31" i="15"/>
  <c r="BT41" i="15"/>
  <c r="BT66" i="15"/>
  <c r="BT61" i="15"/>
  <c r="BT43" i="15"/>
  <c r="BT38" i="15"/>
  <c r="BT50" i="15"/>
  <c r="BT20" i="15"/>
  <c r="BT59" i="15"/>
  <c r="BT6" i="15"/>
  <c r="BT18" i="15"/>
  <c r="BT32" i="15"/>
  <c r="BT42" i="15"/>
  <c r="BT55" i="15"/>
  <c r="BT69" i="15"/>
  <c r="BT33" i="15"/>
  <c r="BT71" i="15"/>
  <c r="BT39" i="15"/>
  <c r="BT27" i="15"/>
  <c r="BT60" i="15"/>
  <c r="BT8" i="15"/>
  <c r="BT21" i="15"/>
  <c r="BT45" i="15"/>
  <c r="BT70" i="15"/>
  <c r="BT13" i="15"/>
  <c r="BT44" i="15"/>
  <c r="BT29" i="15"/>
  <c r="BT35" i="15"/>
  <c r="BT67" i="15"/>
  <c r="BT9" i="15"/>
  <c r="BT22" i="15"/>
  <c r="BT34" i="15"/>
  <c r="BT47" i="15"/>
  <c r="BT11" i="15"/>
  <c r="BT64" i="15"/>
  <c r="BT36" i="15"/>
  <c r="BT68" i="15"/>
  <c r="BT10" i="15"/>
  <c r="BT23" i="15"/>
  <c r="BT37" i="15"/>
  <c r="BT48" i="15"/>
  <c r="BT62" i="15"/>
  <c r="BT3" i="15"/>
  <c r="BT24" i="15"/>
  <c r="BT14" i="15"/>
  <c r="BT56" i="15"/>
  <c r="Q28" i="15"/>
  <c r="AS28" i="15"/>
  <c r="S28" i="15"/>
  <c r="BP28" i="15"/>
  <c r="W58" i="15"/>
  <c r="BT58" i="15" s="1"/>
  <c r="V28" i="15"/>
  <c r="BQ28" i="15"/>
  <c r="W54" i="15"/>
  <c r="BT54" i="15" s="1"/>
  <c r="V63" i="15"/>
  <c r="BT63" i="15" s="1"/>
  <c r="CA50" i="15" l="1"/>
  <c r="BZ27" i="15"/>
  <c r="BZ23" i="15"/>
  <c r="CA23" i="15"/>
  <c r="CA40" i="15"/>
  <c r="BZ40" i="15"/>
  <c r="CA15" i="15"/>
  <c r="BZ15" i="15"/>
  <c r="BZ54" i="15"/>
  <c r="CA54" i="15"/>
  <c r="CA32" i="15"/>
  <c r="BZ32" i="15"/>
  <c r="BZ13" i="15"/>
  <c r="CA13" i="15"/>
  <c r="BZ44" i="15"/>
  <c r="CA44" i="15"/>
  <c r="CA48" i="15"/>
  <c r="BZ48" i="15"/>
  <c r="BZ11" i="15"/>
  <c r="CA11" i="15"/>
  <c r="BZ34" i="15"/>
  <c r="CA34" i="15"/>
  <c r="CA71" i="15"/>
  <c r="BZ71" i="15"/>
  <c r="CA7" i="15"/>
  <c r="BZ7" i="15"/>
  <c r="CA46" i="15"/>
  <c r="BZ46" i="15"/>
  <c r="BZ69" i="15"/>
  <c r="CA69" i="15"/>
  <c r="BZ5" i="15"/>
  <c r="CA5" i="15"/>
  <c r="BZ36" i="15"/>
  <c r="CA36" i="15"/>
  <c r="BZ67" i="15"/>
  <c r="CA67" i="15"/>
  <c r="CA25" i="15"/>
  <c r="BZ25" i="15"/>
  <c r="CA26" i="15"/>
  <c r="BZ26" i="15"/>
  <c r="CA63" i="15"/>
  <c r="BZ63" i="15"/>
  <c r="CA65" i="15"/>
  <c r="BZ65" i="15"/>
  <c r="BZ38" i="15"/>
  <c r="CA38" i="15"/>
  <c r="BZ61" i="15"/>
  <c r="CA61" i="15"/>
  <c r="CA49" i="15"/>
  <c r="BZ49" i="15"/>
  <c r="BZ59" i="15"/>
  <c r="CA59" i="15"/>
  <c r="BZ3" i="15"/>
  <c r="CA3" i="15"/>
  <c r="CA18" i="15"/>
  <c r="BZ18" i="15"/>
  <c r="CA55" i="15"/>
  <c r="BZ55" i="15"/>
  <c r="CA9" i="15"/>
  <c r="BZ9" i="15"/>
  <c r="BZ30" i="15"/>
  <c r="CA30" i="15"/>
  <c r="BZ53" i="15"/>
  <c r="CA53" i="15"/>
  <c r="CA56" i="15"/>
  <c r="BZ56" i="15"/>
  <c r="BZ20" i="15"/>
  <c r="CA20" i="15"/>
  <c r="BZ51" i="15"/>
  <c r="CA51" i="15"/>
  <c r="CA16" i="15"/>
  <c r="BZ16" i="15"/>
  <c r="CA10" i="15"/>
  <c r="BZ10" i="15"/>
  <c r="CA8" i="15"/>
  <c r="BZ8" i="15"/>
  <c r="CA47" i="15"/>
  <c r="BZ47" i="15"/>
  <c r="CA64" i="15"/>
  <c r="BZ64" i="15"/>
  <c r="BZ22" i="15"/>
  <c r="CA22" i="15"/>
  <c r="BZ45" i="15"/>
  <c r="CA45" i="15"/>
  <c r="CA24" i="15"/>
  <c r="BZ24" i="15"/>
  <c r="BZ12" i="15"/>
  <c r="CA12" i="15"/>
  <c r="BZ43" i="15"/>
  <c r="CA43" i="15"/>
  <c r="CA66" i="15"/>
  <c r="BZ66" i="15"/>
  <c r="CA58" i="15"/>
  <c r="BZ58" i="15"/>
  <c r="CA39" i="15"/>
  <c r="BZ39" i="15"/>
  <c r="BZ37" i="15"/>
  <c r="CA37" i="15"/>
  <c r="BZ4" i="15"/>
  <c r="CA4" i="15"/>
  <c r="CA31" i="15"/>
  <c r="BZ31" i="15"/>
  <c r="BZ70" i="15"/>
  <c r="CA70" i="15"/>
  <c r="CA6" i="15"/>
  <c r="BZ6" i="15"/>
  <c r="BZ29" i="15"/>
  <c r="CA29" i="15"/>
  <c r="BZ60" i="15"/>
  <c r="CA60" i="15"/>
  <c r="CA57" i="15"/>
  <c r="BZ57" i="15"/>
  <c r="CA27" i="15"/>
  <c r="BZ50" i="15"/>
  <c r="BZ14" i="15"/>
  <c r="CA14" i="15"/>
  <c r="BZ68" i="15"/>
  <c r="CA68" i="15"/>
  <c r="BZ35" i="15"/>
  <c r="CA35" i="15"/>
  <c r="CA33" i="15"/>
  <c r="BZ33" i="15"/>
  <c r="CA62" i="15"/>
  <c r="BZ62" i="15"/>
  <c r="CA41" i="15"/>
  <c r="BZ41" i="15"/>
  <c r="BZ21" i="15"/>
  <c r="CA21" i="15"/>
  <c r="BZ52" i="15"/>
  <c r="CA52" i="15"/>
  <c r="CA17" i="15"/>
  <c r="BZ17" i="15"/>
  <c r="BZ19" i="15"/>
  <c r="CA19" i="15"/>
  <c r="BZ42" i="15"/>
  <c r="CA42" i="15"/>
  <c r="BT28" i="15"/>
  <c r="BV28" i="15"/>
  <c r="BZ28" i="15" l="1"/>
  <c r="CA28" i="15"/>
  <c r="BH70" i="13"/>
  <c r="Z70" i="13"/>
  <c r="P70" i="13"/>
  <c r="O70" i="13"/>
  <c r="Z69" i="13"/>
  <c r="Y69" i="13"/>
  <c r="X69" i="13"/>
  <c r="V69" i="13"/>
  <c r="BH68" i="13"/>
  <c r="Z68" i="13"/>
  <c r="P68" i="13"/>
  <c r="O68" i="13"/>
  <c r="Z64" i="13"/>
  <c r="BI63" i="13"/>
  <c r="BI62" i="13"/>
  <c r="P62" i="13"/>
  <c r="Q62" i="13" s="1"/>
  <c r="O62" i="13"/>
  <c r="X62" i="13" s="1"/>
  <c r="BI61" i="13"/>
  <c r="BH61" i="13"/>
  <c r="AX61" i="13"/>
  <c r="AW61" i="13"/>
  <c r="AU61" i="13"/>
  <c r="Z61" i="13"/>
  <c r="Y61" i="13"/>
  <c r="R61" i="13"/>
  <c r="Q61" i="13"/>
  <c r="P61" i="13"/>
  <c r="O61" i="13"/>
  <c r="AU60" i="13"/>
  <c r="Z60" i="13"/>
  <c r="Y60" i="13"/>
  <c r="X60" i="13"/>
  <c r="W60" i="13"/>
  <c r="R60" i="13"/>
  <c r="Y59" i="13"/>
  <c r="X59" i="13"/>
  <c r="BH58" i="13"/>
  <c r="Z58" i="13"/>
  <c r="Y58" i="13"/>
  <c r="P58" i="13"/>
  <c r="O58" i="13"/>
  <c r="X58" i="13" s="1"/>
  <c r="BI57" i="13"/>
  <c r="BH57" i="13"/>
  <c r="AX57" i="13"/>
  <c r="Z57" i="13"/>
  <c r="P57" i="13"/>
  <c r="Y57" i="13" s="1"/>
  <c r="O57" i="13"/>
  <c r="W57" i="13" s="1"/>
  <c r="AC56" i="13"/>
  <c r="Z56" i="13"/>
  <c r="P56" i="13"/>
  <c r="O56" i="13"/>
  <c r="AX55" i="13"/>
  <c r="AU55" i="13"/>
  <c r="Z55" i="13"/>
  <c r="P55" i="13"/>
  <c r="R55" i="13" s="1"/>
  <c r="O55" i="13"/>
  <c r="W55" i="13" s="1"/>
  <c r="AX54" i="13"/>
  <c r="AU54" i="13"/>
  <c r="Z54" i="13"/>
  <c r="P54" i="13"/>
  <c r="R54" i="13" s="1"/>
  <c r="O54" i="13"/>
  <c r="W54" i="13" s="1"/>
  <c r="AX53" i="13"/>
  <c r="AU53" i="13"/>
  <c r="Z53" i="13"/>
  <c r="P53" i="13"/>
  <c r="R53" i="13" s="1"/>
  <c r="O53" i="13"/>
  <c r="W53" i="13" s="1"/>
  <c r="AU52" i="13"/>
  <c r="Z52" i="13"/>
  <c r="Y52" i="13"/>
  <c r="X52" i="13"/>
  <c r="P52" i="13"/>
  <c r="O52" i="13"/>
  <c r="BS51" i="13"/>
  <c r="BI51" i="13"/>
  <c r="AW51" i="13"/>
  <c r="AU51" i="13"/>
  <c r="AT51" i="13"/>
  <c r="Z51" i="13"/>
  <c r="Y51" i="13"/>
  <c r="X51" i="13"/>
  <c r="W51" i="13"/>
  <c r="Q51" i="13"/>
  <c r="P51" i="13"/>
  <c r="O51" i="13"/>
  <c r="Z50" i="13"/>
  <c r="Y50" i="13"/>
  <c r="X50" i="13"/>
  <c r="AX49" i="13"/>
  <c r="Y49" i="13"/>
  <c r="X49" i="13"/>
  <c r="Q49" i="13"/>
  <c r="Z48" i="13"/>
  <c r="BF47" i="13"/>
  <c r="AE47" i="13"/>
  <c r="Z47" i="13"/>
  <c r="Q47" i="13"/>
  <c r="O47" i="13"/>
  <c r="BI46" i="13"/>
  <c r="BH46" i="13"/>
  <c r="AF46" i="13"/>
  <c r="AB46" i="13"/>
  <c r="Z46" i="13"/>
  <c r="R46" i="13"/>
  <c r="O46" i="13"/>
  <c r="BH45" i="13"/>
  <c r="AY45" i="13"/>
  <c r="AR45" i="13"/>
  <c r="AA45" i="13"/>
  <c r="Z45" i="13"/>
  <c r="R45" i="13"/>
  <c r="O45" i="13"/>
  <c r="AP44" i="13"/>
  <c r="AO44" i="13"/>
  <c r="AN44" i="13"/>
  <c r="AF44" i="13"/>
  <c r="Z44" i="13"/>
  <c r="R44" i="13"/>
  <c r="O44" i="13"/>
  <c r="BO43" i="13"/>
  <c r="BN43" i="13"/>
  <c r="BM43" i="13"/>
  <c r="BI43" i="13"/>
  <c r="BH43" i="13"/>
  <c r="AR43" i="13"/>
  <c r="AF43" i="13"/>
  <c r="AA43" i="13"/>
  <c r="Z43" i="13"/>
  <c r="R43" i="13"/>
  <c r="O43" i="13"/>
  <c r="BH42" i="13"/>
  <c r="AE42" i="13"/>
  <c r="Z42" i="13"/>
  <c r="P42" i="13"/>
  <c r="O42" i="13"/>
  <c r="AA41" i="13"/>
  <c r="AA40" i="13"/>
  <c r="AC36" i="13"/>
  <c r="BI35" i="13"/>
  <c r="AI35" i="13"/>
  <c r="AH35" i="13"/>
  <c r="AE35" i="13"/>
  <c r="O35" i="13"/>
  <c r="BH34" i="13"/>
  <c r="BE34" i="13"/>
  <c r="BD34" i="13"/>
  <c r="AJ34" i="13"/>
  <c r="AH34" i="13"/>
  <c r="AE34" i="13"/>
  <c r="O34" i="13"/>
  <c r="AL33" i="13"/>
  <c r="AK33" i="13"/>
  <c r="Z33" i="13"/>
  <c r="BR32" i="13"/>
  <c r="AM32" i="13"/>
  <c r="AL32" i="13"/>
  <c r="AK32" i="13"/>
  <c r="Z32" i="13"/>
  <c r="BG31" i="13"/>
  <c r="AY31" i="13"/>
  <c r="P31" i="13"/>
  <c r="O31" i="13"/>
  <c r="AY30" i="13"/>
  <c r="Z30" i="13"/>
  <c r="X30" i="13"/>
  <c r="V30" i="13"/>
  <c r="Z29" i="13"/>
  <c r="Y29" i="13"/>
  <c r="BI27" i="13"/>
  <c r="P27" i="13"/>
  <c r="Y27" i="13" s="1"/>
  <c r="O27" i="13"/>
  <c r="AS27" i="13" s="1"/>
  <c r="Y26" i="13"/>
  <c r="X26" i="13"/>
  <c r="Q26" i="13"/>
  <c r="AY25" i="13"/>
  <c r="Z25" i="13"/>
  <c r="P25" i="13"/>
  <c r="Q25" i="13" s="1"/>
  <c r="O25" i="13"/>
  <c r="AY24" i="13"/>
  <c r="Z24" i="13"/>
  <c r="P24" i="13"/>
  <c r="Q24" i="13" s="1"/>
  <c r="O24" i="13"/>
  <c r="BK22" i="13"/>
  <c r="AQ22" i="13"/>
  <c r="R22" i="13"/>
  <c r="BH21" i="13"/>
  <c r="AE21" i="13"/>
  <c r="Z21" i="13"/>
  <c r="P21" i="13"/>
  <c r="O21" i="13"/>
  <c r="AE20" i="13"/>
  <c r="Z20" i="13"/>
  <c r="Q20" i="13"/>
  <c r="O20" i="13"/>
  <c r="AC19" i="13"/>
  <c r="Y19" i="13"/>
  <c r="P19" i="13"/>
  <c r="AC18" i="13"/>
  <c r="Y18" i="13"/>
  <c r="P18" i="13"/>
  <c r="BH16" i="13"/>
  <c r="AG16" i="13"/>
  <c r="Z16" i="13"/>
  <c r="P16" i="13"/>
  <c r="O16" i="13"/>
  <c r="Z13" i="13"/>
  <c r="AT12" i="13"/>
  <c r="Z12" i="13"/>
  <c r="AT11" i="13"/>
  <c r="Z11" i="13"/>
  <c r="Z10" i="13"/>
  <c r="BC9" i="13"/>
  <c r="AU9" i="13"/>
  <c r="AT9" i="13"/>
  <c r="Z9" i="13"/>
  <c r="U9" i="13"/>
  <c r="T9" i="13"/>
  <c r="R9" i="13"/>
  <c r="Q9" i="13"/>
  <c r="O9" i="13"/>
  <c r="BB8" i="13"/>
  <c r="AU8" i="13"/>
  <c r="AT8" i="13"/>
  <c r="Z8" i="13"/>
  <c r="T8" i="13"/>
  <c r="S8" i="13"/>
  <c r="R8" i="13"/>
  <c r="Q8" i="13"/>
  <c r="O8" i="13"/>
  <c r="BA7" i="13"/>
  <c r="AU7" i="13"/>
  <c r="AT7" i="13"/>
  <c r="Z7" i="13"/>
  <c r="S7" i="13"/>
  <c r="R7" i="13"/>
  <c r="Q7" i="13"/>
  <c r="O7" i="13"/>
  <c r="AU6" i="13"/>
  <c r="AT6" i="13"/>
  <c r="Z6" i="13"/>
  <c r="R6" i="13"/>
  <c r="Q6" i="13"/>
  <c r="O6" i="13"/>
  <c r="BI5" i="13"/>
  <c r="BG5" i="13"/>
  <c r="AU5" i="13"/>
  <c r="AT5" i="13"/>
  <c r="Q5" i="13"/>
  <c r="BI4" i="13"/>
  <c r="BG4" i="13"/>
  <c r="AU4" i="13"/>
  <c r="AT4" i="13"/>
  <c r="Q4" i="13"/>
  <c r="BI3" i="13"/>
  <c r="BG3" i="13"/>
  <c r="AU3" i="13"/>
  <c r="AT3" i="13"/>
  <c r="AC2" i="13"/>
  <c r="Z2" i="13"/>
  <c r="X53" i="13" l="1"/>
  <c r="Y53" i="13"/>
  <c r="X54" i="13"/>
  <c r="AY27" i="13"/>
  <c r="X55" i="13"/>
  <c r="Y62" i="13"/>
  <c r="Y54" i="13"/>
  <c r="X57" i="13"/>
  <c r="V62" i="13"/>
  <c r="Y55" i="13"/>
  <c r="BP27" i="13"/>
  <c r="Q27" i="13"/>
  <c r="S27" i="13"/>
  <c r="V27" i="13"/>
  <c r="BQ27" i="13"/>
  <c r="X27" i="13"/>
  <c r="AD27"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tc={78E48390-47A0-014A-B00E-C97CA069AFB2}</author>
    <author>tc={3FA6383E-E31D-674E-AB13-8966171D6B1F}</author>
    <author>tc={10D89A10-296C-FA44-8129-C89ADF7BD25A}</author>
    <author>tc={9844161E-F483-A540-B471-27AF19FCF78E}</author>
    <author>tc={09DECDB3-EAB1-F24A-9D03-07ADF38B6BFB}</author>
    <author>tc={4C2595F1-7E29-514F-9506-9E4C90ADD9B4}</author>
    <author>tc={3A315DED-BF1C-1344-AC16-2B62B87F15C5}</author>
    <author>tc={5A464780-D369-1D43-A670-566F87C2C31F}</author>
    <author>tc={E21B8D41-DF64-B349-84F7-895FC1203887}</author>
    <author>tc={F43523F4-7289-E741-B213-4DD3842FDFD9}</author>
    <author>tc={07635AA2-B2FF-4E4F-A146-FD78990AC30A}</author>
    <author>tc={40FC78C5-9FC5-854C-B9C0-C669BE8775BF}</author>
    <author>tc={56CABC68-3B41-F344-B93F-B74926526017}</author>
    <author>tc={849D34F7-8D31-D94C-8008-EEC301C8C819}</author>
    <author>tc={A7D452A5-12A8-5A4D-A362-3958777AC356}</author>
    <author>tc={74ADA9F3-B90F-FA4D-AA70-4EF9117194E9}</author>
    <author>tc={ACA028F0-BB00-BA42-B1BC-19636F480BB8}</author>
    <author>tc={888BDB2F-4776-1F4F-94DD-922D6C8DFFEB}</author>
    <author>tc={AE4D059F-4AF5-A749-91A5-5C024263CB57}</author>
    <author>tc={A0385FF6-8D10-454F-BE04-DE36E458EC6B}</author>
    <author>tc={8C1A69B5-5108-6449-BD4F-06BCA23B1B02}</author>
    <author>tc={860FA1F1-D4B3-A14B-867B-D78B1FC012EB}</author>
    <author>tc={E62934E6-D6FC-5A42-8275-C5F6521741C2}</author>
    <author>tc={AE6047E0-7BDA-C94C-8AA4-70E1A79FCC54}</author>
    <author>tc={0BBF86F4-AA5A-7A46-A7EE-5157C700AD32}</author>
    <author>tc={594A9F03-AA1F-DD4E-AE20-20CE985B4C24}</author>
    <author>tc={EBD0767B-A2DC-DE42-9DAB-78916A552D97}</author>
    <author>tc={6B3094A4-C226-084A-B782-0FD42A2DCF26}</author>
    <author>tc={24C00EE6-04C4-F640-AAB9-E6AE00E43898}</author>
    <author>tc={11F97EB1-9FBA-6649-BD91-611E8BE5EB0D}</author>
    <author>tc={D583EACC-FE14-1044-BE4E-187DA3CA9250}</author>
    <author>tc={BF3BA830-B421-774A-BC11-C0648E2B4CC8}</author>
    <author>tc={52632055-DC44-5440-81B3-9CA958794C87}</author>
    <author>tc={0013DFBC-1CF6-F246-B807-A26974A6C558}</author>
    <author>tc={AB169966-32DF-6D42-8965-48EE9506BB47}</author>
    <author>tc={016406FF-FF05-6349-8A3C-52FA4896AA2B}</author>
    <author>tc={8BC674AC-55C0-3947-B3A5-EE584991AA0D}</author>
    <author>tc={FDCC6A0A-80D3-A341-B30D-EFD16ADC5C0B}</author>
    <author>tc={66FBA3F4-C20E-4248-A700-76710E2D7099}</author>
    <author>tc={9C52C8D9-1B3F-E545-80F6-6538601A28DF}</author>
    <author>tc={020C60B8-C04E-E548-9C2F-0F13D23EED67}</author>
    <author>tc={78D74E84-B2B3-5348-BA6D-F5380B04DC7C}</author>
    <author>tc={7F1AC384-6C1A-9F4C-8BEA-CB4E71737193}</author>
    <author>tc={277E3F4E-5621-124E-B358-A4831FD625F6}</author>
    <author>tc={7A68ADB1-E87F-E248-B427-B98B9A777644}</author>
    <author>tc={11B43F9C-052D-1B48-8BAC-64D9BEDB2DA6}</author>
    <author>tc={166F68D5-42A5-CF45-A867-4AEDCFF9C3DE}</author>
    <author>tc={92C1D997-0F13-C044-AEF3-BFEF6AB94D51}</author>
    <author>tc={45191E7A-DE67-E14F-9321-0F0716B0C0BA}</author>
  </authors>
  <commentList>
    <comment ref="C3" authorId="0" shapeId="0" xr:uid="{78E48390-47A0-014A-B00E-C97CA069AFB2}">
      <text>
        <t>[Threaded comment]
Your version of Excel allows you to read this threaded comment; however, any edits to it will get removed if the file is opened in a newer version of Excel. Learn more: https://go.microsoft.com/fwlink/?linkid=870924
Comment:
    Wet LWA scenario. Table 4. Batch A1.</t>
      </text>
    </comment>
    <comment ref="C4" authorId="1" shapeId="0" xr:uid="{3FA6383E-E31D-674E-AB13-8966171D6B1F}">
      <text>
        <t>[Threaded comment]
Your version of Excel allows you to read this threaded comment; however, any edits to it will get removed if the file is opened in a newer version of Excel. Learn more: https://go.microsoft.com/fwlink/?linkid=870924
Comment:
    Wet LWA scenario. Table 4. Batch A2.</t>
      </text>
    </comment>
    <comment ref="C5" authorId="2" shapeId="0" xr:uid="{10D89A10-296C-FA44-8129-C89ADF7BD25A}">
      <text>
        <t>[Threaded comment]
Your version of Excel allows you to read this threaded comment; however, any edits to it will get removed if the file is opened in a newer version of Excel. Learn more: https://go.microsoft.com/fwlink/?linkid=870924
Comment:
    Wet LWA scenario. Table 4. Batch A3.</t>
      </text>
    </comment>
    <comment ref="C6" authorId="3" shapeId="0" xr:uid="{9844161E-F483-A540-B471-27AF19FCF78E}">
      <text>
        <t>[Threaded comment]
Your version of Excel allows you to read this threaded comment; however, any edits to it will get removed if the file is opened in a newer version of Excel. Learn more: https://go.microsoft.com/fwlink/?linkid=870924
Comment:
    Wet LWA scenario. Table 4. Batch B1.</t>
      </text>
    </comment>
    <comment ref="C7" authorId="4" shapeId="0" xr:uid="{09DECDB3-EAB1-F24A-9D03-07ADF38B6BFB}">
      <text>
        <t>[Threaded comment]
Your version of Excel allows you to read this threaded comment; however, any edits to it will get removed if the file is opened in a newer version of Excel. Learn more: https://go.microsoft.com/fwlink/?linkid=870924
Comment:
    Wet LWA scenario. Table 4.. Batch B2.</t>
      </text>
    </comment>
    <comment ref="C8" authorId="5" shapeId="0" xr:uid="{4C2595F1-7E29-514F-9506-9E4C90ADD9B4}">
      <text>
        <t>[Threaded comment]
Your version of Excel allows you to read this threaded comment; however, any edits to it will get removed if the file is opened in a newer version of Excel. Learn more: https://go.microsoft.com/fwlink/?linkid=870924
Comment:
    Wet LWA scenario. Table 4.. Batch B3.</t>
      </text>
    </comment>
    <comment ref="C9" authorId="6" shapeId="0" xr:uid="{3A315DED-BF1C-1344-AC16-2B62B87F15C5}">
      <text>
        <t>[Threaded comment]
Your version of Excel allows you to read this threaded comment; however, any edits to it will get removed if the file is opened in a newer version of Excel. Learn more: https://go.microsoft.com/fwlink/?linkid=870924
Comment:
    Dry LWA scenario. Table 5. Batch A4.</t>
      </text>
    </comment>
    <comment ref="C10" authorId="7" shapeId="0" xr:uid="{5A464780-D369-1D43-A670-566F87C2C31F}">
      <text>
        <t>[Threaded comment]
Your version of Excel allows you to read this threaded comment; however, any edits to it will get removed if the file is opened in a newer version of Excel. Learn more: https://go.microsoft.com/fwlink/?linkid=870924
Comment:
    Dry LWA scenario. Table 5. Batch A4.</t>
      </text>
    </comment>
    <comment ref="C11" authorId="8" shapeId="0" xr:uid="{E21B8D41-DF64-B349-84F7-895FC1203887}">
      <text>
        <t>[Threaded comment]
Your version of Excel allows you to read this threaded comment; however, any edits to it will get removed if the file is opened in a newer version of Excel. Learn more: https://go.microsoft.com/fwlink/?linkid=870924
Comment:
    Dry LWA scenario. Table 5. Batch B4.</t>
      </text>
    </comment>
    <comment ref="C12" authorId="9" shapeId="0" xr:uid="{F43523F4-7289-E741-B213-4DD3842FDFD9}">
      <text>
        <t>[Threaded comment]
Your version of Excel allows you to read this threaded comment; however, any edits to it will get removed if the file is opened in a newer version of Excel. Learn more: https://go.microsoft.com/fwlink/?linkid=870924
Comment:
    Dry LWA scenario. Table 5. Batch B4.</t>
      </text>
    </comment>
    <comment ref="C13" authorId="10" shapeId="0" xr:uid="{07635AA2-B2FF-4E4F-A146-FD78990AC30A}">
      <text>
        <t>[Threaded comment]
Your version of Excel allows you to read this threaded comment; however, any edits to it will get removed if the file is opened in a newer version of Excel. Learn more: https://go.microsoft.com/fwlink/?linkid=870924
Comment:
    Blended LWA scenario. Table 5. Batch A5</t>
      </text>
    </comment>
    <comment ref="C14" authorId="11" shapeId="0" xr:uid="{40FC78C5-9FC5-854C-B9C0-C669BE8775BF}">
      <text>
        <t>[Threaded comment]
Your version of Excel allows you to read this threaded comment; however, any edits to it will get removed if the file is opened in a newer version of Excel. Learn more: https://go.microsoft.com/fwlink/?linkid=870924
Comment:
    Blended LWA scenario. Table 5. Batch A5</t>
      </text>
    </comment>
    <comment ref="C15" authorId="12" shapeId="0" xr:uid="{56CABC68-3B41-F344-B93F-B74926526017}">
      <text>
        <t>[Threaded comment]
Your version of Excel allows you to read this threaded comment; however, any edits to it will get removed if the file is opened in a newer version of Excel. Learn more: https://go.microsoft.com/fwlink/?linkid=870924
Comment:
    Blended LWA scenario. Table 5. Batch B5.</t>
      </text>
    </comment>
    <comment ref="C16" authorId="13" shapeId="0" xr:uid="{849D34F7-8D31-D94C-8008-EEC301C8C819}">
      <text>
        <t>[Threaded comment]
Your version of Excel allows you to read this threaded comment; however, any edits to it will get removed if the file is opened in a newer version of Excel. Learn more: https://go.microsoft.com/fwlink/?linkid=870924
Comment:
    Blended LWA scenario. Table 5. Batch B5</t>
      </text>
    </comment>
    <comment ref="C17" authorId="14" shapeId="0" xr:uid="{A7D452A5-12A8-5A4D-A362-3958777AC356}">
      <text>
        <t>[Threaded comment]
Your version of Excel allows you to read this threaded comment; however, any edits to it will get removed if the file is opened in a newer version of Excel. Learn more: https://go.microsoft.com/fwlink/?linkid=870924
Comment:
    Preconditioning scenario. Table 5. Batch A1</t>
      </text>
    </comment>
    <comment ref="C18" authorId="15" shapeId="0" xr:uid="{74ADA9F3-B90F-FA4D-AA70-4EF9117194E9}">
      <text>
        <t>[Threaded comment]
Your version of Excel allows you to read this threaded comment; however, any edits to it will get removed if the file is opened in a newer version of Excel. Learn more: https://go.microsoft.com/fwlink/?linkid=870924
Comment:
    Preconditioning scenario. Table 5. Batch B1</t>
      </text>
    </comment>
    <comment ref="C19" authorId="16" shapeId="0" xr:uid="{ACA028F0-BB00-BA42-B1BC-19636F480BB8}">
      <text>
        <t>[Threaded comment]
Your version of Excel allows you to read this threaded comment; however, any edits to it will get removed if the file is opened in a newer version of Excel. Learn more: https://go.microsoft.com/fwlink/?linkid=870924
Comment:
    Table 3. Scenario C1 (18H+2C) versus Steamed (18H+2ST)</t>
      </text>
    </comment>
    <comment ref="C20" authorId="17" shapeId="0" xr:uid="{888BDB2F-4776-1F4F-94DD-922D6C8DFFEB}">
      <text>
        <t>[Threaded comment]
Your version of Excel allows you to read this threaded comment; however, any edits to it will get removed if the file is opened in a newer version of Excel. Learn more: https://go.microsoft.com/fwlink/?linkid=870924
Comment:
    Table 3. Scenario C2 (18H+2C) versus Steamed (18H+2ST)</t>
      </text>
    </comment>
    <comment ref="C21" authorId="18" shapeId="0" xr:uid="{AE4D059F-4AF5-A749-91A5-5C024263CB57}">
      <text>
        <t>[Threaded comment]
Your version of Excel allows you to read this threaded comment; however, any edits to it will get removed if the file is opened in a newer version of Excel. Learn more: https://go.microsoft.com/fwlink/?linkid=870924
Comment:
    Table 3. Scenario C3 (18H+2C) versus Steamed (18H+2ST)</t>
      </text>
    </comment>
    <comment ref="C22" authorId="19" shapeId="0" xr:uid="{A0385FF6-8D10-454F-BE04-DE36E458EC6B}">
      <text>
        <t>[Threaded comment]
Your version of Excel allows you to read this threaded comment; however, any edits to it will get removed if the file is opened in a newer version of Excel. Learn more: https://go.microsoft.com/fwlink/?linkid=870924
Comment:
    Table 3. Scenario C4 (18H+24C) versus Steamed (18H+2ST)</t>
      </text>
    </comment>
    <comment ref="C23" authorId="20" shapeId="0" xr:uid="{8C1A69B5-5108-6449-BD4F-06BCA23B1B02}">
      <text>
        <t>[Threaded comment]
Your version of Excel allows you to read this threaded comment; however, any edits to it will get removed if the file is opened in a newer version of Excel. Learn more: https://go.microsoft.com/fwlink/?linkid=870924
Comment:
    Table 3. Scenario C5 (18H+24C) versus Steamed (18H+2ST)</t>
      </text>
    </comment>
    <comment ref="C24" authorId="21" shapeId="0" xr:uid="{860FA1F1-D4B3-A14B-867B-D78B1FC012EB}">
      <text>
        <t>[Threaded comment]
Your version of Excel allows you to read this threaded comment; however, any edits to it will get removed if the file is opened in a newer version of Excel. Learn more: https://go.microsoft.com/fwlink/?linkid=870924
Comment:
    Table 3. Scenario C6 (18H+24C) versus Steamed (18H+2ST)</t>
      </text>
    </comment>
    <comment ref="C25" authorId="22" shapeId="0" xr:uid="{E62934E6-D6FC-5A42-8275-C5F6521741C2}">
      <text>
        <t>[Threaded comment]
Your version of Excel allows you to read this threaded comment; however, any edits to it will get removed if the file is opened in a newer version of Excel. Learn more: https://go.microsoft.com/fwlink/?linkid=870924
Comment:
    Table 3. Scenario C7 (18H+48C) versus Steamed (18H+2ST)</t>
      </text>
    </comment>
    <comment ref="C26" authorId="23" shapeId="0" xr:uid="{AE6047E0-7BDA-C94C-8AA4-70E1A79FCC54}">
      <text>
        <t>[Threaded comment]
Your version of Excel allows you to read this threaded comment; however, any edits to it will get removed if the file is opened in a newer version of Excel. Learn more: https://go.microsoft.com/fwlink/?linkid=870924
Comment:
    Table 1. Scenario C8 (18H+4C) versus Hydrated Block</t>
      </text>
    </comment>
    <comment ref="C27" authorId="24" shapeId="0" xr:uid="{0BBF86F4-AA5A-7A46-A7EE-5157C700AD32}">
      <text>
        <t>[Threaded comment]
Your version of Excel allows you to read this threaded comment; however, any edits to it will get removed if the file is opened in a newer version of Excel. Learn more: https://go.microsoft.com/fwlink/?linkid=870924
Comment:
    Batch 1. 2 hour carbonation. Fig 4.2, p44</t>
      </text>
    </comment>
    <comment ref="C28" authorId="25" shapeId="0" xr:uid="{594A9F03-AA1F-DD4E-AE20-20CE985B4C24}">
      <text>
        <t>[Threaded comment]
Your version of Excel allows you to read this threaded comment; however, any edits to it will get removed if the file is opened in a newer version of Excel. Learn more: https://go.microsoft.com/fwlink/?linkid=870924
Comment:
    Batch 1. 12 hour carbonation. Fig 4.2, p44</t>
      </text>
    </comment>
    <comment ref="C30" authorId="26" shapeId="0" xr:uid="{EBD0767B-A2DC-DE42-9DAB-78916A552D97}">
      <text>
        <t>[Threaded comment]
Your version of Excel allows you to read this threaded comment; however, any edits to it will get removed if the file is opened in a newer version of Excel. Learn more: https://go.microsoft.com/fwlink/?linkid=870924
Comment:
    A versus C. Table 1.</t>
      </text>
    </comment>
    <comment ref="C31" authorId="27" shapeId="0" xr:uid="{6B3094A4-C226-084A-B782-0FD42A2DCF26}">
      <text>
        <t>[Threaded comment]
Your version of Excel allows you to read this threaded comment; however, any edits to it will get removed if the file is opened in a newer version of Excel. Learn more: https://go.microsoft.com/fwlink/?linkid=870924
Comment:
    A versus CW. Table 1.</t>
      </text>
    </comment>
    <comment ref="C32" authorId="28" shapeId="0" xr:uid="{24C00EE6-04C4-F640-AAB9-E6AE00E43898}">
      <text>
        <t>[Threaded comment]
Your version of Excel allows you to read this threaded comment; however, any edits to it will get removed if the file is opened in a newer version of Excel. Learn more: https://go.microsoft.com/fwlink/?linkid=870924
Comment:
    ST versus C. Table 1.</t>
      </text>
    </comment>
    <comment ref="C33" authorId="29" shapeId="0" xr:uid="{11F97EB1-9FBA-6649-BD91-611E8BE5EB0D}">
      <text>
        <t>[Threaded comment]
Your version of Excel allows you to read this threaded comment; however, any edits to it will get removed if the file is opened in a newer version of Excel. Learn more: https://go.microsoft.com/fwlink/?linkid=870924
Comment:
    ST versus CW. Table 1.</t>
      </text>
    </comment>
    <comment ref="C34" authorId="30" shapeId="0" xr:uid="{D583EACC-FE14-1044-BE4E-187DA3CA9250}">
      <text>
        <t>[Threaded comment]
Your version of Excel allows you to read this threaded comment; however, any edits to it will get removed if the file is opened in a newer version of Excel. Learn more: https://go.microsoft.com/fwlink/?linkid=870924
Comment:
    SE versus C. Table 1.</t>
      </text>
    </comment>
    <comment ref="C35" authorId="31" shapeId="0" xr:uid="{BF3BA830-B421-774A-BC11-C0648E2B4CC8}">
      <text>
        <t>[Threaded comment]
Your version of Excel allows you to read this threaded comment; however, any edits to it will get removed if the file is opened in a newer version of Excel. Learn more: https://go.microsoft.com/fwlink/?linkid=870924
Comment:
    SE versus CW. Table 1.</t>
      </text>
    </comment>
    <comment ref="C36" authorId="32" shapeId="0" xr:uid="{52632055-DC44-5440-81B3-9CA958794C87}">
      <text>
        <t>[Threaded comment]
Your version of Excel allows you to read this threaded comment; however, any edits to it will get removed if the file is opened in a newer version of Excel. Learn more: https://go.microsoft.com/fwlink/?linkid=870924
Comment:
    Scenario OPC. Fig 3.</t>
      </text>
    </comment>
    <comment ref="C37" authorId="33" shapeId="0" xr:uid="{0013DFBC-1CF6-F246-B807-A26974A6C558}">
      <text>
        <t>[Threaded comment]
Your version of Excel allows you to read this threaded comment; however, any edits to it will get removed if the file is opened in a newer version of Excel. Learn more: https://go.microsoft.com/fwlink/?linkid=870924
Comment:
    Batch A. Hydration versus carbonation. Table 5.</t>
      </text>
    </comment>
    <comment ref="C38" authorId="34" shapeId="0" xr:uid="{AB169966-32DF-6D42-8965-48EE9506BB47}">
      <text>
        <t>[Threaded comment]
Your version of Excel allows you to read this threaded comment; however, any edits to it will get removed if the file is opened in a newer version of Excel. Learn more: https://go.microsoft.com/fwlink/?linkid=870924
Comment:
    Batch A. Hydration versus carbonation+water compensation. Table 5.</t>
      </text>
    </comment>
    <comment ref="C39" authorId="35" shapeId="0" xr:uid="{016406FF-FF05-6349-8A3C-52FA4896AA2B}">
      <text>
        <t>[Threaded comment]
Your version of Excel allows you to read this threaded comment; however, any edits to it will get removed if the file is opened in a newer version of Excel. Learn more: https://go.microsoft.com/fwlink/?linkid=870924
Comment:
    Batch B. Hydration versus carbonation. Table 5.</t>
      </text>
    </comment>
    <comment ref="C40" authorId="36" shapeId="0" xr:uid="{8BC674AC-55C0-3947-B3A5-EE584991AA0D}">
      <text>
        <t>[Threaded comment]
Your version of Excel allows you to read this threaded comment; however, any edits to it will get removed if the file is opened in a newer version of Excel. Learn more: https://go.microsoft.com/fwlink/?linkid=870924
Comment:
    Batch B. Hydration versus carbonation+water compensation. Table 5.</t>
      </text>
    </comment>
    <comment ref="C41" authorId="37" shapeId="0" xr:uid="{FDCC6A0A-80D3-A341-B30D-EFD16ADC5C0B}">
      <text>
        <t>[Threaded comment]
Your version of Excel allows you to read this threaded comment; however, any edits to it will get removed if the file is opened in a newer version of Excel. Learn more: https://go.microsoft.com/fwlink/?linkid=870924
Comment:
    OPCH versus OPCC. Fig 12.</t>
      </text>
    </comment>
    <comment ref="C42" authorId="38" shapeId="0" xr:uid="{66FBA3F4-C20E-4248-A700-76710E2D7099}">
      <text>
        <t>[Threaded comment]
Your version of Excel allows you to read this threaded comment; however, any edits to it will get removed if the file is opened in a newer version of Excel. Learn more: https://go.microsoft.com/fwlink/?linkid=870924
Comment:
    Mix A. Fig 8</t>
      </text>
    </comment>
    <comment ref="C43" authorId="39" shapeId="0" xr:uid="{9C52C8D9-1B3F-E545-80F6-6538601A28DF}">
      <text>
        <t>[Threaded comment]
Your version of Excel allows you to read this threaded comment; however, any edits to it will get removed if the file is opened in a newer version of Excel. Learn more: https://go.microsoft.com/fwlink/?linkid=870924
Comment:
    Mix B. Fig 8</t>
      </text>
    </comment>
    <comment ref="C44" authorId="40" shapeId="0" xr:uid="{020C60B8-C04E-E548-9C2F-0F13D23EED67}">
      <text>
        <t>[Threaded comment]
Your version of Excel allows you to read this threaded comment; however, any edits to it will get removed if the file is opened in a newer version of Excel. Learn more: https://go.microsoft.com/fwlink/?linkid=870924
Comment:
    Table 3. Scenario C1 (18H+2C) versus Steamed (18H+2ST)</t>
      </text>
    </comment>
    <comment ref="C45" authorId="41" shapeId="0" xr:uid="{78D74E84-B2B3-5348-BA6D-F5380B04DC7C}">
      <text>
        <t>[Threaded comment]
Your version of Excel allows you to read this threaded comment; however, any edits to it will get removed if the file is opened in a newer version of Excel. Learn more: https://go.microsoft.com/fwlink/?linkid=870924
Comment:
    Table 3. Scenario C2 (18H+2C) versus Steamed (18H+2ST)</t>
      </text>
    </comment>
    <comment ref="C46" authorId="42" shapeId="0" xr:uid="{7F1AC384-6C1A-9F4C-8BEA-CB4E71737193}">
      <text>
        <t>[Threaded comment]
Your version of Excel allows you to read this threaded comment; however, any edits to it will get removed if the file is opened in a newer version of Excel. Learn more: https://go.microsoft.com/fwlink/?linkid=870924
Comment:
    Table 3. Scenario C3 (18H+2C) versus Steamed (18H+2ST)</t>
      </text>
    </comment>
    <comment ref="C47" authorId="43" shapeId="0" xr:uid="{277E3F4E-5621-124E-B358-A4831FD625F6}">
      <text>
        <t>[Threaded comment]
Your version of Excel allows you to read this threaded comment; however, any edits to it will get removed if the file is opened in a newer version of Excel. Learn more: https://go.microsoft.com/fwlink/?linkid=870924
Comment:
    Table 3. Scenario C4 (18H+24C) versus Steamed (18H+2ST)</t>
      </text>
    </comment>
    <comment ref="C48" authorId="44" shapeId="0" xr:uid="{7A68ADB1-E87F-E248-B427-B98B9A777644}">
      <text>
        <t>[Threaded comment]
Your version of Excel allows you to read this threaded comment; however, any edits to it will get removed if the file is opened in a newer version of Excel. Learn more: https://go.microsoft.com/fwlink/?linkid=870924
Comment:
    Table 3. Scenario C5 (18H+24C) versus Steamed (18H+2ST)</t>
      </text>
    </comment>
    <comment ref="C49" authorId="45" shapeId="0" xr:uid="{11B43F9C-052D-1B48-8BAC-64D9BEDB2DA6}">
      <text>
        <t>[Threaded comment]
Your version of Excel allows you to read this threaded comment; however, any edits to it will get removed if the file is opened in a newer version of Excel. Learn more: https://go.microsoft.com/fwlink/?linkid=870924
Comment:
    Table 3. Scenario C6 (18H+24C) versus Steamed (18H+2ST)</t>
      </text>
    </comment>
    <comment ref="C50" authorId="46" shapeId="0" xr:uid="{166F68D5-42A5-CF45-A867-4AEDCFF9C3DE}">
      <text>
        <t>[Threaded comment]
Your version of Excel allows you to read this threaded comment; however, any edits to it will get removed if the file is opened in a newer version of Excel. Learn more: https://go.microsoft.com/fwlink/?linkid=870924
Comment:
    Table 3. Scenario C7 (18H+48C) versus Steamed (18H+2ST)</t>
      </text>
    </comment>
    <comment ref="C51" authorId="47" shapeId="0" xr:uid="{92C1D997-0F13-C044-AEF3-BFEF6AB94D51}">
      <text>
        <t>[Threaded comment]
Your version of Excel allows you to read this threaded comment; however, any edits to it will get removed if the file is opened in a newer version of Excel. Learn more: https://go.microsoft.com/fwlink/?linkid=870924
Comment:
    Batch 2. 2 hour carbonation. Fig 4.2, p44</t>
      </text>
    </comment>
    <comment ref="C52" authorId="48" shapeId="0" xr:uid="{45191E7A-DE67-E14F-9321-0F0716B0C0BA}">
      <text>
        <t>[Threaded comment]
Your version of Excel allows you to read this threaded comment; however, any edits to it will get removed if the file is opened in a newer version of Excel. Learn more: https://go.microsoft.com/fwlink/?linkid=870924
Comment:
    Batch 2. 12 hour carbonation. Fig 4.2, p44</t>
      </text>
    </comment>
  </commentList>
</comments>
</file>

<file path=xl/sharedStrings.xml><?xml version="1.0" encoding="utf-8"?>
<sst xmlns="http://schemas.openxmlformats.org/spreadsheetml/2006/main" count="2164" uniqueCount="280">
  <si>
    <t>No</t>
  </si>
  <si>
    <t>NA</t>
  </si>
  <si>
    <t>Not mentioned</t>
  </si>
  <si>
    <t>Dataset No</t>
  </si>
  <si>
    <t>Dataset Title</t>
  </si>
  <si>
    <t>CCU Product</t>
  </si>
  <si>
    <t>Production route</t>
  </si>
  <si>
    <t>Source for data/Comments</t>
  </si>
  <si>
    <t xml:space="preserve"> Feedstock of H2 required?</t>
  </si>
  <si>
    <t>Electricity use includes H2 generation/electrolysis?</t>
  </si>
  <si>
    <t>Electricity use includes H2 compression?</t>
  </si>
  <si>
    <t>H2 Input Pressure (bar)</t>
  </si>
  <si>
    <t>H2 Reaction Pressure (bar)</t>
  </si>
  <si>
    <t>Electricity use includes CO2 capture?</t>
  </si>
  <si>
    <t>Electricity use includes CO2 compression?</t>
  </si>
  <si>
    <t>CO2 Input Pressure (bar)</t>
  </si>
  <si>
    <t>CO2 Reaction Pressure (bar)</t>
  </si>
  <si>
    <t>CO2 Input (kg)</t>
  </si>
  <si>
    <t>H2 Input (kg)</t>
  </si>
  <si>
    <t>H2O as analyte Input (kg)</t>
  </si>
  <si>
    <t>H2O for cooling Input (kg)</t>
  </si>
  <si>
    <t>NaOH Input (kg)</t>
  </si>
  <si>
    <t>HCl Input (kg)</t>
  </si>
  <si>
    <t>NaCl Input (kg)</t>
  </si>
  <si>
    <t>Heat for CO2 capture Input (MJ)</t>
  </si>
  <si>
    <t>Heat for CO2 capture Input (kWh-Th)</t>
  </si>
  <si>
    <t>Electricity for CO2 capture Input (kWh)</t>
  </si>
  <si>
    <t>Electricity for H2 generation (kWh)</t>
  </si>
  <si>
    <t>Electricity Input for main reaction Input (kWh)</t>
  </si>
  <si>
    <t xml:space="preserve">Natural Gas Input (kg) </t>
  </si>
  <si>
    <t xml:space="preserve">Natural Gas Input (m3) </t>
  </si>
  <si>
    <t>Heat Input (kWh)</t>
  </si>
  <si>
    <t>Heat Input (MJ)</t>
  </si>
  <si>
    <t>Steam Input (MJ)</t>
  </si>
  <si>
    <t>Steam Input (kg)</t>
  </si>
  <si>
    <t>Steam Input (kWh)</t>
  </si>
  <si>
    <t>Methanol Input (kg)</t>
  </si>
  <si>
    <t>Ammonia Input (kg)</t>
  </si>
  <si>
    <t>Ethylene Oxide Input (kg)</t>
  </si>
  <si>
    <t>Platinum Input (kg)</t>
  </si>
  <si>
    <t>Niobium Input (kg)</t>
  </si>
  <si>
    <t>Aniline Input (kg)</t>
  </si>
  <si>
    <t>Propylene oxide Input (kg)</t>
  </si>
  <si>
    <t>Glycerol Input (kg)</t>
  </si>
  <si>
    <t>Mono Propylene Glycol Input (kg)</t>
  </si>
  <si>
    <t>Naptha Burned Input (kg)</t>
  </si>
  <si>
    <t>Refrigerant Input (kg)</t>
  </si>
  <si>
    <t>Activated Carbon Input (kg)</t>
  </si>
  <si>
    <t>H2 byproduct output (kg)</t>
  </si>
  <si>
    <t>O2 byproduct Output (kg)</t>
  </si>
  <si>
    <t>Steam output (kg)</t>
  </si>
  <si>
    <t>Steam output (MJ)</t>
  </si>
  <si>
    <t>Steam generated byproduct output (kWth)</t>
  </si>
  <si>
    <t>Heat output byproduct (MJ)</t>
  </si>
  <si>
    <t>Heat output byproduct (kWh)</t>
  </si>
  <si>
    <t>HCOONa output (kg)</t>
  </si>
  <si>
    <t>Na2CO3 output (kg)</t>
  </si>
  <si>
    <t>Na2SO4 output (kg)</t>
  </si>
  <si>
    <t>Ethylene Glycol Output (kg)</t>
  </si>
  <si>
    <t>Ethylene Carbonate Output (kg)</t>
  </si>
  <si>
    <t>Naptha Output (kg)</t>
  </si>
  <si>
    <t>CO2 emissions output (kg)</t>
  </si>
  <si>
    <t>Waste water output (kg)</t>
  </si>
  <si>
    <t>Flue gas (kg)</t>
  </si>
  <si>
    <t>Waste zeolite inert landfill Output (kg)</t>
  </si>
  <si>
    <t>Methanol emissions Output (kg)</t>
  </si>
  <si>
    <t>O2 emissions Output (kg)</t>
  </si>
  <si>
    <t>N2 emissions Output (kg)</t>
  </si>
  <si>
    <t>H2O emissions Output (kg)</t>
  </si>
  <si>
    <t>Ammonia emissions Output (kg)</t>
  </si>
  <si>
    <t>Acetaldehyde emissions Output (kg)</t>
  </si>
  <si>
    <t>Aniline Emissions Output (kg)</t>
  </si>
  <si>
    <t>CO emissions (kg)</t>
  </si>
  <si>
    <t xml:space="preserve"> Ahn Y, Byun J, Kim D, Kim B-S, Lee C-S, Han J. System-level analysis and life cycle
assessment of CO2 and fossil-based formic acid strategies. Green Chem
2019;21(12):3442–55.</t>
  </si>
  <si>
    <t>Formic Acid</t>
  </si>
  <si>
    <t>Catalytic reduction of CO2 with H2</t>
  </si>
  <si>
    <t>Table 1 main paper
H2 feedstock is required (Fig 1)
Fig A6 anbd Table A7 in SI shows electricity used for H2 generation is not included
Reaction pressure in Table A3 in SI
Reaction and compression energy obtained from Table A7 in SI
CO2 capture energy in Table A7 in SI</t>
  </si>
  <si>
    <t>Yes</t>
  </si>
  <si>
    <t>Aldaco, Rubén, Isabela Butnar, María Margallo, Jara Laso, Marta Rumayor, Antonio Dominguez-Ramos, Angel Irabien, and Paul E. Dodds. "Bringing value to the chemical industry from capture, storage and use of CO2: A dynamic LCA of formic acid production." Science of the Total Environment 663 (2019): 738-753.</t>
  </si>
  <si>
    <t>Electrolytic reduction of CO2</t>
  </si>
  <si>
    <t xml:space="preserve">Table 4 main paper. LP Scenario
H2 feedstock is not required as this study uses the electrolytic reduction of CO2
Table 4  and text in page 744 show that electricity  and steam used for CO2 capture and compression are not included
</t>
  </si>
  <si>
    <t xml:space="preserve">Table 4 main paper. BS Scenario
H2 feedstock is not required as this study uses the electrolytic reduction of CO2.
Table 4  and text in page 744 show that electricity  and steam used for CO2 capture and compression are not included
</t>
  </si>
  <si>
    <t>Table 4 main paper. HP Scenario
H2 feedstock is not required as this study uses the electrolytic reduction of CO2
Table 4  and text in page 744 show that electricity  and steam used for CO2 capture and compression are not included</t>
  </si>
  <si>
    <t>Dominguez-Ramos, A., B. Singh, X. Zhang, E. G. Hertwich, and A. Irabien. "Global warming footprint of the electrochemical reduction of carbon dioxide to formate." Journal of Cleaner Production 104 (2015): 148-155.</t>
  </si>
  <si>
    <t>Table 2 Main paper.R2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</si>
  <si>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Table 2 Main paper. R3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compression.I</t>
  </si>
  <si>
    <t>Table 2 Main paper. R4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</si>
  <si>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Table 2 Main paper. R5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</si>
  <si>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Rumayor, Marta, Antonio Dominguez-Ramos, and Angel Irabien. "Formic Acid manufacture: Carbon dioxide utilization alternatives." Applied Sciences 8, no. 6 (2018): 914.</t>
  </si>
  <si>
    <t>Table 3. Case A1.1
Figure 2 and Table 3 show that the energy required for carbon, capture and compression is not included 
Bullet point "iii" on page 5 mentions that the energy use of CO2 capture are not included</t>
  </si>
  <si>
    <t>Table 3. Case A1.2
Figure 2 and Table 3 show that the energy required for carbon, capture and compression is not included 
Bullet point "iii" on page 5 mentions that the energy use of CO2 capture are not included</t>
  </si>
  <si>
    <t>Table 3. Case A1.3
Figure 2 and Table 3 show that the energy required for carbon, capture and compression is not included 
Bullet point "iii" on page 5 mentions that the energy use of CO2 capture are not included</t>
  </si>
  <si>
    <t>Table 3. Case AJRC. 
The electricity used accounts for H2 generation from water electrolysis. The data is sourced from "Pérez-Fortes, M.; Tzimas, E. Techno-Economic and Environmental Evaluation of CO2 Utilisation for Fuel Production—Synthesis of Methanol and Formic Acid; Publications Office of the European Union: Luxembourg, 2016. [CrossRef]". Table 6 on pg 53 in this reference shows that H2 generation requires 4.05 kWh/kg H2.
Also, the following line in page 9 "Alternative AJCR needs 0.060 kg of H2 per kg of FA that is produced. In the study, it was assumed that H2 came from an in-situ electrolyser."
Bullet point "iii" on page 5 mentions that the energy use of CO2 capture are not included
Thermodynamic limits explained for formic acid production on page 7.</t>
  </si>
  <si>
    <t>Rumayor M, Dominguez-Ramos A, Irabien A. Environmental and economic assessment of the formic acid electrochemical manufacture using carbon dioxide: Influence of the electrode lifetime. Sustain Prod Consum 2019;18:72–82</t>
  </si>
  <si>
    <t xml:space="preserve">Table 3
The energy required for CO2 capture is not included as indicated by this line in page 3 "In addition, the CO2 feed 60 was assumed to have no cost or environmental burdens as they are allocated to the product that directly releases the CO2 , e.g., electricity from a coal-fired power plant." </t>
  </si>
  <si>
    <t>Sternberg, André, Christian M. Jens, and André Bardow. "Life cycle assessment of CO2-based C1-chemicals." Green Chemistry 19, no. 9 (2017): 2244-2259.</t>
  </si>
  <si>
    <t>Table S2 SI. Scenario Ia. Values in the table are reported at 100% formic acid and are scaled to 85% formic acid. 
Electricity does not include H2 generation (line 144 and 168 in main paper)
Input pressure values in SI section S2
Reaction pressure values SI Table S1
CO2 capture is accounted for in terms of GHG impact (lines 398 to 401 main paper). However, the paper does not include the electrcity required for CO2 captured separately in Table S2 in SI.</t>
  </si>
  <si>
    <t>Table S2 SI. Scenario Ib. 
Electricity does not include H2 generation (line 144 and 168 in main paper)
Pressure values in SI section S2
Reaction pressure values SI Table S1
CO2 capture is accounted for in terms of GHG impact (lines 398 to 401 main paper). However, the paper does not include the electrcity required for CO2 captured separately in Table S2 in SI</t>
  </si>
  <si>
    <t>Pérez-Fortes, Mar, Jan C. Schöneberger, Aikaterini Boulamanti, Gillian Harrison, and Evangelos Tzimas. "Formic acid synthesis using CO2 as raw material: Techno-economic and environmental evaluation and market potential." international journal of hydrogen energy 41, no. 37 (2016): 16444-16462.</t>
  </si>
  <si>
    <t>H2 and CO2 requirement: Table 1 main paper and  page 16449
Electrcity  includes H2 generation - Table 1, Fig 1 and section titled "Black-box units" in page 16451
Energy consumed and pressure for H2 and CO2 compression page 16450 "Compression stage (Units 1-13)"
The paper does not include the electrcity required for CO2 capture - system boundary in Fig 1 or in Table 1</t>
  </si>
  <si>
    <t>Pérez-Fortes, Mar, and Evangelos Tzimas. "Techno-economic and environmental evaluation of CO2 utilisation for fuel production." Publications Office of the European Union, Luxembourg (2016).</t>
  </si>
  <si>
    <t>Table 6 page 53
H2 requirement Section 5.3 page 47
Energy consumed and pressure for H2 and CO2 compression page 47 "Compression stage (Units 1-13)"
Energy for CO2 capture not accounted for - page 23</t>
  </si>
  <si>
    <t>Thonemann, Nils, and Massimo Pizzol. "Consequential life cycle assessment of carbon capture and utilization technologies within the chemical industry." Energy &amp; Environmental Science 12, no. 7 (2019): 2253-2263.</t>
  </si>
  <si>
    <t>"LCI Near term" tab in CCU LCI.xlsx in the SI. The word document in the SI mentions that the electricty requirements are obtained from Study No 5 &amp; 9 (above).
Study No 5 &amp; 9 (above) do not include the electricity use for CO2 capture and compression
Reaction pressure in Table SI2 in the word document in the SI</t>
  </si>
  <si>
    <t>"LCI Near term" tab in CCU LCI.xlsx in the SI. The word document in the SI mentions that the electricty requirements are obtained from Study No 15 and 17 
The electrcity requirement in Study 17 is  4.35 kWh and accounts for the generation of  H2. 
The electrcity requirement in Study 15 (dataset 16) is  0.53 kWh which does not account for the generation of  H2 and matches the electricity requirement for this datatset.  Therefore, this study does not include the electricity for H2 generation.
Similar to Study 15 and 17 this study does not include energy required for CO2 capture.</t>
  </si>
  <si>
    <t>Fernández-Dacosta, Cora, Mijndert Van Der Spek, Christine Roxanne Hung, Gabriel David Oregionni, Ragnhild Skagestad, Prashant Parihar, D. T. Gokak, Anders Hammer Strømman, and Andrea Ramirez. "Prospective techno-economic and environmental assessment of carbon capture at a refinery and CO2 utilisation in polyol synthesis." Journal of CO2 Utilization 21 (2017): 405-422.</t>
  </si>
  <si>
    <t>Polyol</t>
  </si>
  <si>
    <t>CCU polyol production in Table A5 in main paper (page 417). SI Table S.15. DMC dataset in SI Table S.14. Naptha burned is in SI Table S.10.
SI Table S12 has MEA production data
CO2 pressure (20 bar) during reaction mentioned in section 2.1.2 in main paper and SI section S.1.3
Table A5 in main paper (page 417) does not account fro energy required for CO2 capture and compression to 20 bar</t>
  </si>
  <si>
    <t>von der Assen, Niklas, André Sternberg, Arne Kätelhön, and André Bardow. "Environmental potential of carbon dioxide utilization in the polyurethane supply chain." Faraday discussions 183 (2015): 291-307.</t>
  </si>
  <si>
    <t>Table S1 in SI
Table S1 in SI does not explicitly record electricity use for CO2 capture. As a result, we assume electricity required for CO2 capture is not included</t>
  </si>
  <si>
    <t>Collet, Pierre, Eglantine Flottes, Alain Favre, Ludovic Raynal, Hélène Pierre, Sandra Capela, and Carlos Peregrina. "Techno-economic and Life Cycle Assessment of methane production via biogas upgrading and power to gas technology." Applied energy 192 (2017): 282-295.</t>
  </si>
  <si>
    <t>Methane</t>
  </si>
  <si>
    <t>Hydrogenation of CO2</t>
  </si>
  <si>
    <t>15 bar</t>
  </si>
  <si>
    <r>
      <t>Hoppe, Wieland, Nils Thonemann, and Stefan Bringezu. "Life cycle assessment of carbon dioxide–based production of methane and methanol and derived polymers." </t>
    </r>
    <r>
      <rPr>
        <i/>
        <sz val="13"/>
        <color rgb="FF222222"/>
        <rFont val="Arial"/>
        <family val="2"/>
      </rPr>
      <t>Journal of Industrial Ecology</t>
    </r>
    <r>
      <rPr>
        <sz val="13"/>
        <color rgb="FF222222"/>
        <rFont val="Arial"/>
        <family val="2"/>
      </rPr>
      <t> 22, no. 2 (2018): 327-340.</t>
    </r>
  </si>
  <si>
    <t>On page 332
H2  generation and CO2 capture electricity - Table S1 SI</t>
  </si>
  <si>
    <t>Reiter, Gerda, and Johannes Lindorfer. "Global warming potential of hydrogen and methane production from renewable electricity via power-to-gas technology." The International Journal of Life Cycle Assessment 20, no. 4 (2015): 477-489.</t>
  </si>
  <si>
    <t>Figure 4 main paper. LHV of methane is 50 MJ/kg from https://www.engineeringtoolbox.com/fuels-higher-calorific-values-d_169.html
H2 energy requirements - Figure 3
CO2 capture and compression - Figure 5
CO2 input and reaction pressure - Table 3 and Table 2
H2 reaction pressure - Table 2
H2 input pressure - 1 to 30 bar or 100 bar - Table 1. As the input pressure is greater than reaction pressure, we assume that there is not energy required for H2 comrpession</t>
  </si>
  <si>
    <t>Sternberg, André, and André Bardow. "Power-to-What?–Environmental assessment of energy storage systems." Energy &amp; Environmental Science 8, no. 2 (2015): 389-400.</t>
  </si>
  <si>
    <t>Table S5 SI
The paper accounts for the CO2 benefit of CO2 capture (section 3.2 "CO2 supply") but does not provide details on the energy used and the pressure conditions
The electrcity requirement includes compression of CO2 and H2 to the pressure required by the reaction. (page 392)</t>
  </si>
  <si>
    <t>Sternberg, André, and André Bardow. "Life cycle assessment of power-to-gas: Syngas vs Methane." ACS Sustainable Chemistry &amp; Engineering 4, no. 8 (2016): 4156-4165.</t>
  </si>
  <si>
    <t xml:space="preserve">Table S1 SI
The paper accounts for the CO2 impact of CO2 capture through loss of of efficiency in a power plant (SI Table S4 ) but does not provide details on the energy used and the pressure conditions
H2 production energy requirement (SI Table S4) is not included in the energy requirement of CH4 produciton (0.33 kWh). The energy requirement for H2 is the product of 50 kWh/kg H2 (SI Table S4 and bullet point III in page S5 in SI) and 0.506 kg of H2/kg CH4
Good case for harmonization - energy for H2 electrolysis was not included in the 0.33 kWh of energy requirement reported in Table S1 of SI </t>
  </si>
  <si>
    <t>Uusitalo, Ville, Sanni Väisänen, Eero Inkeri, and Risto Soukka. "Potential for greenhouse gas emission reductions using surplus electricity in hydrogen, methane and methanol production via electrolysis." Energy conversion and management 134 (2017): 125-134.</t>
  </si>
  <si>
    <t xml:space="preserve">Table 1 Main Paper
CO2 capture energy Figure 2
MEA inventory provided
CO2 emissions from H2 generation are accounted for in the results (Section 3 page 3, Figure 3), but the paper does not provide a value for the electrcity required to generate H2. A requirement of 0.53 kg will require more energy than the total energy required of 0.33 kWh
Energy use from CO2 capture presented in Figure 2 but not accounted for in Table 1
Good case for harmonization - energy for CO2 capture was mentioned in Figure 2 but was not included in Table 1 </t>
  </si>
  <si>
    <t>Zhang, Xiaojin, Christian Bauer, Christopher L. Mutel, and Kathrin Volkart. "Life Cycle Assessment of Power-to-Gas: Approaches, system variations and their environmental implications." Applied Energy 190 (2017): 326-338.</t>
  </si>
  <si>
    <t>SI Section 7 fourth Table. 
Density for 1Nm3  of  methane (at 0C and 1 atm) is 0.7168 kg/m3 https://www.engineeringtoolbox.com/methane-d_1420.html
Density for 1Nm3  of  H2 (at 0C and 1 atm) is 0.08988 kg/m3 http://www.uigi.com/h2_conv.html
The results account for the CO2 impact of CO2 capture and H2 generation (Figure 5), the data in SI Section 7 fourth Table does not include CO2 capture and H2 generation.
Inventory for  Alkaline and PEM electroylzer provided in section 7 of SI
The electrcity for H2 generaiton from section 7 are not considered as it includes comrpession to 700 bar, which is significantly higher than the pressure required for the methanation reaction.
Inventory details for CO2 capture are not available. The details in the 3rd Table in section 7 in the SI are for direct air capture and are, thereofire, not considered.</t>
  </si>
  <si>
    <t>Garcia-Herrero, Isabel, Rosa Marisa Cuéllar-Franca, Víctor Manuel Enríquez-Gutiérrez, Manuel Alvarez-Guerra, Angel Irabien, and Adisa Azapagic. "Environmental assessment of dimethyl carbonate production: Comparison of a novel electrosynthesis route utilizing CO2 with a commercial oxidative carbonylation process." ACS Sustainable Chemistry &amp; Engineering 4, no. 4 (2016): 2088-2097.</t>
  </si>
  <si>
    <t>DMC</t>
  </si>
  <si>
    <t>Electrochemical reduction of CO2 with MeOH</t>
  </si>
  <si>
    <t xml:space="preserve">Table 3 Scenario El Chem 1
MEA inventory in Table 2
Due to lack of LCI data we do not include CH3OK (0.04 kg), BmimBr (0.15 kg)
As shown by the split of the electrcity data in Table 3, the electricity for CO2 capture is not accounted for </t>
  </si>
  <si>
    <t xml:space="preserve">Table 3 Scenario El Chem 2
MEA inventory in Table 2
Due to lack of LCI data we do not include CH3OK (0.04 kg), BmimBr (0.15 kg)
As shown by the split of the electrcity data in Table 3, the electricity for CO2 capture is not accounted for </t>
  </si>
  <si>
    <t>Kongpanna, Pichayapan, Varong Pavarajarn, Rafiqul Gani, and Suttichai Assabumrungrat. "Techno-economic evaluation of different CO2-based processes for dimethyl carbonate production." Chemical Engineering Research and Design 93 (2015): 496-510.</t>
  </si>
  <si>
    <t>Ethylene carbonate transesterification</t>
  </si>
  <si>
    <t>Table 3. 
Scenario: DMC production from ethylene carbonate. 
CO2 Input: 7921 kg  (F-MIX column Table 3) 
CO2 Output: 0.452 kg CO2 (Table 6)
Methanol: 4806 kg  (F-MIX2 column Table 3) minus the 1795 kg recovered MeOH (R-MeOH column Table 3)
Ethylene oxide: 3348 kg  (F-MIX column Table 3) 
Ethylene Glycol: 2731 kg  recovered (P-EG column Table 3) output
Ethylene Carbonate: 1603 kg  recovered (Excess Feed column Table 3) output
Energy Use: 116,516 MJ (Table 6)
Fig 2 does not account for CO2 capture and compression process</t>
  </si>
  <si>
    <t>Urea transesterification</t>
  </si>
  <si>
    <t>Table 2. 
Scenario: DMC production from Urea. 
CO2 Input: 3520 kg  (F-MIX1 column Table 2) 
CO2 Output: 2.938 kg CO2 (Table 6)
Methanol: 16405 kg  (F-MIX2 column Table 2) minus the 12279 kg recovered MeOH (R-MeOH column Table 2) minus the 679 kg recovered MeOH (R-Feed column Table 2) minus the 152 kg recovered MeOH (R-MeOH2 column Table 2)
Ammonia: 5790 kg  (F-MIX1 column Table 2) minus the 1510 kg recovered ammonia (PROD1 column Table 2) minus the 142 kg recovered ammonia (W-Water column Table 2) 
Urea: 3783 kg  (F-Urea column Table 2) minus the 1122 kg recovered urea (PROD1 column Table 2) minus the 60 kg recovered urea (W-Water column Table 2) 
Energy Use: 272,283 MJ (Table 6)
Fig 2 does not account for CO2 capture and compression process</t>
  </si>
  <si>
    <t>CO</t>
  </si>
  <si>
    <t>reverseWater-Gas-Shift</t>
  </si>
  <si>
    <t>Table S1 SI
The paper accounts for the CO2 impact of CO2 capture through loss of of efficiency in a power plant (SI Table S4 ) but does not provide details on the energy used and the pressure conditions
H2 production energy requirement (SI Table S4) is not included in the energy requirement of CO produciton (1.34 kWh). The energy requirement for H2 is the product of 50 kWh/kg H2 (SI Table S4) and 0.072 kg of H2/kg CH4</t>
  </si>
  <si>
    <t>Dry Reforming</t>
  </si>
  <si>
    <t>Table S1 SI
The paper accounts for the CO2 impact of CO2 capture through loss of of efficiency in a power plant (SI Table S4 ) but does not provide details on the energy used and the pressure conditions</t>
  </si>
  <si>
    <t>Sternberg, André, Christian M. Jens, and André Bardow. "Life cycle assessment of CO 2-based C1-chemicals." Green Chemistry 19, no. 9 (2017): 2244-2259.</t>
  </si>
  <si>
    <t>Scenario IIa in Table S3 in SI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</si>
  <si>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IIb in Table S3 in SI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</si>
  <si>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IIIa in Table S4 in SI
CH4 LHV assumed to be 45 MJ/kg https://www.claverton-energy.com/wordpress/wp-content/uploads/2012/08/the_energy_and_fuel_data_sheet1.pdf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</si>
  <si>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IIIb in Table S4 in SI
CH4 LHV assumed to be 45 MJ/kg https://www.claverton-energy.com/wordpress/wp-content/uploads/2012/08/the_energy_and_fuel_data_sheet1.pdf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</si>
  <si>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 xml:space="preserve">"LCI Near term" tab in CCU LCI.xlsx in the SI. Column Q. The reported values are scaled from 0.63 kg to 1 kg of CO (cell Q49)
This is the same as dataset 37 (above) based on  reference 4 which is cited in the SI. 
As a result, we can assume that the pressure conditions are the same as dataset 37.
Good case for harmonization.
The energy and material inventory for CO2 capture are included in columns F to I in "LC_near_term" tab of the "CCU-LCI.xlsx" excel in the SI and are seprate from the values in the "Q" column, which covers inventory for CCU CO production </t>
  </si>
  <si>
    <t>Fernández-Dacosta, Cora, Viktorija Stojcheva, and Andrea Ramirez. "Closing carbon cycles: Evaluating the performance of multi-product CO2 utilisation and storage configurations in a refinery." Journal of CO2 Utilization 23 (2018): 128-142.</t>
  </si>
  <si>
    <t>DME</t>
  </si>
  <si>
    <t>SI Table S2
Steam has a calorofic value of 2.8 MJ/kg
CO2 pressure on page 133 in section 2.2.3
As indicated by figure 3b, the energy requirement for CO2 capture is not included in the system boundary for CO2 based DME production. Figure 3b depicts only the CO2 feedstock and not the upstream CO2 capture processes (Figure 2b), which is acocunted for separately.</t>
  </si>
  <si>
    <t>SI Table S3
Steam has a calorofic value of 2.8 MJ/kg
As indicated by figure 3b, the energy requirement for CO2 capture is not included in the system boundary for CO2 based DME production. Figure 3b depicts only the CO2 feedstock and not the upstream CO2 capture processes (Figure 2b), which is acocunted for separately.
CO2 reaction pressure in section 2.2.4</t>
  </si>
  <si>
    <t>Fernández-Dacosta, Cora, Li Shen, Wouter Schakel, Andrea Ramirez, and Gert Jan Kramer. "Potential and challenges of low-carbon energy options: Comparative assessment of alternative fuels for the transport sector." Applied energy 236 (2019): 590-606.</t>
  </si>
  <si>
    <t>Table 3 main paper
DME calorofic value 28.9 MJ/kg or 34.6 kg of DME/GJ
https://www.engineeringtoolbox.com/fuels-higher-calorific-values-d_169.html
As mentioned in the caption of Figure 2, the capture of CO2 is not included in the analysis</t>
  </si>
  <si>
    <t>"LCI Near term" tab in CCU LCI.xlsx in the SI. Column S. The reported values are scaled from 0.569 kg to 1 kg of CO (cell S52)
This study uses data from the dataset 42 (above). Dataset 42 does not include CO2 capture as a part of the system boundary for CO2 based DME production.</t>
  </si>
  <si>
    <t>Falter, Christoph, Valentin Batteiger, and Andreas Sizmann. "Climate impact and economic feasibility of solar thermochemical jet fuel production." Environmental science &amp; technology 50, no. 1 (2016): 470-477.</t>
  </si>
  <si>
    <t>Kerosene</t>
  </si>
  <si>
    <t>Figure 2 main paper.
Kerosene 1L weighs 0.8 kg
Naptha 1L weighs 0.74 kg
We exclude the 30.3 MJ of  energy required for CO2 capture from the analysis(Figure 2) 
Good case for harmonization</t>
  </si>
  <si>
    <t>Pérez-Fortes, Mar, Jan C. Schöneberger, Aikaterini Boulamanti, and Evangelos Tzimas. "Methanol synthesis using captured CO2 as raw material: Techno-economic and environmental assessment." Applied Energy 161 (2016): 718-732.</t>
  </si>
  <si>
    <t>MeOH</t>
  </si>
  <si>
    <t>Table 1 and Table 4
CO2 capture and H2 generation not included in system. Section 3.1 (first bullet point) and 5.1.1  
Water output is assumed to be waste water
Flue gas emissions is not considered as it is not characterized
CO2 output Table 4
CO2 and H2 input and reaction pressure - Section 4.1</t>
  </si>
  <si>
    <r>
      <t>Hoppe, Wieland, Nils Thonemann, and Stefan Bringezu. "Life Cycle Assessment of Carbon Dioxide–Based Production of Methane and Methanol and Derived Polymers." </t>
    </r>
    <r>
      <rPr>
        <i/>
        <sz val="10"/>
        <color rgb="FF222222"/>
        <rFont val="Arial"/>
        <family val="2"/>
      </rPr>
      <t>Journal of Industrial Ecology</t>
    </r>
    <r>
      <rPr>
        <sz val="10"/>
        <color rgb="FF222222"/>
        <rFont val="Arial"/>
        <family val="2"/>
      </rPr>
      <t> 22.2 (2018): 327-340.</t>
    </r>
  </si>
  <si>
    <t xml:space="preserve"> SI Section 6 Table S1. The reference provided for the CCU methanol requirements (Rihko-Struckmann et al 2010) does not include the energy for  CO2 capture or H2 generation. 
In fact, the energy requirements for  CO2 capture or H2 generation are accounted for separately in  SI Section 6 Table S1.
Electricty for CO2 capture based on CO2 capture from coal power plant (0.164 kwh/kg CO2)
CCU MeOH conditions are based on "Rihko-Struckmann, L. K., A. Peschel, R. Hanke-Rauschenbach, and K. Sundmacher. 2010. Assessment of methanol synthesis utilizing exhaust CO2 for chemical storage of electrical energy. Industrial &amp; Engineering Chemistry Research 49(21): 11073–11078." (page 332). This reference provides a reaction pressure of 50 bar.</t>
  </si>
  <si>
    <t>Szima, Szabolcs, and Calin-Cristian Cormos. "Improving methanol synthesis from carbon-free H 2 and captured CO 2: A techno-economic and environmental evaluation." Journal of CO2 Utilization 24 (2018): 555-563.</t>
  </si>
  <si>
    <t xml:space="preserve">Table 4 and 5 in main paper.
Table 4 has the energy values. 
Input and reaction pressure values for CO2 and H2  mentioned in page 557
Electricity use for H2 generation - Table 4
Electricity used for compression is 0.22 kWh/kg (2860/12500 in Table 4)
</t>
  </si>
  <si>
    <t>Van-Dal, Éverton Simões, and Chakib Bouallou. "Design and simulation of a methanol production plant from CO2 hydrogenation." Journal of Cleaner Production 57 (2013): 38-45.</t>
  </si>
  <si>
    <t>Energy values from Table 6 in main paper
Material flows from Table 5 in main paper. H2 value determined from O2 value based on the stochiometric ratio in water electrolysis reaction (i.e. ratio of O2/H2 is 8:1)
CO2 and H2 input and reaction pressure on page 41
Energy for H2 generation and compression of H2+CO2 energy in Table 6</t>
  </si>
  <si>
    <t>Anicic, B., P. Trop, and D. Goricanec. "Comparison between two methods of methanol production from carbon dioxide." Energy 77 (2014): 279-289.</t>
  </si>
  <si>
    <t>Energy values from Table 12 in main paper
Material values from Table 10 and 11 in main paper
Energy values for H2 generation, CO2 capture and compression provided in Table 12</t>
  </si>
  <si>
    <t>D. Bellotti, M. Rivarolo, L. Magistri, A.F. Massardo, Feasibility study of methanol production plant from hydrogen and captured carbon dioxide, J. CO2 Util. 21 (2017) 132–138.</t>
  </si>
  <si>
    <t>Scenario for 4000 t/yr in Table 4
Molar ratio H2:CO2 3:1 (Table 1 main paper) which is a mass ratio of 6:44 
Mass flows Table 4
H2 generation, CO2 capture and reaction  energy values in Table 2
CO2 and H2 input and reaction pressure in Table 1</t>
  </si>
  <si>
    <t>Scenario for 10000 t/yr in Table 4
Molar ratio H2:CO2 3:1 (Table 1 main paper) which is a mass ratio of 6:44 
Mass flows Table 4
H2 generation, CO2 capture and reaction  energy values in Table 2
CO2 and H2 input and reaction pressure in Table 1</t>
  </si>
  <si>
    <t>Scenario for 50000 t/yr in Table 4
Molar ratio H2:CO2 3:1 (Table 1 main paper) which is a mass ratio of 6:44 
Mass flows Table 4
H2 generation, CO2 capture and reaction  energy values in Table 2
CO2 and H2 input and reaction pressure in Table 1</t>
  </si>
  <si>
    <t>Van Der Ham, L.G.J., Van Den Berg, H., Benneker, A., Simmelink, G., Timmer, J., Van Weerden, S., 2012. Hydrogenation of carbon dioxide for methanol production. Chemical Engineering Transactions 29, 181e186.</t>
  </si>
  <si>
    <t>Table 3</t>
  </si>
  <si>
    <t>Van-Dal E, Bouallou C. CO2 abatement through a methanol production process.
Chem Eng Trans 2012;29:463–8.</t>
  </si>
  <si>
    <t>Mass flows Table 1 and section 2
Energy values in Table 2
Water output in Table 1 is assumed to be waste water
CO2 and H2 input and reaction pressure in section 2.1, 2.3 and 2.4</t>
  </si>
  <si>
    <t>Sakamoto, Y., and W. Zhou. "Energy analysis of a CO2 recycling system." International journal of energy research 24, no. 6 (2000): 549-559.</t>
  </si>
  <si>
    <t>Figure 2.
Reaction pressure in section 2.2.3</t>
  </si>
  <si>
    <t>Aresta, Michele, Antonella Caroppo, Angela Dibenedetto, and Marcella Narracci. "Life Cycle Assessment (LCA) applied to the synthesis of methanol. Comparison of the use of syngas with the use of CO 2 and dihydrogen produced from renewables." In Environmental Challenges and Greenhouse Gas Control for Fossil Fuel Utilization in the 21st Century, pp. 331-347. Springer, Boston, MA, 2002.</t>
  </si>
  <si>
    <t>Figure 5 and Table 7
Reaction pressure in page 340</t>
  </si>
  <si>
    <t>Biernacki, Piotr, Tobias Röther, Wilfried Paul, Patrick Werner, and Sven Steinigeweg. "Environmental impact of the excess electricity conversion into methanol." Journal of Cleaner Production 191 (2018): 87-98.</t>
  </si>
  <si>
    <t>Energy requirements Table 3
Materials Table 2, Figure 4 and Figure 6
The water by product in Table 2 is assumed to be waste water
Reaction pressure in Figure 4</t>
  </si>
  <si>
    <t>Fernández-Dacosta, Cora, Li Shen, Wouter Schakel, Andrea Ramirez, and Gert Jan Kramer. "Potential and challenges of low-carbon energy options: Comparative assessment of alternative fuels for the transport sector." Applied energy 236 (2019): 590-606.
H2 input pressure in sections 2.1.2 and 2.1.4
The caption of Figure 1 mentios that CO2 capture is not in the scope of the analysis</t>
  </si>
  <si>
    <t xml:space="preserve">Methanol LHV 20 MJ/kg https://www.engineeringtoolbox.com/fuels-higher-calorific-values-d_169.html
Values, which are reported per GJ in Table 3, are scaled to kg of MeOH using a LHV of 20 MJ per kg of MeOH
Reaction pressure values in sectio 2.1.4
</t>
  </si>
  <si>
    <t>Meunier, Nicolas, Remi Chauvy, Seloua Mouhoubi, Diane Thomas, and Guy De Weireld. "Alternative production of methanol from industrial CO2." Renewable Energy 146 (2020): 1192-1203.</t>
  </si>
  <si>
    <t>Table 8 and Figure 3
Heat is recovered from compression of CO2, the exothermic reaction of CO2 with H2 to produce MeOH and the valorization of the inert and purge gases (sections 3.4, 3.5 and 4.1)
Input and reaction pressures in Section 3.4</t>
  </si>
  <si>
    <t>Rumayor, M., A. Dominguez-Ramos, and A. Irabien. "Innovative alternatives to methanol manufacture: Carbon footprint assessment." Journal of cleaner production 225 (2019): 426-434.</t>
  </si>
  <si>
    <t>Table 1 in SI
CO2 input pressure in section 2.2
CO2 capture not included as part of analysis - Section 2.2 and 3.2
Energy required for compressing and liquifying O2 and H2 mentioned in Section 1 of SI</t>
  </si>
  <si>
    <t>Table 1 in SI</t>
  </si>
  <si>
    <t>Table S2 in SI. Scenario Iva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</si>
  <si>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Table S2 in SI. Scenario Ivb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</si>
  <si>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Table S2 in SI. Scenario IVc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</si>
  <si>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"LCI Near term" tab in CCU LCI.xlsx in the SI. Column K. The reported values are scaled from 0.69 kg to 1 kg of CO (cell K31)
This study obtains the inventory values for CCU MeOH from Table S5 of the SI in "Sternberg, André, and André Bardow. "Power-to-What?–Environmental assessment of energy storage systems." Energy &amp; Environmental Science 8, no. 2 (2015): 389-400." which does not include the capture of CO2 or the generation of H2
The reaction pressure values are obtained from page 392 in "Sternberg, André, and André Bardow. "Power-to-What?–Environmental assessment of energy storage systems." , which is the original reference for inventory data</t>
  </si>
  <si>
    <t>Table 1 Main Paper
H2 generation electrcity requirement  provided in page 128
Reaction pressures are obtained from "Sternberg, André, and André Bardow. "Power-to-What?–Environmental assessment of energy storage systems." Energy &amp; Environmental Science 8, no. 2 (2015): 389-400.", which the paper refers to for CCU MeOH production in page 128
MEA inventory provided</t>
  </si>
  <si>
    <t>Sternberg, André, and André Bardow. "Power-to-What?–Environmental assessment of energy storage systems</t>
  </si>
  <si>
    <t xml:space="preserve"> Table S5 of the SI does not include the capture of CO2 or the generation of H2
The reaction pressure values are obtained from page 392 </t>
  </si>
  <si>
    <t xml:space="preserve">Table 5 main paper. Scenario where CO2 is captured through amines.The m3/h values are converted into kg/h
CO2 pressure - Table 3
H2 pressure - Table 4
</t>
  </si>
  <si>
    <t>Table 5 main paper. Scenario where CO2 is captured through membranes.The m3/h values are converted into kg/h.
CO2 pressure - Table 3
H2 pressure - Table 4</t>
  </si>
  <si>
    <t>H2O byproduct output (kg)</t>
  </si>
  <si>
    <t>CO2 emissions waste (kg)</t>
  </si>
  <si>
    <t>Waste water waste (kg)</t>
  </si>
  <si>
    <t>Flue gas waste (kg)</t>
  </si>
  <si>
    <t>Waste zeolite inert landfill waste (kg)</t>
  </si>
  <si>
    <t>Methanol emissions waste (kg)</t>
  </si>
  <si>
    <t>O2 emissions waste (kg)</t>
  </si>
  <si>
    <t>N2 emissions waste (kg)</t>
  </si>
  <si>
    <t>H2O emissions waste (kg)</t>
  </si>
  <si>
    <t>Ammonia emissions waste (kg)</t>
  </si>
  <si>
    <t>Acetaldehyde emissions waste (kg)</t>
  </si>
  <si>
    <t>Aniline Emissions waste (kg)</t>
  </si>
  <si>
    <t>CO emissions waste (kg)</t>
  </si>
  <si>
    <t>Byproduct emissions</t>
  </si>
  <si>
    <t>CCU emissions</t>
  </si>
  <si>
    <t>waste emissions</t>
  </si>
  <si>
    <t>Conv pathway emissions</t>
  </si>
  <si>
    <t>EOC emissions</t>
  </si>
  <si>
    <t>CO2 Utilized</t>
  </si>
  <si>
    <t>ROI without EOC</t>
  </si>
  <si>
    <t>ROI with EOC</t>
  </si>
  <si>
    <t>NA1</t>
  </si>
  <si>
    <t>Study No</t>
  </si>
  <si>
    <t>Study from which dataset is obtained</t>
  </si>
  <si>
    <t>Category</t>
  </si>
  <si>
    <t>CCU Cement (kg/m3)</t>
  </si>
  <si>
    <t xml:space="preserve"> CCU Coarse Aggregate (kg/m3)</t>
  </si>
  <si>
    <t xml:space="preserve"> CCU Fine Aggregate (kg/m3)</t>
  </si>
  <si>
    <t xml:space="preserve"> CCU Water (kg/m3)</t>
  </si>
  <si>
    <t>CCU SCM (kg/m3)</t>
  </si>
  <si>
    <t>CCU SCM Type</t>
  </si>
  <si>
    <t>CCU CO2 utilized (kg/m3)</t>
  </si>
  <si>
    <t>CCU Steam curing (hours)</t>
  </si>
  <si>
    <t>CCU Carbon curing (hours)</t>
  </si>
  <si>
    <t>CCU Compressive strength range LB (MPa/m3)</t>
  </si>
  <si>
    <t>CCU Compressive strength range UB (MPa/m3)</t>
  </si>
  <si>
    <t>A.Z. Morshed, Y. Shao, Influence of moisture content on CO2 uptake in lightweight concrete subject to early carbonation, J. Sustainable Cement-Based Mater. 2 (2) (2013) 144–160.</t>
  </si>
  <si>
    <t>Curing_OPC_Only</t>
  </si>
  <si>
    <t>Shao, Yixin. Beneficial Use of Carbon Dioxide in Precast Concrete Production. McGill Univ., Montreal, QC (Canada), 2014.</t>
  </si>
  <si>
    <t>Liu, Tianlu. "Effect of Early Carbonation Curing on Concrete Resistance to Weathering Carbonation." PhD diss., McGill University Libraries, 2016.</t>
  </si>
  <si>
    <r>
      <t>Rostami, Vahid, Yixin Shao, and Andrew J. Boyd. "Durability of concrete pipes subjected to combined steam and carbonation curing." </t>
    </r>
    <r>
      <rPr>
        <sz val="11"/>
        <color rgb="FF222222"/>
        <rFont val="Arial"/>
        <family val="2"/>
      </rPr>
      <t>Construction and Building Materials 25, no. 8 (2011): 3345-3355.</t>
    </r>
  </si>
  <si>
    <t>Rostami, Vahid, Yixin Shao, and Andrew J. Boyd. "Carbonation curing versus steam curing for precast concrete production." Journal of Materials in Civil Engineering 24, no. 9 (2011): 1221-1229.</t>
  </si>
  <si>
    <t>Zhang, Duo, and Yixin Shao. "Effect of early carbonation curing on chloride penetration and weathering carbonation in concrete." Construction and Building Materials 123 (2016): 516-526.</t>
  </si>
  <si>
    <t>Y. Shao, A.Z. Morshed, Early carbonation for hollow-core concrete slab curing and carbon dioxide recycling, Mater. Struct. 48 (1–2) (2015) 307–319.</t>
  </si>
  <si>
    <t>D. Zhang, X. Cai, Y. Shao, Carbonation curing of precast fly ash concrete, J.
Mater. Civ. Eng. (2016). 04016127.</t>
  </si>
  <si>
    <t>D. Zhang, Y. Shao, Early age carbonation curing for precast reinforced concretes, Constr. Build. Mater. 113 (2016) 134–143.</t>
  </si>
  <si>
    <t>CCU kg CO2/MPa</t>
  </si>
  <si>
    <t>CCU kg CO2</t>
  </si>
  <si>
    <t>H. El-Hassan, Y. Shao, Dy0mic carbo0tion curing of fresh lightweight concrete, Mag. Concr. Res. 66 (14) (2014) 708–718.</t>
  </si>
  <si>
    <t>Curing_OPC+SCM</t>
  </si>
  <si>
    <t>Slag</t>
  </si>
  <si>
    <t>El-Hassan, Hilal, and Yixin Shao. "Early carbo0tion curing of concrete masonry units with Portland limestone cement." Cement and Concrete Composites 62 (2015): 168-177.</t>
  </si>
  <si>
    <t>H. El-hassan, Y. Shao, Z. Ghouleh, Reaction products in carbo0tion-cured light- weight concrete, ASCE J. Mater. Civ. Eng. 25 (2013) 799–809, http://dx.doi.org/ 10.1061/(ASCE)MT.1943-5533.0000638.</t>
  </si>
  <si>
    <t>Zhang, Duo, and Yixin Shao. "Effect of early carbo0tion curing on chloride penetration and weathering carbo0tion in concrete." Construction and Building Materials 123 (2016): 516-526.</t>
  </si>
  <si>
    <t>D. Zhang, X. Cai, Y. Shao, Carbo0tion curing of precast fly ash concrete, J.
Mater. Civ. Eng. (2016). 04016127.</t>
  </si>
  <si>
    <t>H. El-Hassan, Y. Shao, Z. Ghouleh, Effect of initial curing on carbo0tion of lightweight concrete masonry units, ACI Mater. J. 110 (4) (2013) 441–450.</t>
  </si>
  <si>
    <t>Monkman, S., &amp; MacDonald, M. (2017). On carbon dioxide utilization as a means to improve the sustainability of ready-mixed concrete. Journal of Cleaner Production, 167, 365–375. doi:10.1016/j.jclepro.2017.08.194 </t>
  </si>
  <si>
    <t>Mixing OPC Only</t>
  </si>
  <si>
    <r>
      <t>Monkman, S., and Mark MacDonald. "Carbon dioxide upcycling into industrially produced concrete blocks." </t>
    </r>
    <r>
      <rPr>
        <i/>
        <sz val="10"/>
        <color rgb="FF222222"/>
        <rFont val="Arial"/>
        <family val="2"/>
      </rPr>
      <t>Construction and Building Materials</t>
    </r>
    <r>
      <rPr>
        <sz val="10"/>
        <color rgb="FF222222"/>
        <rFont val="Arial"/>
        <family val="2"/>
      </rPr>
      <t> 124 (2016): 127-132.</t>
    </r>
  </si>
  <si>
    <t>Monkman, S. "Carbon dioxide utilization in fresh industrially produced ready mixed concrete." In International Concrete Sustainability Conference, National Ready Mixed Concrete Association. 2014.</t>
  </si>
  <si>
    <t>Mixing OPC+SCM</t>
  </si>
  <si>
    <t>Ready Mixed Technology Trial Results</t>
  </si>
  <si>
    <t>Climate ROI</t>
  </si>
  <si>
    <t>Conventio0l Cement (kg/m3)</t>
  </si>
  <si>
    <t xml:space="preserve"> Conventio0l Coarse Aggregate (kg/m3)</t>
  </si>
  <si>
    <t xml:space="preserve"> Conventio0l Fine Aggregate (kg/m3)</t>
  </si>
  <si>
    <t xml:space="preserve"> Conventio0l Water (kg/m3)</t>
  </si>
  <si>
    <t>Conventio0l SCM (kg/m3)</t>
  </si>
  <si>
    <t>Conventio0l SCM Type</t>
  </si>
  <si>
    <t>Conventio0l CO2 utilized (kg/m3)</t>
  </si>
  <si>
    <t>Conventio0l Steam curing (hours)</t>
  </si>
  <si>
    <t>Conventio0l Carbon curing (hours)</t>
  </si>
  <si>
    <t>Conventio0l Compressive strength range LB (MPa/m3)</t>
  </si>
  <si>
    <t>Conventio0l Compressive strength range UB (MPa/m3)</t>
  </si>
  <si>
    <t>Conventio0l kg CO2</t>
  </si>
  <si>
    <t>Conventio0l kg CO2/MPa</t>
  </si>
  <si>
    <t>Monkman, S., &amp; MacDo0ld, M. (2017). On carbon dioxide utilization as a means to improve the sustai0bility of ready-mixed concrete. Jour0l of Cleaner Production, 167, 365–375. doi:10.1016/j.jclepro.2017.08.194 </t>
  </si>
  <si>
    <t>Monkman, S., MacDo0ld, M. &amp; Hooton, D. Using Carbon Dioxide as a Beneficial Admixture in Ready-Mixed Concrete. NRMCA 2015 Int. Concr. Sustain. Conf. (2015).</t>
  </si>
  <si>
    <t>Monkman, S. "Carbon dioxide utilization in fresh industrially produced ready mixed concrete." In Inter0tio0l Concrete Sustai0bility Conference, 0tio0l Ready Mixed Concrete Association. 2014.</t>
  </si>
  <si>
    <t>Monkman, Sean, Mark MacDo0ld, R. Doug Hooton, and Paul Sandberg. "Properties and durability of concrete produced using CO2 as an accelerating admixture." Cement and Concrete Composites 74 (2016): 218-224.</t>
  </si>
  <si>
    <t>Conventional strength mean</t>
  </si>
  <si>
    <t>CCU strength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</si>
</sst>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 #,##0.00000_ ;_ * \-#,##0.00000_ ;_ * &quot;-&quot;??_ ;_ @_ "/>
    <numFmt numFmtId="166" formatCode="0.0"/>
  </numFmts>
  <fonts count="12" x14ac:knownFonts="1">
    <font>
      <sz val="12"/>
      <color theme="1"/>
      <name val="Calibri"/>
      <family val="2"/>
      <scheme val="minor"/>
    </font>
    <font>
      <i/>
      <sz val="10"/>
      <color rgb="FF222222"/>
      <name val="Arial"/>
      <family val="2"/>
    </font>
    <font>
      <sz val="10"/>
      <color rgb="FF222222"/>
      <name val="Arial"/>
      <family val="2"/>
    </font>
    <font>
      <sz val="12"/>
      <color theme="1"/>
      <name val="Calibri"/>
      <family val="2"/>
      <scheme val="minor"/>
    </font>
    <font>
      <sz val="12"/>
      <color rgb="FF000000"/>
      <name val="Calibri"/>
      <family val="2"/>
      <scheme val="minor"/>
    </font>
    <font>
      <i/>
      <sz val="13"/>
      <color rgb="FF222222"/>
      <name val="Arial"/>
      <family val="2"/>
    </font>
    <font>
      <sz val="13"/>
      <color rgb="FF222222"/>
      <name val="Arial"/>
      <family val="2"/>
    </font>
    <font>
      <sz val="11"/>
      <name val="Calibri"/>
      <family val="2"/>
      <scheme val="minor"/>
    </font>
    <font>
      <b/>
      <sz val="11"/>
      <color theme="1"/>
      <name val="Calibri"/>
      <family val="2"/>
      <scheme val="minor"/>
    </font>
    <font>
      <sz val="11"/>
      <color rgb="FF222222"/>
      <name val="Arial"/>
      <family val="2"/>
    </font>
    <font>
      <sz val="11"/>
      <color theme="1"/>
      <name val="Calibri"/>
      <family val="2"/>
    </font>
    <font>
      <b/>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E2EFDA"/>
        <bgColor rgb="FF000000"/>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69">
    <xf numFmtId="0" fontId="0" fillId="0" borderId="0" xfId="0"/>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top" wrapText="1"/>
    </xf>
    <xf numFmtId="0" fontId="0" fillId="0" borderId="1" xfId="0" applyBorder="1" applyAlignment="1">
      <alignment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4" borderId="1" xfId="0" applyFill="1" applyBorder="1" applyAlignment="1">
      <alignment horizontal="center" vertical="top"/>
    </xf>
    <xf numFmtId="0" fontId="0" fillId="4" borderId="1" xfId="0" applyFill="1" applyBorder="1" applyAlignment="1">
      <alignment horizontal="center" vertical="top" wrapText="1"/>
    </xf>
    <xf numFmtId="0" fontId="4" fillId="5" borderId="1" xfId="0" applyFont="1" applyFill="1" applyBorder="1" applyAlignment="1">
      <alignment horizontal="center" vertical="top" wrapText="1"/>
    </xf>
    <xf numFmtId="0" fontId="0" fillId="6" borderId="1" xfId="0" applyFill="1" applyBorder="1" applyAlignment="1">
      <alignment horizontal="center" vertical="top" wrapText="1"/>
    </xf>
    <xf numFmtId="0" fontId="0" fillId="6" borderId="2" xfId="0" applyFill="1" applyBorder="1" applyAlignment="1">
      <alignment horizontal="center" vertical="top" wrapText="1"/>
    </xf>
    <xf numFmtId="0" fontId="0" fillId="7" borderId="1" xfId="0" applyFill="1" applyBorder="1" applyAlignment="1">
      <alignment horizontal="center" vertical="top" wrapText="1"/>
    </xf>
    <xf numFmtId="0" fontId="0" fillId="7" borderId="2" xfId="0" applyFill="1" applyBorder="1" applyAlignment="1">
      <alignment horizontal="center" vertical="top" wrapText="1"/>
    </xf>
    <xf numFmtId="0" fontId="0" fillId="7" borderId="3" xfId="0" applyFill="1" applyBorder="1" applyAlignment="1">
      <alignment horizontal="center" vertical="top" wrapText="1"/>
    </xf>
    <xf numFmtId="0" fontId="0" fillId="4"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horizontal="center" vertical="center" wrapText="1"/>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xf numFmtId="11" fontId="0" fillId="6" borderId="1" xfId="0" applyNumberFormat="1" applyFill="1" applyBorder="1" applyAlignment="1">
      <alignment horizontal="center" vertical="center"/>
    </xf>
    <xf numFmtId="11" fontId="0" fillId="7"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4" borderId="1" xfId="0" applyFill="1" applyBorder="1" applyAlignment="1">
      <alignment vertical="center"/>
    </xf>
    <xf numFmtId="2" fontId="0" fillId="6" borderId="1" xfId="0" applyNumberFormat="1" applyFill="1" applyBorder="1" applyAlignment="1">
      <alignment horizontal="center" vertical="center"/>
    </xf>
    <xf numFmtId="2" fontId="0" fillId="7" borderId="1" xfId="0" applyNumberFormat="1" applyFill="1" applyBorder="1" applyAlignment="1">
      <alignment horizontal="center" vertical="center"/>
    </xf>
    <xf numFmtId="164" fontId="0" fillId="4" borderId="1" xfId="0" applyNumberFormat="1" applyFill="1" applyBorder="1" applyAlignment="1">
      <alignment horizontal="center" vertical="center"/>
    </xf>
    <xf numFmtId="0" fontId="0" fillId="0" borderId="1" xfId="0" applyBorder="1" applyAlignment="1">
      <alignment vertical="top" wrapText="1"/>
    </xf>
    <xf numFmtId="0" fontId="0" fillId="4" borderId="1" xfId="0" applyFill="1" applyBorder="1"/>
    <xf numFmtId="11" fontId="0" fillId="4" borderId="1" xfId="0" applyNumberFormat="1" applyFill="1" applyBorder="1" applyAlignment="1">
      <alignment horizontal="center" vertical="center"/>
    </xf>
    <xf numFmtId="0" fontId="0" fillId="0" borderId="0" xfId="0"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top" wrapText="1"/>
    </xf>
    <xf numFmtId="165" fontId="7" fillId="4" borderId="1" xfId="1" applyNumberFormat="1" applyFont="1" applyFill="1" applyBorder="1" applyAlignment="1">
      <alignment horizontal="center" vertical="center"/>
    </xf>
    <xf numFmtId="43" fontId="0" fillId="4" borderId="1" xfId="0" applyNumberForma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center" vertical="center"/>
    </xf>
    <xf numFmtId="0" fontId="0" fillId="4" borderId="3" xfId="0" applyFill="1" applyBorder="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xf>
    <xf numFmtId="0" fontId="8" fillId="0" borderId="0" xfId="0" applyFont="1" applyBorder="1" applyAlignment="1">
      <alignment horizontal="center" vertical="center"/>
    </xf>
    <xf numFmtId="0" fontId="8" fillId="4"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8" fillId="6" borderId="4" xfId="0" applyFont="1" applyFill="1" applyBorder="1" applyAlignment="1">
      <alignment horizontal="center" vertical="center" wrapText="1"/>
    </xf>
    <xf numFmtId="166" fontId="10" fillId="4" borderId="1" xfId="0" applyNumberFormat="1" applyFont="1" applyFill="1" applyBorder="1" applyAlignment="1">
      <alignment horizontal="center" vertical="center"/>
    </xf>
    <xf numFmtId="166" fontId="0" fillId="4" borderId="1" xfId="0" applyNumberFormat="1" applyFill="1" applyBorder="1" applyAlignment="1">
      <alignment horizontal="center" vertical="center"/>
    </xf>
    <xf numFmtId="0" fontId="0" fillId="2" borderId="1" xfId="0" applyFill="1" applyBorder="1" applyAlignment="1">
      <alignment wrapText="1"/>
    </xf>
    <xf numFmtId="1" fontId="0" fillId="4" borderId="1" xfId="0" applyNumberFormat="1" applyFill="1" applyBorder="1" applyAlignment="1">
      <alignment horizontal="center" vertical="center"/>
    </xf>
    <xf numFmtId="0" fontId="10" fillId="4" borderId="1" xfId="0" applyFont="1" applyFill="1" applyBorder="1" applyAlignment="1">
      <alignment horizontal="center" vertical="center"/>
    </xf>
    <xf numFmtId="0" fontId="11" fillId="0" borderId="0" xfId="0" applyFont="1" applyAlignment="1">
      <alignment horizontal="center" vertical="center"/>
    </xf>
    <xf numFmtId="0" fontId="0" fillId="0" borderId="0" xfId="0" applyAlignment="1">
      <alignment horizontal="center" vertical="top" wrapText="1"/>
    </xf>
    <xf numFmtId="0" fontId="0" fillId="0" borderId="1" xfId="0"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8E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19-08-31T16:23:34.34" personId="{00000000-0000-0000-0000-000000000000}" id="{78E48390-47A0-014A-B00E-C97CA069AFB2}">
    <text>Wet LWA scenario. Table 4. Batch A1.</text>
  </threadedComment>
  <threadedComment ref="C4" dT="2019-08-31T16:23:34.34" personId="{00000000-0000-0000-0000-000000000000}" id="{3FA6383E-E31D-674E-AB13-8966171D6B1F}">
    <text>Wet LWA scenario. Table 4. Batch A2.</text>
  </threadedComment>
  <threadedComment ref="C5" dT="2019-08-31T16:23:34.34" personId="{00000000-0000-0000-0000-000000000000}" id="{10D89A10-296C-FA44-8129-C89ADF7BD25A}">
    <text>Wet LWA scenario. Table 4. Batch A3.</text>
  </threadedComment>
  <threadedComment ref="C6" dT="2019-08-31T16:23:34.34" personId="{00000000-0000-0000-0000-000000000000}" id="{9844161E-F483-A540-B471-27AF19FCF78E}">
    <text>Wet LWA scenario. Table 4. Batch B1.</text>
  </threadedComment>
  <threadedComment ref="C7" dT="2019-08-31T16:23:34.34" personId="{00000000-0000-0000-0000-000000000000}" id="{09DECDB3-EAB1-F24A-9D03-07ADF38B6BFB}">
    <text>Wet LWA scenario. Table 4.. Batch B2.</text>
  </threadedComment>
  <threadedComment ref="C8" dT="2019-08-31T16:23:34.34" personId="{00000000-0000-0000-0000-000000000000}" id="{4C2595F1-7E29-514F-9506-9E4C90ADD9B4}">
    <text>Wet LWA scenario. Table 4.. Batch B3.</text>
  </threadedComment>
  <threadedComment ref="C9" dT="2019-08-31T16:23:34.34" personId="{00000000-0000-0000-0000-000000000000}" id="{3A315DED-BF1C-1344-AC16-2B62B87F15C5}">
    <text>Dry LWA scenario. Table 5. Batch A4.</text>
  </threadedComment>
  <threadedComment ref="C10" dT="2019-08-31T16:23:34.34" personId="{00000000-0000-0000-0000-000000000000}" id="{5A464780-D369-1D43-A670-566F87C2C31F}">
    <text>Dry LWA scenario. Table 5. Batch A4.</text>
  </threadedComment>
  <threadedComment ref="C11" dT="2019-08-31T16:23:34.34" personId="{00000000-0000-0000-0000-000000000000}" id="{E21B8D41-DF64-B349-84F7-895FC1203887}">
    <text>Dry LWA scenario. Table 5. Batch B4.</text>
  </threadedComment>
  <threadedComment ref="C12" dT="2019-08-31T16:23:34.34" personId="{00000000-0000-0000-0000-000000000000}" id="{F43523F4-7289-E741-B213-4DD3842FDFD9}">
    <text>Dry LWA scenario. Table 5. Batch B4.</text>
  </threadedComment>
  <threadedComment ref="C13" dT="2019-08-31T16:23:34.34" personId="{00000000-0000-0000-0000-000000000000}" id="{07635AA2-B2FF-4E4F-A146-FD78990AC30A}">
    <text>Blended LWA scenario. Table 5. Batch A5</text>
  </threadedComment>
  <threadedComment ref="C14" dT="2019-08-31T16:23:34.34" personId="{00000000-0000-0000-0000-000000000000}" id="{40FC78C5-9FC5-854C-B9C0-C669BE8775BF}">
    <text>Blended LWA scenario. Table 5. Batch A5</text>
  </threadedComment>
  <threadedComment ref="C15" dT="2019-08-31T16:23:34.34" personId="{00000000-0000-0000-0000-000000000000}" id="{56CABC68-3B41-F344-B93F-B74926526017}">
    <text>Blended LWA scenario. Table 5. Batch B5.</text>
  </threadedComment>
  <threadedComment ref="C16" dT="2019-08-31T16:23:34.34" personId="{00000000-0000-0000-0000-000000000000}" id="{849D34F7-8D31-D94C-8008-EEC301C8C819}">
    <text>Blended LWA scenario. Table 5. Batch B5</text>
  </threadedComment>
  <threadedComment ref="C17" dT="2019-08-31T16:23:34.34" personId="{00000000-0000-0000-0000-000000000000}" id="{A7D452A5-12A8-5A4D-A362-3958777AC356}">
    <text>Preconditioning scenario. Table 5. Batch A1</text>
  </threadedComment>
  <threadedComment ref="C18" dT="2019-08-31T16:23:34.34" personId="{00000000-0000-0000-0000-000000000000}" id="{74ADA9F3-B90F-FA4D-AA70-4EF9117194E9}">
    <text>Preconditioning scenario. Table 5. Batch B1</text>
  </threadedComment>
  <threadedComment ref="C19" dT="2019-09-01T21:37:10.50" personId="{00000000-0000-0000-0000-000000000000}" id="{ACA028F0-BB00-BA42-B1BC-19636F480BB8}">
    <text>Table 3. Scenario C1 (18H+2C) versus Steamed (18H+2ST)</text>
  </threadedComment>
  <threadedComment ref="C20" dT="2019-09-01T21:37:10.50" personId="{00000000-0000-0000-0000-000000000000}" id="{888BDB2F-4776-1F4F-94DD-922D6C8DFFEB}">
    <text>Table 3. Scenario C2 (18H+2C) versus Steamed (18H+2ST)</text>
  </threadedComment>
  <threadedComment ref="C21" dT="2019-09-01T21:37:10.50" personId="{00000000-0000-0000-0000-000000000000}" id="{AE4D059F-4AF5-A749-91A5-5C024263CB57}">
    <text>Table 3. Scenario C3 (18H+2C) versus Steamed (18H+2ST)</text>
  </threadedComment>
  <threadedComment ref="C22" dT="2019-09-01T21:37:10.50" personId="{00000000-0000-0000-0000-000000000000}" id="{A0385FF6-8D10-454F-BE04-DE36E458EC6B}">
    <text>Table 3. Scenario C4 (18H+24C) versus Steamed (18H+2ST)</text>
  </threadedComment>
  <threadedComment ref="C23" dT="2019-09-01T21:37:10.50" personId="{00000000-0000-0000-0000-000000000000}" id="{8C1A69B5-5108-6449-BD4F-06BCA23B1B02}">
    <text>Table 3. Scenario C5 (18H+24C) versus Steamed (18H+2ST)</text>
  </threadedComment>
  <threadedComment ref="C24" dT="2019-09-01T21:37:10.50" personId="{00000000-0000-0000-0000-000000000000}" id="{860FA1F1-D4B3-A14B-867B-D78B1FC012EB}">
    <text>Table 3. Scenario C6 (18H+24C) versus Steamed (18H+2ST)</text>
  </threadedComment>
  <threadedComment ref="C25" dT="2019-09-01T21:37:10.50" personId="{00000000-0000-0000-0000-000000000000}" id="{E62934E6-D6FC-5A42-8275-C5F6521741C2}">
    <text>Table 3. Scenario C7 (18H+48C) versus Steamed (18H+2ST)</text>
  </threadedComment>
  <threadedComment ref="C26" dT="2019-09-01T21:37:10.50" personId="{00000000-0000-0000-0000-000000000000}" id="{AE6047E0-7BDA-C94C-8AA4-70E1A79FCC54}">
    <text>Table 1. Scenario C8 (18H+4C) versus Hydrated Block</text>
  </threadedComment>
  <threadedComment ref="C27" dT="2019-09-02T16:43:54.77" personId="{00000000-0000-0000-0000-000000000000}" id="{0BBF86F4-AA5A-7A46-A7EE-5157C700AD32}">
    <text>Batch 1. 2 hour carbonation. Fig 4.2, p44</text>
  </threadedComment>
  <threadedComment ref="C28" dT="2019-09-02T16:43:54.77" personId="{00000000-0000-0000-0000-000000000000}" id="{594A9F03-AA1F-DD4E-AE20-20CE985B4C24}">
    <text>Batch 1. 12 hour carbonation. Fig 4.2, p44</text>
  </threadedComment>
  <threadedComment ref="C30" dT="2019-09-03T00:38:02.03" personId="{00000000-0000-0000-0000-000000000000}" id="{EBD0767B-A2DC-DE42-9DAB-78916A552D97}">
    <text>A versus C. Table 1.</text>
  </threadedComment>
  <threadedComment ref="C31" dT="2019-09-03T00:38:02.03" personId="{00000000-0000-0000-0000-000000000000}" id="{6B3094A4-C226-084A-B782-0FD42A2DCF26}">
    <text>A versus CW. Table 1.</text>
  </threadedComment>
  <threadedComment ref="C32" dT="2019-09-03T00:38:02.03" personId="{00000000-0000-0000-0000-000000000000}" id="{24C00EE6-04C4-F640-AAB9-E6AE00E43898}">
    <text>ST versus C. Table 1.</text>
  </threadedComment>
  <threadedComment ref="C33" dT="2019-09-03T00:38:02.03" personId="{00000000-0000-0000-0000-000000000000}" id="{11F97EB1-9FBA-6649-BD91-611E8BE5EB0D}">
    <text>ST versus CW. Table 1.</text>
  </threadedComment>
  <threadedComment ref="C34" dT="2019-09-03T00:38:02.03" personId="{00000000-0000-0000-0000-000000000000}" id="{D583EACC-FE14-1044-BE4E-187DA3CA9250}">
    <text>SE versus C. Table 1.</text>
  </threadedComment>
  <threadedComment ref="C35" dT="2019-09-03T00:38:02.03" personId="{00000000-0000-0000-0000-000000000000}" id="{BF3BA830-B421-774A-BC11-C0648E2B4CC8}">
    <text>SE versus CW. Table 1.</text>
  </threadedComment>
  <threadedComment ref="C36" dT="2019-09-03T01:16:01.86" personId="{00000000-0000-0000-0000-000000000000}" id="{52632055-DC44-5440-81B3-9CA958794C87}">
    <text>Scenario OPC. Fig 3.</text>
  </threadedComment>
  <threadedComment ref="C37" dT="2019-09-03T03:15:25.74" personId="{00000000-0000-0000-0000-000000000000}" id="{0013DFBC-1CF6-F246-B807-A26974A6C558}">
    <text>Batch A. Hydration versus carbonation. Table 5.</text>
  </threadedComment>
  <threadedComment ref="C38" dT="2019-09-03T03:15:53.77" personId="{00000000-0000-0000-0000-000000000000}" id="{AB169966-32DF-6D42-8965-48EE9506BB47}">
    <text>Batch A. Hydration versus carbonation+water compensation. Table 5.</text>
  </threadedComment>
  <threadedComment ref="C39" dT="2019-09-03T03:15:25.74" personId="{00000000-0000-0000-0000-000000000000}" id="{016406FF-FF05-6349-8A3C-52FA4896AA2B}">
    <text>Batch B. Hydration versus carbonation. Table 5.</text>
  </threadedComment>
  <threadedComment ref="C40" dT="2019-09-03T03:16:27.42" personId="{00000000-0000-0000-0000-000000000000}" id="{8BC674AC-55C0-3947-B3A5-EE584991AA0D}">
    <text>Batch B. Hydration versus carbonation+water compensation. Table 5.</text>
  </threadedComment>
  <threadedComment ref="C41" dT="2019-09-03T03:41:51.98" personId="{00000000-0000-0000-0000-000000000000}" id="{FDCC6A0A-80D3-A341-B30D-EFD16ADC5C0B}">
    <text>OPCH versus OPCC. Fig 12.</text>
  </threadedComment>
  <threadedComment ref="C42" dT="2019-09-03T04:05:47.45" personId="{00000000-0000-0000-0000-000000000000}" id="{66FBA3F4-C20E-4248-A700-76710E2D7099}">
    <text>Mix A. Fig 8</text>
  </threadedComment>
  <threadedComment ref="C43" dT="2019-09-03T04:05:47.45" personId="{00000000-0000-0000-0000-000000000000}" id="{9C52C8D9-1B3F-E545-80F6-6538601A28DF}">
    <text>Mix B. Fig 8</text>
  </threadedComment>
  <threadedComment ref="C44" dT="2019-09-01T21:37:10.50" personId="{00000000-0000-0000-0000-000000000000}" id="{020C60B8-C04E-E548-9C2F-0F13D23EED67}">
    <text>Table 3. Scenario C1 (18H+2C) versus Steamed (18H+2ST)</text>
  </threadedComment>
  <threadedComment ref="C45" dT="2019-09-01T21:37:10.50" personId="{00000000-0000-0000-0000-000000000000}" id="{78D74E84-B2B3-5348-BA6D-F5380B04DC7C}">
    <text>Table 3. Scenario C2 (18H+2C) versus Steamed (18H+2ST)</text>
  </threadedComment>
  <threadedComment ref="C46" dT="2019-09-01T21:37:10.50" personId="{00000000-0000-0000-0000-000000000000}" id="{7F1AC384-6C1A-9F4C-8BEA-CB4E71737193}">
    <text>Table 3. Scenario C3 (18H+2C) versus Steamed (18H+2ST)</text>
  </threadedComment>
  <threadedComment ref="C47" dT="2019-09-01T21:37:10.50" personId="{00000000-0000-0000-0000-000000000000}" id="{277E3F4E-5621-124E-B358-A4831FD625F6}">
    <text>Table 3. Scenario C4 (18H+24C) versus Steamed (18H+2ST)</text>
  </threadedComment>
  <threadedComment ref="C48" dT="2019-09-01T21:37:10.50" personId="{00000000-0000-0000-0000-000000000000}" id="{7A68ADB1-E87F-E248-B427-B98B9A777644}">
    <text>Table 3. Scenario C5 (18H+24C) versus Steamed (18H+2ST)</text>
  </threadedComment>
  <threadedComment ref="C49" dT="2019-09-01T21:37:10.50" personId="{00000000-0000-0000-0000-000000000000}" id="{11B43F9C-052D-1B48-8BAC-64D9BEDB2DA6}">
    <text>Table 3. Scenario C6 (18H+24C) versus Steamed (18H+2ST)</text>
  </threadedComment>
  <threadedComment ref="C50" dT="2019-09-01T21:37:10.50" personId="{00000000-0000-0000-0000-000000000000}" id="{166F68D5-42A5-CF45-A867-4AEDCFF9C3DE}">
    <text>Table 3. Scenario C7 (18H+48C) versus Steamed (18H+2ST)</text>
  </threadedComment>
  <threadedComment ref="C51" dT="2019-09-02T16:43:54.77" personId="{00000000-0000-0000-0000-000000000000}" id="{92C1D997-0F13-C044-AEF3-BFEF6AB94D51}">
    <text>Batch 2. 2 hour carbonation. Fig 4.2, p44</text>
  </threadedComment>
  <threadedComment ref="C52" dT="2019-09-02T16:43:54.77" personId="{00000000-0000-0000-0000-000000000000}" id="{45191E7A-DE67-E14F-9321-0F0716B0C0BA}">
    <text>Batch 2. 12 hour carbonation. Fig 4.2, p44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44EC1-3550-944A-A3BF-4D908F20314B}">
  <dimension ref="A1:BI101"/>
  <sheetViews>
    <sheetView zoomScale="62" workbookViewId="0">
      <pane xSplit="1" ySplit="1" topLeftCell="C92" activePane="bottomRight" state="frozen"/>
      <selection pane="topRight" activeCell="B1" sqref="B1"/>
      <selection pane="bottomLeft" activeCell="A2" sqref="A2"/>
      <selection pane="bottomRight" activeCell="D101" sqref="D53:D101"/>
    </sheetView>
  </sheetViews>
  <sheetFormatPr baseColWidth="10" defaultRowHeight="16" x14ac:dyDescent="0.2"/>
  <cols>
    <col min="2" max="2" width="7.83203125" customWidth="1"/>
    <col min="3" max="3" width="63.1640625" customWidth="1"/>
    <col min="4" max="4" width="21.1640625" customWidth="1"/>
    <col min="5" max="5" width="14.33203125" customWidth="1"/>
    <col min="6" max="6" width="20.83203125" customWidth="1"/>
    <col min="7" max="7" width="19.33203125" customWidth="1"/>
    <col min="8" max="12" width="15.1640625" customWidth="1"/>
    <col min="13" max="22" width="22.6640625" customWidth="1"/>
    <col min="23" max="23" width="24.6640625" customWidth="1"/>
    <col min="24" max="24" width="14.5" customWidth="1"/>
    <col min="31" max="31" width="12.5" customWidth="1"/>
  </cols>
  <sheetData>
    <row r="1" spans="1:61" ht="96" x14ac:dyDescent="0.2">
      <c r="A1" s="50" t="s">
        <v>3</v>
      </c>
      <c r="B1" s="50" t="s">
        <v>220</v>
      </c>
      <c r="C1" s="50" t="s">
        <v>221</v>
      </c>
      <c r="D1" s="50" t="s">
        <v>222</v>
      </c>
      <c r="E1" s="51" t="s">
        <v>261</v>
      </c>
      <c r="F1" s="51" t="s">
        <v>262</v>
      </c>
      <c r="G1" s="51" t="s">
        <v>263</v>
      </c>
      <c r="H1" s="51" t="s">
        <v>264</v>
      </c>
      <c r="I1" s="51" t="s">
        <v>265</v>
      </c>
      <c r="J1" s="51" t="s">
        <v>266</v>
      </c>
      <c r="K1" s="51" t="s">
        <v>267</v>
      </c>
      <c r="L1" s="51" t="s">
        <v>268</v>
      </c>
      <c r="M1" s="51" t="s">
        <v>269</v>
      </c>
      <c r="N1" s="51" t="s">
        <v>270</v>
      </c>
      <c r="O1" s="51" t="s">
        <v>271</v>
      </c>
      <c r="P1" s="52" t="s">
        <v>223</v>
      </c>
      <c r="Q1" s="52" t="s">
        <v>224</v>
      </c>
      <c r="R1" s="52" t="s">
        <v>225</v>
      </c>
      <c r="S1" s="52" t="s">
        <v>226</v>
      </c>
      <c r="T1" s="52" t="s">
        <v>227</v>
      </c>
      <c r="U1" s="52" t="s">
        <v>228</v>
      </c>
      <c r="V1" s="52" t="s">
        <v>229</v>
      </c>
      <c r="W1" s="52" t="s">
        <v>230</v>
      </c>
      <c r="X1" s="52" t="s">
        <v>231</v>
      </c>
      <c r="Y1" s="52" t="s">
        <v>232</v>
      </c>
      <c r="Z1" s="52" t="s">
        <v>233</v>
      </c>
      <c r="AB1" s="59" t="s">
        <v>272</v>
      </c>
      <c r="AC1" s="58" t="s">
        <v>245</v>
      </c>
      <c r="AE1" s="67" t="s">
        <v>278</v>
      </c>
      <c r="AF1" s="67" t="s">
        <v>279</v>
      </c>
      <c r="AH1" s="60" t="s">
        <v>273</v>
      </c>
      <c r="AI1" s="58" t="s">
        <v>244</v>
      </c>
      <c r="AK1" s="66" t="s">
        <v>260</v>
      </c>
      <c r="AN1" s="51" t="s">
        <v>261</v>
      </c>
      <c r="AO1" s="51" t="s">
        <v>262</v>
      </c>
      <c r="AP1" s="51" t="s">
        <v>263</v>
      </c>
      <c r="AQ1" s="51" t="s">
        <v>264</v>
      </c>
      <c r="AR1" s="51" t="s">
        <v>265</v>
      </c>
      <c r="AS1" s="51" t="s">
        <v>266</v>
      </c>
      <c r="AT1" s="51" t="s">
        <v>267</v>
      </c>
      <c r="AU1" s="51" t="s">
        <v>268</v>
      </c>
      <c r="AV1" s="51" t="s">
        <v>269</v>
      </c>
      <c r="AW1" s="51" t="s">
        <v>270</v>
      </c>
      <c r="AX1" s="51" t="s">
        <v>271</v>
      </c>
      <c r="AY1" s="52" t="s">
        <v>223</v>
      </c>
      <c r="AZ1" s="52" t="s">
        <v>224</v>
      </c>
      <c r="BA1" s="52" t="s">
        <v>225</v>
      </c>
      <c r="BB1" s="52" t="s">
        <v>226</v>
      </c>
      <c r="BC1" s="52" t="s">
        <v>227</v>
      </c>
      <c r="BD1" s="52" t="s">
        <v>228</v>
      </c>
      <c r="BE1" s="52" t="s">
        <v>229</v>
      </c>
      <c r="BF1" s="52" t="s">
        <v>230</v>
      </c>
      <c r="BG1" s="52" t="s">
        <v>231</v>
      </c>
      <c r="BH1" s="52" t="s">
        <v>232</v>
      </c>
      <c r="BI1" s="52" t="s">
        <v>233</v>
      </c>
    </row>
    <row r="2" spans="1:61" x14ac:dyDescent="0.2">
      <c r="A2" s="57"/>
      <c r="B2" s="57"/>
      <c r="C2" s="57"/>
      <c r="D2" s="57"/>
      <c r="E2" s="51">
        <v>0.94799999999999995</v>
      </c>
      <c r="F2" s="51">
        <v>5.0000000000000001E-3</v>
      </c>
      <c r="G2" s="51">
        <v>4.0000000000000001E-3</v>
      </c>
      <c r="H2" s="51">
        <v>1E-3</v>
      </c>
      <c r="I2" s="51">
        <f>7.7*2.18</f>
        <v>16.786000000000001</v>
      </c>
      <c r="J2" s="51">
        <f>22.7*1.24</f>
        <v>28.148</v>
      </c>
      <c r="K2" s="51">
        <v>0.221</v>
      </c>
      <c r="L2" s="51">
        <v>39.549999999999997</v>
      </c>
      <c r="M2" s="51">
        <f>0.477*38.8</f>
        <v>18.507599999999996</v>
      </c>
      <c r="N2" s="51"/>
      <c r="O2" s="51"/>
      <c r="P2" s="52">
        <v>0.94799999999999995</v>
      </c>
      <c r="Q2" s="52">
        <v>5.0000000000000001E-3</v>
      </c>
      <c r="R2" s="52">
        <v>4.0000000000000001E-3</v>
      </c>
      <c r="S2" s="52">
        <v>1E-3</v>
      </c>
      <c r="T2" s="52">
        <f>7.7*2.18</f>
        <v>16.786000000000001</v>
      </c>
      <c r="U2" s="52">
        <f>22.7*1.24</f>
        <v>28.148</v>
      </c>
      <c r="V2" s="52">
        <v>0.221</v>
      </c>
      <c r="W2" s="52">
        <v>39.549999999999997</v>
      </c>
      <c r="X2" s="52">
        <f>0.477*38.8</f>
        <v>18.507599999999996</v>
      </c>
      <c r="Y2" s="52"/>
      <c r="Z2" s="52"/>
    </row>
    <row r="3" spans="1:61" ht="51" x14ac:dyDescent="0.2">
      <c r="A3" s="1">
        <v>1</v>
      </c>
      <c r="B3" s="1">
        <v>8</v>
      </c>
      <c r="C3" s="53" t="s">
        <v>234</v>
      </c>
      <c r="D3" s="54" t="s">
        <v>235</v>
      </c>
      <c r="E3" s="21">
        <v>414</v>
      </c>
      <c r="F3" s="21">
        <v>354</v>
      </c>
      <c r="G3" s="21">
        <v>837</v>
      </c>
      <c r="H3" s="21">
        <v>103.5</v>
      </c>
      <c r="I3" s="21">
        <v>0</v>
      </c>
      <c r="J3" s="21" t="s">
        <v>1</v>
      </c>
      <c r="K3" s="21">
        <f>0*E3</f>
        <v>0</v>
      </c>
      <c r="L3" s="21">
        <v>0</v>
      </c>
      <c r="M3" s="21">
        <v>0</v>
      </c>
      <c r="N3" s="21">
        <v>18</v>
      </c>
      <c r="O3" s="21">
        <v>18.600000000000001</v>
      </c>
      <c r="P3" s="19">
        <v>414</v>
      </c>
      <c r="Q3" s="19">
        <v>354</v>
      </c>
      <c r="R3" s="19">
        <v>837</v>
      </c>
      <c r="S3" s="19">
        <v>103.5</v>
      </c>
      <c r="T3" s="19">
        <v>0</v>
      </c>
      <c r="U3" s="19" t="s">
        <v>1</v>
      </c>
      <c r="V3" s="34">
        <v>20.700000000000003</v>
      </c>
      <c r="W3" s="19">
        <v>0</v>
      </c>
      <c r="X3" s="19">
        <v>2</v>
      </c>
      <c r="Y3" s="19">
        <v>16</v>
      </c>
      <c r="Z3" s="19">
        <v>17.399999999999999</v>
      </c>
      <c r="AB3" s="1">
        <f>SUMPRODUCT($E$2:$M$2,E3:M3)+((0.1+0.477+0.477)*M3)</f>
        <v>397.69349999999997</v>
      </c>
      <c r="AC3" s="1">
        <f>SUMPRODUCT($P$2:$X$2,P3:X3)+((0.1+0.477+0.477)*V3)</f>
        <v>461.10119999999995</v>
      </c>
      <c r="AD3" s="1"/>
      <c r="AE3" s="1">
        <f t="shared" ref="AE3:AE66" si="0">AVERAGE(N3:O3)</f>
        <v>18.3</v>
      </c>
      <c r="AF3" s="1">
        <f t="shared" ref="AF3:AF66" si="1">AVERAGE(Y3:Z3)</f>
        <v>16.7</v>
      </c>
      <c r="AG3" s="1"/>
      <c r="AH3" s="1">
        <f t="shared" ref="AH3:AH66" si="2">AB3/AE3</f>
        <v>21.731885245901637</v>
      </c>
      <c r="AI3" s="1">
        <f t="shared" ref="AI3:AI66" si="3">AC3/AF3</f>
        <v>27.610850299401196</v>
      </c>
      <c r="AJ3" s="1"/>
      <c r="AK3" s="1">
        <f>(AH3-AI3)/V3</f>
        <v>-0.28400797359901248</v>
      </c>
    </row>
    <row r="4" spans="1:61" ht="51" x14ac:dyDescent="0.2">
      <c r="A4" s="1">
        <v>2</v>
      </c>
      <c r="B4" s="1">
        <v>9</v>
      </c>
      <c r="C4" s="53" t="s">
        <v>234</v>
      </c>
      <c r="D4" s="54" t="s">
        <v>235</v>
      </c>
      <c r="E4" s="21">
        <v>414</v>
      </c>
      <c r="F4" s="21">
        <v>354</v>
      </c>
      <c r="G4" s="21">
        <v>837</v>
      </c>
      <c r="H4" s="21">
        <v>103.5</v>
      </c>
      <c r="I4" s="21">
        <v>0</v>
      </c>
      <c r="J4" s="21" t="s">
        <v>1</v>
      </c>
      <c r="K4" s="21">
        <f t="shared" ref="K4:K67" si="4">0*E4</f>
        <v>0</v>
      </c>
      <c r="L4" s="21">
        <v>0</v>
      </c>
      <c r="M4" s="21">
        <v>0</v>
      </c>
      <c r="N4" s="21">
        <v>19</v>
      </c>
      <c r="O4" s="21">
        <v>20</v>
      </c>
      <c r="P4" s="19">
        <v>414</v>
      </c>
      <c r="Q4" s="19">
        <v>354</v>
      </c>
      <c r="R4" s="19">
        <v>837</v>
      </c>
      <c r="S4" s="19">
        <v>103.5</v>
      </c>
      <c r="T4" s="19">
        <v>0</v>
      </c>
      <c r="U4" s="19" t="s">
        <v>1</v>
      </c>
      <c r="V4" s="34">
        <v>15.731999999999999</v>
      </c>
      <c r="W4" s="19">
        <v>0</v>
      </c>
      <c r="X4" s="19">
        <v>2</v>
      </c>
      <c r="Y4" s="19">
        <v>16.7</v>
      </c>
      <c r="Z4" s="19">
        <v>17.5</v>
      </c>
      <c r="AB4" s="1">
        <f t="shared" ref="AB4:AB51" si="5">SUMPRODUCT($E$2:$M$2,E4:M4)+((0.1+0.477+0.477)*M4)</f>
        <v>397.69349999999997</v>
      </c>
      <c r="AC4" s="1">
        <f t="shared" ref="AC4:AC67" si="6">SUMPRODUCT($P$2:$X$2,P4:X4)+((0.1+0.477+0.477)*V4)</f>
        <v>454.76699999999994</v>
      </c>
      <c r="AD4" s="1"/>
      <c r="AE4" s="1">
        <f t="shared" si="0"/>
        <v>19.5</v>
      </c>
      <c r="AF4" s="1">
        <f t="shared" si="1"/>
        <v>17.100000000000001</v>
      </c>
      <c r="AG4" s="1"/>
      <c r="AH4" s="1">
        <f t="shared" si="2"/>
        <v>20.39453846153846</v>
      </c>
      <c r="AI4" s="1">
        <f t="shared" si="3"/>
        <v>26.594561403508767</v>
      </c>
      <c r="AJ4" s="1"/>
      <c r="AK4" s="1">
        <f t="shared" ref="AK4:AK67" si="7">(AH4-AI4)/V4</f>
        <v>-0.39410265331619038</v>
      </c>
    </row>
    <row r="5" spans="1:61" ht="51" x14ac:dyDescent="0.2">
      <c r="A5" s="1">
        <v>3</v>
      </c>
      <c r="B5" s="1">
        <v>10</v>
      </c>
      <c r="C5" s="53" t="s">
        <v>234</v>
      </c>
      <c r="D5" s="54" t="s">
        <v>235</v>
      </c>
      <c r="E5" s="21">
        <v>414</v>
      </c>
      <c r="F5" s="21">
        <v>354</v>
      </c>
      <c r="G5" s="21">
        <v>837</v>
      </c>
      <c r="H5" s="21">
        <v>103.5</v>
      </c>
      <c r="I5" s="21">
        <v>0</v>
      </c>
      <c r="J5" s="21" t="s">
        <v>1</v>
      </c>
      <c r="K5" s="21">
        <f t="shared" si="4"/>
        <v>0</v>
      </c>
      <c r="L5" s="21">
        <v>0</v>
      </c>
      <c r="M5" s="21">
        <v>0</v>
      </c>
      <c r="N5" s="21">
        <v>17.7</v>
      </c>
      <c r="O5" s="21">
        <v>18.5</v>
      </c>
      <c r="P5" s="19">
        <v>414</v>
      </c>
      <c r="Q5" s="19">
        <v>354</v>
      </c>
      <c r="R5" s="19">
        <v>837</v>
      </c>
      <c r="S5" s="19">
        <v>103.5</v>
      </c>
      <c r="T5" s="19">
        <v>0</v>
      </c>
      <c r="U5" s="19" t="s">
        <v>1</v>
      </c>
      <c r="V5" s="34">
        <v>8.6940000000000008</v>
      </c>
      <c r="W5" s="19">
        <v>0</v>
      </c>
      <c r="X5" s="19">
        <v>2</v>
      </c>
      <c r="Y5" s="19">
        <v>16.399999999999999</v>
      </c>
      <c r="Z5" s="19">
        <v>18.600000000000001</v>
      </c>
      <c r="AB5" s="1">
        <f t="shared" si="5"/>
        <v>397.69349999999997</v>
      </c>
      <c r="AC5" s="1">
        <f t="shared" si="6"/>
        <v>445.79354999999998</v>
      </c>
      <c r="AD5" s="1"/>
      <c r="AE5" s="1">
        <f t="shared" si="0"/>
        <v>18.100000000000001</v>
      </c>
      <c r="AF5" s="1">
        <f t="shared" si="1"/>
        <v>17.5</v>
      </c>
      <c r="AG5" s="1"/>
      <c r="AH5" s="1">
        <f t="shared" si="2"/>
        <v>21.972016574585631</v>
      </c>
      <c r="AI5" s="1">
        <f t="shared" si="3"/>
        <v>25.473917142857143</v>
      </c>
      <c r="AJ5" s="1"/>
      <c r="AK5" s="1">
        <f t="shared" si="7"/>
        <v>-0.40279509641954364</v>
      </c>
    </row>
    <row r="6" spans="1:61" ht="51" x14ac:dyDescent="0.2">
      <c r="A6" s="1">
        <v>4</v>
      </c>
      <c r="B6" s="1">
        <v>11</v>
      </c>
      <c r="C6" s="53" t="s">
        <v>234</v>
      </c>
      <c r="D6" s="54" t="s">
        <v>235</v>
      </c>
      <c r="E6" s="21">
        <v>414</v>
      </c>
      <c r="F6" s="21">
        <v>340</v>
      </c>
      <c r="G6" s="21">
        <v>800</v>
      </c>
      <c r="H6" s="21">
        <v>165.60000000000002</v>
      </c>
      <c r="I6" s="21">
        <v>0</v>
      </c>
      <c r="J6" s="21" t="s">
        <v>1</v>
      </c>
      <c r="K6" s="21">
        <f t="shared" si="4"/>
        <v>0</v>
      </c>
      <c r="L6" s="21">
        <v>0</v>
      </c>
      <c r="M6" s="21">
        <v>0</v>
      </c>
      <c r="N6" s="21">
        <v>14.9</v>
      </c>
      <c r="O6" s="21">
        <v>16.7</v>
      </c>
      <c r="P6" s="19">
        <v>414</v>
      </c>
      <c r="Q6" s="19">
        <v>340</v>
      </c>
      <c r="R6" s="19">
        <v>800</v>
      </c>
      <c r="S6" s="19">
        <v>165.60000000000002</v>
      </c>
      <c r="T6" s="19">
        <v>0</v>
      </c>
      <c r="U6" s="19" t="s">
        <v>1</v>
      </c>
      <c r="V6" s="34">
        <v>4.968</v>
      </c>
      <c r="W6" s="19">
        <v>0</v>
      </c>
      <c r="X6" s="19">
        <v>2</v>
      </c>
      <c r="Y6" s="19">
        <v>16.2</v>
      </c>
      <c r="Z6" s="19">
        <v>17.399999999999999</v>
      </c>
      <c r="AB6" s="1">
        <f t="shared" si="5"/>
        <v>397.53759999999994</v>
      </c>
      <c r="AC6" s="1">
        <f t="shared" si="6"/>
        <v>440.88699999999994</v>
      </c>
      <c r="AD6" s="1"/>
      <c r="AE6" s="1">
        <f t="shared" si="0"/>
        <v>15.8</v>
      </c>
      <c r="AF6" s="1">
        <f t="shared" si="1"/>
        <v>16.799999999999997</v>
      </c>
      <c r="AG6" s="1"/>
      <c r="AH6" s="1">
        <f t="shared" si="2"/>
        <v>25.160607594936703</v>
      </c>
      <c r="AI6" s="1">
        <f t="shared" si="3"/>
        <v>26.24327380952381</v>
      </c>
      <c r="AJ6" s="1"/>
      <c r="AK6" s="1">
        <f t="shared" si="7"/>
        <v>-0.21792798200223568</v>
      </c>
    </row>
    <row r="7" spans="1:61" ht="51" x14ac:dyDescent="0.2">
      <c r="A7" s="1">
        <v>5</v>
      </c>
      <c r="B7" s="1">
        <v>12</v>
      </c>
      <c r="C7" s="53" t="s">
        <v>234</v>
      </c>
      <c r="D7" s="54" t="s">
        <v>235</v>
      </c>
      <c r="E7" s="21">
        <v>414</v>
      </c>
      <c r="F7" s="21">
        <v>340</v>
      </c>
      <c r="G7" s="21">
        <v>800</v>
      </c>
      <c r="H7" s="21">
        <v>165.60000000000002</v>
      </c>
      <c r="I7" s="21">
        <v>0</v>
      </c>
      <c r="J7" s="21" t="s">
        <v>1</v>
      </c>
      <c r="K7" s="21">
        <f t="shared" si="4"/>
        <v>0</v>
      </c>
      <c r="L7" s="21">
        <v>0</v>
      </c>
      <c r="M7" s="21">
        <v>0</v>
      </c>
      <c r="N7" s="21">
        <v>12.8</v>
      </c>
      <c r="O7" s="21">
        <v>18</v>
      </c>
      <c r="P7" s="19">
        <v>414</v>
      </c>
      <c r="Q7" s="19">
        <v>340</v>
      </c>
      <c r="R7" s="19">
        <v>800</v>
      </c>
      <c r="S7" s="19">
        <v>165.60000000000002</v>
      </c>
      <c r="T7" s="19">
        <v>0</v>
      </c>
      <c r="U7" s="19" t="s">
        <v>1</v>
      </c>
      <c r="V7" s="34">
        <v>2.484</v>
      </c>
      <c r="W7" s="19">
        <v>0</v>
      </c>
      <c r="X7" s="19">
        <v>2</v>
      </c>
      <c r="Y7" s="19">
        <v>16.600000000000001</v>
      </c>
      <c r="Z7" s="19">
        <v>17.600000000000001</v>
      </c>
      <c r="AB7" s="1">
        <f t="shared" si="5"/>
        <v>397.53759999999994</v>
      </c>
      <c r="AC7" s="1">
        <f t="shared" si="6"/>
        <v>437.71989999999994</v>
      </c>
      <c r="AD7" s="1"/>
      <c r="AE7" s="1">
        <f t="shared" si="0"/>
        <v>15.4</v>
      </c>
      <c r="AF7" s="1">
        <f t="shared" si="1"/>
        <v>17.100000000000001</v>
      </c>
      <c r="AG7" s="1"/>
      <c r="AH7" s="1">
        <f t="shared" si="2"/>
        <v>25.814129870129864</v>
      </c>
      <c r="AI7" s="1">
        <f t="shared" si="3"/>
        <v>25.597654970760228</v>
      </c>
      <c r="AJ7" s="1"/>
      <c r="AK7" s="1">
        <f t="shared" si="7"/>
        <v>8.7147705060240083E-2</v>
      </c>
    </row>
    <row r="8" spans="1:61" ht="51" x14ac:dyDescent="0.2">
      <c r="A8" s="1">
        <v>6</v>
      </c>
      <c r="B8" s="1">
        <v>13</v>
      </c>
      <c r="C8" s="53" t="s">
        <v>234</v>
      </c>
      <c r="D8" s="54" t="s">
        <v>235</v>
      </c>
      <c r="E8" s="21">
        <v>414</v>
      </c>
      <c r="F8" s="21">
        <v>340</v>
      </c>
      <c r="G8" s="21">
        <v>800</v>
      </c>
      <c r="H8" s="21">
        <v>165.60000000000002</v>
      </c>
      <c r="I8" s="21">
        <v>0</v>
      </c>
      <c r="J8" s="21" t="s">
        <v>1</v>
      </c>
      <c r="K8" s="21">
        <f t="shared" si="4"/>
        <v>0</v>
      </c>
      <c r="L8" s="21">
        <v>0</v>
      </c>
      <c r="M8" s="21">
        <v>0</v>
      </c>
      <c r="N8" s="21">
        <v>14.7</v>
      </c>
      <c r="O8" s="21">
        <v>15.5</v>
      </c>
      <c r="P8" s="19">
        <v>414</v>
      </c>
      <c r="Q8" s="19">
        <v>340</v>
      </c>
      <c r="R8" s="19">
        <v>800</v>
      </c>
      <c r="S8" s="19">
        <v>165.60000000000002</v>
      </c>
      <c r="T8" s="19">
        <v>0</v>
      </c>
      <c r="U8" s="19" t="s">
        <v>1</v>
      </c>
      <c r="V8" s="34">
        <v>2.0699999999999998</v>
      </c>
      <c r="W8" s="19">
        <v>0</v>
      </c>
      <c r="X8" s="19">
        <v>2</v>
      </c>
      <c r="Y8" s="19">
        <v>15.6</v>
      </c>
      <c r="Z8" s="19">
        <v>16.2</v>
      </c>
      <c r="AB8" s="1">
        <f t="shared" si="5"/>
        <v>397.53759999999994</v>
      </c>
      <c r="AC8" s="1">
        <f t="shared" si="6"/>
        <v>437.19204999999994</v>
      </c>
      <c r="AD8" s="1"/>
      <c r="AE8" s="1">
        <f t="shared" si="0"/>
        <v>15.1</v>
      </c>
      <c r="AF8" s="1">
        <f t="shared" si="1"/>
        <v>15.899999999999999</v>
      </c>
      <c r="AG8" s="1"/>
      <c r="AH8" s="1">
        <f t="shared" si="2"/>
        <v>26.32699337748344</v>
      </c>
      <c r="AI8" s="1">
        <f t="shared" si="3"/>
        <v>27.496355345911947</v>
      </c>
      <c r="AJ8" s="1"/>
      <c r="AK8" s="1">
        <f t="shared" si="7"/>
        <v>-0.56490916349203268</v>
      </c>
    </row>
    <row r="9" spans="1:61" ht="51" x14ac:dyDescent="0.2">
      <c r="A9" s="1">
        <v>7</v>
      </c>
      <c r="B9" s="1">
        <v>14</v>
      </c>
      <c r="C9" s="53" t="s">
        <v>234</v>
      </c>
      <c r="D9" s="54" t="s">
        <v>235</v>
      </c>
      <c r="E9" s="21">
        <v>414</v>
      </c>
      <c r="F9" s="21">
        <v>354</v>
      </c>
      <c r="G9" s="21">
        <v>837</v>
      </c>
      <c r="H9" s="21">
        <v>103.5</v>
      </c>
      <c r="I9" s="21">
        <v>0</v>
      </c>
      <c r="J9" s="21" t="s">
        <v>1</v>
      </c>
      <c r="K9" s="21">
        <f t="shared" si="4"/>
        <v>0</v>
      </c>
      <c r="L9" s="21">
        <v>0</v>
      </c>
      <c r="M9" s="21">
        <v>0</v>
      </c>
      <c r="N9" s="21">
        <v>13.8</v>
      </c>
      <c r="O9" s="21">
        <v>14.2</v>
      </c>
      <c r="P9" s="19">
        <v>414</v>
      </c>
      <c r="Q9" s="19">
        <v>354</v>
      </c>
      <c r="R9" s="19">
        <v>837</v>
      </c>
      <c r="S9" s="19">
        <v>103.5</v>
      </c>
      <c r="T9" s="19">
        <v>0</v>
      </c>
      <c r="U9" s="19" t="s">
        <v>1</v>
      </c>
      <c r="V9" s="34">
        <v>36.018000000000001</v>
      </c>
      <c r="W9" s="19">
        <v>0</v>
      </c>
      <c r="X9" s="19">
        <v>2</v>
      </c>
      <c r="Y9" s="19">
        <v>14.8</v>
      </c>
      <c r="Z9" s="19">
        <v>16</v>
      </c>
      <c r="AB9" s="1">
        <f t="shared" si="5"/>
        <v>397.69349999999997</v>
      </c>
      <c r="AC9" s="1">
        <f t="shared" si="6"/>
        <v>480.63164999999992</v>
      </c>
      <c r="AD9" s="1"/>
      <c r="AE9" s="1">
        <f t="shared" si="0"/>
        <v>14</v>
      </c>
      <c r="AF9" s="1">
        <f t="shared" si="1"/>
        <v>15.4</v>
      </c>
      <c r="AG9" s="1"/>
      <c r="AH9" s="1">
        <f t="shared" si="2"/>
        <v>28.406678571428568</v>
      </c>
      <c r="AI9" s="1">
        <f t="shared" si="3"/>
        <v>31.209847402597397</v>
      </c>
      <c r="AJ9" s="1"/>
      <c r="AK9" s="1">
        <f t="shared" si="7"/>
        <v>-7.7826887422089763E-2</v>
      </c>
    </row>
    <row r="10" spans="1:61" ht="51" x14ac:dyDescent="0.2">
      <c r="A10" s="1">
        <v>8</v>
      </c>
      <c r="B10" s="1">
        <v>15</v>
      </c>
      <c r="C10" s="53" t="s">
        <v>234</v>
      </c>
      <c r="D10" s="54" t="s">
        <v>235</v>
      </c>
      <c r="E10" s="21">
        <v>414</v>
      </c>
      <c r="F10" s="21">
        <v>354</v>
      </c>
      <c r="G10" s="21">
        <v>837</v>
      </c>
      <c r="H10" s="21">
        <v>103.5</v>
      </c>
      <c r="I10" s="21">
        <v>0</v>
      </c>
      <c r="J10" s="21" t="s">
        <v>1</v>
      </c>
      <c r="K10" s="21">
        <f t="shared" si="4"/>
        <v>0</v>
      </c>
      <c r="L10" s="21">
        <v>0</v>
      </c>
      <c r="M10" s="21">
        <v>0</v>
      </c>
      <c r="N10" s="21">
        <v>13.8</v>
      </c>
      <c r="O10" s="21">
        <v>14.2</v>
      </c>
      <c r="P10" s="19">
        <v>414</v>
      </c>
      <c r="Q10" s="19">
        <v>354</v>
      </c>
      <c r="R10" s="19">
        <v>837</v>
      </c>
      <c r="S10" s="19">
        <v>103.5</v>
      </c>
      <c r="T10" s="19">
        <v>0</v>
      </c>
      <c r="U10" s="19" t="s">
        <v>1</v>
      </c>
      <c r="V10" s="34">
        <v>36.845999999999997</v>
      </c>
      <c r="W10" s="19">
        <v>0</v>
      </c>
      <c r="X10" s="19">
        <v>2</v>
      </c>
      <c r="Y10" s="19">
        <v>15.6</v>
      </c>
      <c r="Z10" s="19">
        <v>16</v>
      </c>
      <c r="AB10" s="1">
        <f t="shared" si="5"/>
        <v>397.69349999999997</v>
      </c>
      <c r="AC10" s="1">
        <f t="shared" si="6"/>
        <v>481.68734999999998</v>
      </c>
      <c r="AD10" s="1"/>
      <c r="AE10" s="1">
        <f t="shared" si="0"/>
        <v>14</v>
      </c>
      <c r="AF10" s="1">
        <f t="shared" si="1"/>
        <v>15.8</v>
      </c>
      <c r="AG10" s="1"/>
      <c r="AH10" s="1">
        <f t="shared" si="2"/>
        <v>28.406678571428568</v>
      </c>
      <c r="AI10" s="1">
        <f t="shared" si="3"/>
        <v>30.486541139240504</v>
      </c>
      <c r="AJ10" s="1"/>
      <c r="AK10" s="1">
        <f t="shared" si="7"/>
        <v>-5.6447445253540049E-2</v>
      </c>
    </row>
    <row r="11" spans="1:61" ht="51" x14ac:dyDescent="0.2">
      <c r="A11" s="1">
        <v>9</v>
      </c>
      <c r="B11" s="1">
        <v>16</v>
      </c>
      <c r="C11" s="53" t="s">
        <v>234</v>
      </c>
      <c r="D11" s="54" t="s">
        <v>235</v>
      </c>
      <c r="E11" s="21">
        <v>414</v>
      </c>
      <c r="F11" s="21">
        <v>340</v>
      </c>
      <c r="G11" s="21">
        <v>800</v>
      </c>
      <c r="H11" s="21">
        <v>165.60000000000002</v>
      </c>
      <c r="I11" s="21">
        <v>0</v>
      </c>
      <c r="J11" s="21" t="s">
        <v>1</v>
      </c>
      <c r="K11" s="21">
        <f t="shared" si="4"/>
        <v>0</v>
      </c>
      <c r="L11" s="21">
        <v>0</v>
      </c>
      <c r="M11" s="21">
        <v>0</v>
      </c>
      <c r="N11" s="21">
        <v>18.600000000000001</v>
      </c>
      <c r="O11" s="21">
        <v>24.6</v>
      </c>
      <c r="P11" s="19">
        <v>414</v>
      </c>
      <c r="Q11" s="19">
        <v>340</v>
      </c>
      <c r="R11" s="19">
        <v>800</v>
      </c>
      <c r="S11" s="19">
        <v>165.60000000000002</v>
      </c>
      <c r="T11" s="19">
        <v>0</v>
      </c>
      <c r="U11" s="19" t="s">
        <v>1</v>
      </c>
      <c r="V11" s="34">
        <v>7.0380000000000003</v>
      </c>
      <c r="W11" s="19">
        <v>0</v>
      </c>
      <c r="X11" s="19">
        <v>2</v>
      </c>
      <c r="Y11" s="19">
        <v>21</v>
      </c>
      <c r="Z11" s="19">
        <v>23.2</v>
      </c>
      <c r="AB11" s="1">
        <f t="shared" si="5"/>
        <v>397.53759999999994</v>
      </c>
      <c r="AC11" s="1">
        <f t="shared" si="6"/>
        <v>443.52624999999995</v>
      </c>
      <c r="AD11" s="1"/>
      <c r="AE11" s="1">
        <f t="shared" si="0"/>
        <v>21.6</v>
      </c>
      <c r="AF11" s="1">
        <f t="shared" si="1"/>
        <v>22.1</v>
      </c>
      <c r="AG11" s="1"/>
      <c r="AH11" s="1">
        <f t="shared" si="2"/>
        <v>18.404518518518515</v>
      </c>
      <c r="AI11" s="1">
        <f t="shared" si="3"/>
        <v>20.069061085972848</v>
      </c>
      <c r="AJ11" s="1"/>
      <c r="AK11" s="1">
        <f t="shared" si="7"/>
        <v>-0.2365078953473051</v>
      </c>
    </row>
    <row r="12" spans="1:61" ht="51" x14ac:dyDescent="0.2">
      <c r="A12" s="1">
        <v>10</v>
      </c>
      <c r="B12" s="1">
        <v>17</v>
      </c>
      <c r="C12" s="53" t="s">
        <v>234</v>
      </c>
      <c r="D12" s="54" t="s">
        <v>235</v>
      </c>
      <c r="E12" s="21">
        <v>414</v>
      </c>
      <c r="F12" s="21">
        <v>340</v>
      </c>
      <c r="G12" s="21">
        <v>800</v>
      </c>
      <c r="H12" s="21">
        <v>165.60000000000002</v>
      </c>
      <c r="I12" s="21">
        <v>0</v>
      </c>
      <c r="J12" s="21" t="s">
        <v>1</v>
      </c>
      <c r="K12" s="21">
        <f t="shared" si="4"/>
        <v>0</v>
      </c>
      <c r="L12" s="21">
        <v>0</v>
      </c>
      <c r="M12" s="21">
        <v>0</v>
      </c>
      <c r="N12" s="21">
        <v>18.600000000000001</v>
      </c>
      <c r="O12" s="21">
        <v>24.6</v>
      </c>
      <c r="P12" s="19">
        <v>414</v>
      </c>
      <c r="Q12" s="19">
        <v>340</v>
      </c>
      <c r="R12" s="19">
        <v>800</v>
      </c>
      <c r="S12" s="19">
        <v>165.60000000000002</v>
      </c>
      <c r="T12" s="19">
        <v>0</v>
      </c>
      <c r="U12" s="19" t="s">
        <v>1</v>
      </c>
      <c r="V12" s="34">
        <v>13.248000000000001</v>
      </c>
      <c r="W12" s="19">
        <v>0</v>
      </c>
      <c r="X12" s="19">
        <v>2</v>
      </c>
      <c r="Y12" s="19">
        <v>20.6</v>
      </c>
      <c r="Z12" s="19">
        <v>27.4</v>
      </c>
      <c r="AB12" s="1">
        <f t="shared" si="5"/>
        <v>397.53759999999994</v>
      </c>
      <c r="AC12" s="1">
        <f t="shared" si="6"/>
        <v>451.44399999999996</v>
      </c>
      <c r="AD12" s="1"/>
      <c r="AE12" s="1">
        <f t="shared" si="0"/>
        <v>21.6</v>
      </c>
      <c r="AF12" s="1">
        <f t="shared" si="1"/>
        <v>24</v>
      </c>
      <c r="AG12" s="1"/>
      <c r="AH12" s="1">
        <f t="shared" si="2"/>
        <v>18.404518518518515</v>
      </c>
      <c r="AI12" s="1">
        <f t="shared" si="3"/>
        <v>18.810166666666664</v>
      </c>
      <c r="AJ12" s="1"/>
      <c r="AK12" s="1">
        <f t="shared" si="7"/>
        <v>-3.0619576400071638E-2</v>
      </c>
    </row>
    <row r="13" spans="1:61" ht="51" x14ac:dyDescent="0.2">
      <c r="A13" s="1">
        <v>11</v>
      </c>
      <c r="B13" s="1">
        <v>18</v>
      </c>
      <c r="C13" s="53" t="s">
        <v>234</v>
      </c>
      <c r="D13" s="54" t="s">
        <v>235</v>
      </c>
      <c r="E13" s="21">
        <v>414</v>
      </c>
      <c r="F13" s="21">
        <v>354</v>
      </c>
      <c r="G13" s="21">
        <v>837</v>
      </c>
      <c r="H13" s="21">
        <v>103.5</v>
      </c>
      <c r="I13" s="21">
        <v>0</v>
      </c>
      <c r="J13" s="21" t="s">
        <v>1</v>
      </c>
      <c r="K13" s="21">
        <f t="shared" si="4"/>
        <v>0</v>
      </c>
      <c r="L13" s="21">
        <v>0</v>
      </c>
      <c r="M13" s="21">
        <v>0</v>
      </c>
      <c r="N13" s="21">
        <v>14.6</v>
      </c>
      <c r="O13" s="21">
        <v>15.6</v>
      </c>
      <c r="P13" s="19">
        <v>414</v>
      </c>
      <c r="Q13" s="19">
        <v>354</v>
      </c>
      <c r="R13" s="19">
        <v>837</v>
      </c>
      <c r="S13" s="19">
        <v>103.5</v>
      </c>
      <c r="T13" s="19">
        <v>0</v>
      </c>
      <c r="U13" s="19" t="s">
        <v>1</v>
      </c>
      <c r="V13" s="34">
        <v>31.878</v>
      </c>
      <c r="W13" s="19">
        <v>0</v>
      </c>
      <c r="X13" s="19">
        <v>2</v>
      </c>
      <c r="Y13" s="19">
        <v>16.100000000000001</v>
      </c>
      <c r="Z13" s="19">
        <v>16.7</v>
      </c>
      <c r="AB13" s="1">
        <f t="shared" si="5"/>
        <v>397.69349999999997</v>
      </c>
      <c r="AC13" s="1">
        <f t="shared" si="6"/>
        <v>475.35314999999991</v>
      </c>
      <c r="AD13" s="1"/>
      <c r="AE13" s="1">
        <f t="shared" si="0"/>
        <v>15.1</v>
      </c>
      <c r="AF13" s="1">
        <f t="shared" si="1"/>
        <v>16.399999999999999</v>
      </c>
      <c r="AG13" s="1"/>
      <c r="AH13" s="1">
        <f t="shared" si="2"/>
        <v>26.3373178807947</v>
      </c>
      <c r="AI13" s="1">
        <f t="shared" si="3"/>
        <v>28.984948170731705</v>
      </c>
      <c r="AJ13" s="1"/>
      <c r="AK13" s="1">
        <f t="shared" si="7"/>
        <v>-8.3055094106813651E-2</v>
      </c>
    </row>
    <row r="14" spans="1:61" ht="51" x14ac:dyDescent="0.2">
      <c r="A14" s="1">
        <v>12</v>
      </c>
      <c r="B14" s="1">
        <v>19</v>
      </c>
      <c r="C14" s="53" t="s">
        <v>234</v>
      </c>
      <c r="D14" s="54" t="s">
        <v>235</v>
      </c>
      <c r="E14" s="21">
        <v>414</v>
      </c>
      <c r="F14" s="21">
        <v>354</v>
      </c>
      <c r="G14" s="21">
        <v>837</v>
      </c>
      <c r="H14" s="21">
        <v>103.5</v>
      </c>
      <c r="I14" s="21">
        <v>0</v>
      </c>
      <c r="J14" s="21" t="s">
        <v>1</v>
      </c>
      <c r="K14" s="21">
        <f t="shared" si="4"/>
        <v>0</v>
      </c>
      <c r="L14" s="21">
        <v>0</v>
      </c>
      <c r="M14" s="21">
        <v>0</v>
      </c>
      <c r="N14" s="21">
        <v>14.6</v>
      </c>
      <c r="O14" s="21">
        <v>15.6</v>
      </c>
      <c r="P14" s="19">
        <v>414</v>
      </c>
      <c r="Q14" s="19">
        <v>354</v>
      </c>
      <c r="R14" s="19">
        <v>837</v>
      </c>
      <c r="S14" s="19">
        <v>103.5</v>
      </c>
      <c r="T14" s="19">
        <v>0</v>
      </c>
      <c r="U14" s="19" t="s">
        <v>1</v>
      </c>
      <c r="V14" s="34">
        <v>33.533999999999999</v>
      </c>
      <c r="W14" s="19">
        <v>0</v>
      </c>
      <c r="X14" s="19">
        <v>2</v>
      </c>
      <c r="Y14" s="19">
        <v>18.100000000000001</v>
      </c>
      <c r="Z14" s="19">
        <v>22.1</v>
      </c>
      <c r="AB14" s="1">
        <f t="shared" si="5"/>
        <v>397.69349999999997</v>
      </c>
      <c r="AC14" s="1">
        <f t="shared" si="6"/>
        <v>477.46454999999997</v>
      </c>
      <c r="AD14" s="1"/>
      <c r="AE14" s="1">
        <f t="shared" si="0"/>
        <v>15.1</v>
      </c>
      <c r="AF14" s="1">
        <f t="shared" si="1"/>
        <v>20.100000000000001</v>
      </c>
      <c r="AG14" s="1"/>
      <c r="AH14" s="1">
        <f t="shared" si="2"/>
        <v>26.3373178807947</v>
      </c>
      <c r="AI14" s="1">
        <f t="shared" si="3"/>
        <v>23.754455223880594</v>
      </c>
      <c r="AJ14" s="1"/>
      <c r="AK14" s="1">
        <f t="shared" si="7"/>
        <v>7.70222060271398E-2</v>
      </c>
    </row>
    <row r="15" spans="1:61" ht="51" x14ac:dyDescent="0.2">
      <c r="A15" s="1">
        <v>13</v>
      </c>
      <c r="B15" s="1">
        <v>20</v>
      </c>
      <c r="C15" s="53" t="s">
        <v>234</v>
      </c>
      <c r="D15" s="54" t="s">
        <v>235</v>
      </c>
      <c r="E15" s="21">
        <v>414</v>
      </c>
      <c r="F15" s="21">
        <v>340</v>
      </c>
      <c r="G15" s="21">
        <v>800</v>
      </c>
      <c r="H15" s="21">
        <v>165.60000000000002</v>
      </c>
      <c r="I15" s="21">
        <v>0</v>
      </c>
      <c r="J15" s="21" t="s">
        <v>1</v>
      </c>
      <c r="K15" s="21">
        <f t="shared" si="4"/>
        <v>0</v>
      </c>
      <c r="L15" s="21">
        <v>0</v>
      </c>
      <c r="M15" s="21">
        <v>0</v>
      </c>
      <c r="N15" s="21">
        <v>19.399999999999999</v>
      </c>
      <c r="O15" s="21">
        <v>22.4</v>
      </c>
      <c r="P15" s="19">
        <v>414</v>
      </c>
      <c r="Q15" s="19">
        <v>340</v>
      </c>
      <c r="R15" s="19">
        <v>800</v>
      </c>
      <c r="S15" s="19">
        <v>165.60000000000002</v>
      </c>
      <c r="T15" s="19">
        <v>0</v>
      </c>
      <c r="U15" s="19" t="s">
        <v>1</v>
      </c>
      <c r="V15" s="34">
        <v>4.968</v>
      </c>
      <c r="W15" s="19">
        <v>0</v>
      </c>
      <c r="X15" s="19">
        <v>2</v>
      </c>
      <c r="Y15" s="19">
        <v>19.5</v>
      </c>
      <c r="Z15" s="19">
        <v>22.1</v>
      </c>
      <c r="AB15" s="1">
        <f t="shared" si="5"/>
        <v>397.53759999999994</v>
      </c>
      <c r="AC15" s="1">
        <f t="shared" si="6"/>
        <v>440.88699999999994</v>
      </c>
      <c r="AD15" s="1"/>
      <c r="AE15" s="1">
        <f t="shared" si="0"/>
        <v>20.9</v>
      </c>
      <c r="AF15" s="1">
        <f t="shared" si="1"/>
        <v>20.8</v>
      </c>
      <c r="AG15" s="1"/>
      <c r="AH15" s="1">
        <f t="shared" si="2"/>
        <v>19.020937799043061</v>
      </c>
      <c r="AI15" s="1">
        <f t="shared" si="3"/>
        <v>21.19649038461538</v>
      </c>
      <c r="AJ15" s="1"/>
      <c r="AK15" s="1">
        <f t="shared" si="7"/>
        <v>-0.43791316134708519</v>
      </c>
    </row>
    <row r="16" spans="1:61" ht="51" x14ac:dyDescent="0.2">
      <c r="A16" s="1">
        <v>14</v>
      </c>
      <c r="B16" s="1">
        <v>21</v>
      </c>
      <c r="C16" s="53" t="s">
        <v>234</v>
      </c>
      <c r="D16" s="54" t="s">
        <v>235</v>
      </c>
      <c r="E16" s="21">
        <v>414</v>
      </c>
      <c r="F16" s="21">
        <v>340</v>
      </c>
      <c r="G16" s="21">
        <v>800</v>
      </c>
      <c r="H16" s="21">
        <v>165.60000000000002</v>
      </c>
      <c r="I16" s="21">
        <v>0</v>
      </c>
      <c r="J16" s="21" t="s">
        <v>1</v>
      </c>
      <c r="K16" s="21">
        <f t="shared" si="4"/>
        <v>0</v>
      </c>
      <c r="L16" s="21">
        <v>0</v>
      </c>
      <c r="M16" s="21">
        <v>0</v>
      </c>
      <c r="N16" s="21">
        <v>19.399999999999999</v>
      </c>
      <c r="O16" s="21">
        <v>22.4</v>
      </c>
      <c r="P16" s="19">
        <v>414</v>
      </c>
      <c r="Q16" s="19">
        <v>340</v>
      </c>
      <c r="R16" s="19">
        <v>800</v>
      </c>
      <c r="S16" s="19">
        <v>165.60000000000002</v>
      </c>
      <c r="T16" s="19">
        <v>0</v>
      </c>
      <c r="U16" s="19" t="s">
        <v>1</v>
      </c>
      <c r="V16" s="34">
        <v>10.350000000000001</v>
      </c>
      <c r="W16" s="19">
        <v>0</v>
      </c>
      <c r="X16" s="19">
        <v>2</v>
      </c>
      <c r="Y16" s="19">
        <v>22.7</v>
      </c>
      <c r="Z16" s="19">
        <v>25.3</v>
      </c>
      <c r="AB16" s="1">
        <f t="shared" si="5"/>
        <v>397.53759999999994</v>
      </c>
      <c r="AC16" s="1">
        <f t="shared" si="6"/>
        <v>447.74904999999995</v>
      </c>
      <c r="AD16" s="1"/>
      <c r="AE16" s="1">
        <f t="shared" si="0"/>
        <v>20.9</v>
      </c>
      <c r="AF16" s="1">
        <f t="shared" si="1"/>
        <v>24</v>
      </c>
      <c r="AG16" s="1"/>
      <c r="AH16" s="1">
        <f t="shared" si="2"/>
        <v>19.020937799043061</v>
      </c>
      <c r="AI16" s="1">
        <f t="shared" si="3"/>
        <v>18.656210416666664</v>
      </c>
      <c r="AJ16" s="1"/>
      <c r="AK16" s="1">
        <f t="shared" si="7"/>
        <v>3.5239360616077041E-2</v>
      </c>
    </row>
    <row r="17" spans="1:37" ht="51" x14ac:dyDescent="0.2">
      <c r="A17" s="1">
        <v>15</v>
      </c>
      <c r="B17" s="1">
        <v>22</v>
      </c>
      <c r="C17" s="53" t="s">
        <v>234</v>
      </c>
      <c r="D17" s="54" t="s">
        <v>235</v>
      </c>
      <c r="E17" s="21">
        <v>414</v>
      </c>
      <c r="F17" s="21">
        <v>354</v>
      </c>
      <c r="G17" s="21">
        <v>837</v>
      </c>
      <c r="H17" s="21">
        <v>103.5</v>
      </c>
      <c r="I17" s="21">
        <v>0</v>
      </c>
      <c r="J17" s="21" t="s">
        <v>1</v>
      </c>
      <c r="K17" s="21">
        <f t="shared" si="4"/>
        <v>0</v>
      </c>
      <c r="L17" s="21">
        <v>0</v>
      </c>
      <c r="M17" s="21">
        <v>0</v>
      </c>
      <c r="N17" s="21">
        <v>17.899999999999999</v>
      </c>
      <c r="O17" s="21">
        <v>18.7</v>
      </c>
      <c r="P17" s="19">
        <v>414</v>
      </c>
      <c r="Q17" s="19">
        <v>354</v>
      </c>
      <c r="R17" s="19">
        <v>837</v>
      </c>
      <c r="S17" s="19">
        <v>103.5</v>
      </c>
      <c r="T17" s="19">
        <v>0</v>
      </c>
      <c r="U17" s="19" t="s">
        <v>1</v>
      </c>
      <c r="V17" s="34">
        <v>38.502000000000002</v>
      </c>
      <c r="W17" s="19">
        <v>0</v>
      </c>
      <c r="X17" s="19">
        <v>2</v>
      </c>
      <c r="Y17" s="19">
        <v>18.7</v>
      </c>
      <c r="Z17" s="19">
        <v>20.9</v>
      </c>
      <c r="AB17" s="1">
        <f t="shared" si="5"/>
        <v>397.69349999999997</v>
      </c>
      <c r="AC17" s="1">
        <f t="shared" si="6"/>
        <v>483.79874999999993</v>
      </c>
      <c r="AD17" s="1"/>
      <c r="AE17" s="1">
        <f t="shared" si="0"/>
        <v>18.299999999999997</v>
      </c>
      <c r="AF17" s="1">
        <f t="shared" si="1"/>
        <v>19.799999999999997</v>
      </c>
      <c r="AG17" s="1"/>
      <c r="AH17" s="1">
        <f t="shared" si="2"/>
        <v>21.731885245901641</v>
      </c>
      <c r="AI17" s="1">
        <f t="shared" si="3"/>
        <v>24.434280303030302</v>
      </c>
      <c r="AJ17" s="1"/>
      <c r="AK17" s="1">
        <f t="shared" si="7"/>
        <v>-7.0188433253562457E-2</v>
      </c>
    </row>
    <row r="18" spans="1:37" ht="51" x14ac:dyDescent="0.2">
      <c r="A18" s="1">
        <v>16</v>
      </c>
      <c r="B18" s="1">
        <v>23</v>
      </c>
      <c r="C18" s="53" t="s">
        <v>234</v>
      </c>
      <c r="D18" s="54" t="s">
        <v>235</v>
      </c>
      <c r="E18" s="21">
        <v>414</v>
      </c>
      <c r="F18" s="21">
        <v>340</v>
      </c>
      <c r="G18" s="21">
        <v>800</v>
      </c>
      <c r="H18" s="21">
        <v>165.60000000000002</v>
      </c>
      <c r="I18" s="21">
        <v>0</v>
      </c>
      <c r="J18" s="21" t="s">
        <v>1</v>
      </c>
      <c r="K18" s="21">
        <f t="shared" si="4"/>
        <v>0</v>
      </c>
      <c r="L18" s="21">
        <v>0</v>
      </c>
      <c r="M18" s="21">
        <v>0</v>
      </c>
      <c r="N18" s="21">
        <v>14.8</v>
      </c>
      <c r="O18" s="21">
        <v>16.8</v>
      </c>
      <c r="P18" s="19">
        <v>414</v>
      </c>
      <c r="Q18" s="19">
        <v>340</v>
      </c>
      <c r="R18" s="19">
        <v>800</v>
      </c>
      <c r="S18" s="19">
        <v>165.60000000000002</v>
      </c>
      <c r="T18" s="19">
        <v>0</v>
      </c>
      <c r="U18" s="19" t="s">
        <v>1</v>
      </c>
      <c r="V18" s="34">
        <v>39.744</v>
      </c>
      <c r="W18" s="19">
        <v>0</v>
      </c>
      <c r="X18" s="19">
        <v>2</v>
      </c>
      <c r="Y18" s="19">
        <v>17.100000000000001</v>
      </c>
      <c r="Z18" s="19">
        <v>18.100000000000001</v>
      </c>
      <c r="AB18" s="1">
        <f t="shared" si="5"/>
        <v>397.53759999999994</v>
      </c>
      <c r="AC18" s="1">
        <f t="shared" si="6"/>
        <v>485.22639999999996</v>
      </c>
      <c r="AD18" s="1"/>
      <c r="AE18" s="1">
        <f t="shared" si="0"/>
        <v>15.8</v>
      </c>
      <c r="AF18" s="1">
        <f t="shared" si="1"/>
        <v>17.600000000000001</v>
      </c>
      <c r="AG18" s="1"/>
      <c r="AH18" s="1">
        <f t="shared" si="2"/>
        <v>25.160607594936703</v>
      </c>
      <c r="AI18" s="1">
        <f t="shared" si="3"/>
        <v>27.569681818181813</v>
      </c>
      <c r="AJ18" s="1"/>
      <c r="AK18" s="1">
        <f t="shared" si="7"/>
        <v>-6.0614790238655139E-2</v>
      </c>
    </row>
    <row r="19" spans="1:37" ht="34" x14ac:dyDescent="0.2">
      <c r="A19" s="1">
        <v>17</v>
      </c>
      <c r="B19" s="1">
        <v>59</v>
      </c>
      <c r="C19" s="38" t="s">
        <v>236</v>
      </c>
      <c r="D19" s="54" t="s">
        <v>235</v>
      </c>
      <c r="E19" s="21">
        <v>100</v>
      </c>
      <c r="F19" s="21">
        <v>343</v>
      </c>
      <c r="G19" s="21">
        <v>519</v>
      </c>
      <c r="H19" s="21">
        <v>56.000000000000007</v>
      </c>
      <c r="I19" s="21">
        <v>0</v>
      </c>
      <c r="J19" s="21" t="s">
        <v>1</v>
      </c>
      <c r="K19" s="21">
        <f t="shared" si="4"/>
        <v>0</v>
      </c>
      <c r="L19" s="21">
        <v>2</v>
      </c>
      <c r="M19" s="21">
        <v>0</v>
      </c>
      <c r="N19" s="21">
        <v>20.6</v>
      </c>
      <c r="O19" s="21">
        <v>22.6</v>
      </c>
      <c r="P19" s="19">
        <v>100</v>
      </c>
      <c r="Q19" s="19">
        <v>343</v>
      </c>
      <c r="R19" s="19">
        <v>519</v>
      </c>
      <c r="S19" s="19">
        <v>56.000000000000007</v>
      </c>
      <c r="T19" s="19">
        <v>0</v>
      </c>
      <c r="U19" s="19" t="s">
        <v>1</v>
      </c>
      <c r="V19" s="34">
        <v>14.899999999999999</v>
      </c>
      <c r="W19" s="19">
        <v>0</v>
      </c>
      <c r="X19" s="19">
        <v>2</v>
      </c>
      <c r="Y19" s="19">
        <v>21.1</v>
      </c>
      <c r="Z19" s="19">
        <v>24.5</v>
      </c>
      <c r="AB19" s="1">
        <f t="shared" si="5"/>
        <v>177.74699999999999</v>
      </c>
      <c r="AC19" s="1">
        <f t="shared" si="6"/>
        <v>154.65969999999999</v>
      </c>
      <c r="AD19" s="1"/>
      <c r="AE19" s="1">
        <f t="shared" si="0"/>
        <v>21.6</v>
      </c>
      <c r="AF19" s="1">
        <f t="shared" si="1"/>
        <v>22.8</v>
      </c>
      <c r="AG19" s="1"/>
      <c r="AH19" s="1">
        <f t="shared" si="2"/>
        <v>8.2290277777777767</v>
      </c>
      <c r="AI19" s="1">
        <f t="shared" si="3"/>
        <v>6.7833201754385959</v>
      </c>
      <c r="AJ19" s="1"/>
      <c r="AK19" s="1">
        <f t="shared" si="7"/>
        <v>9.7027355861689993E-2</v>
      </c>
    </row>
    <row r="20" spans="1:37" ht="34" x14ac:dyDescent="0.2">
      <c r="A20" s="1">
        <v>18</v>
      </c>
      <c r="B20" s="1">
        <v>60</v>
      </c>
      <c r="C20" s="38" t="s">
        <v>236</v>
      </c>
      <c r="D20" s="54" t="s">
        <v>235</v>
      </c>
      <c r="E20" s="21">
        <v>100</v>
      </c>
      <c r="F20" s="21">
        <v>343</v>
      </c>
      <c r="G20" s="21">
        <v>519</v>
      </c>
      <c r="H20" s="21">
        <v>56.000000000000007</v>
      </c>
      <c r="I20" s="21">
        <v>0</v>
      </c>
      <c r="J20" s="21" t="s">
        <v>1</v>
      </c>
      <c r="K20" s="21">
        <f t="shared" si="4"/>
        <v>0</v>
      </c>
      <c r="L20" s="21">
        <v>2</v>
      </c>
      <c r="M20" s="21">
        <v>0</v>
      </c>
      <c r="N20" s="21">
        <v>20.6</v>
      </c>
      <c r="O20" s="21">
        <v>22.6</v>
      </c>
      <c r="P20" s="19">
        <v>100</v>
      </c>
      <c r="Q20" s="19">
        <v>343</v>
      </c>
      <c r="R20" s="19">
        <v>519</v>
      </c>
      <c r="S20" s="19">
        <v>56.000000000000007</v>
      </c>
      <c r="T20" s="19">
        <v>0</v>
      </c>
      <c r="U20" s="19" t="s">
        <v>1</v>
      </c>
      <c r="V20" s="34">
        <v>17</v>
      </c>
      <c r="W20" s="19">
        <v>0</v>
      </c>
      <c r="X20" s="19">
        <v>2</v>
      </c>
      <c r="Y20" s="19">
        <v>21</v>
      </c>
      <c r="Z20" s="19">
        <v>22.4</v>
      </c>
      <c r="AB20" s="1">
        <f t="shared" si="5"/>
        <v>177.74699999999999</v>
      </c>
      <c r="AC20" s="1">
        <f t="shared" si="6"/>
        <v>157.3372</v>
      </c>
      <c r="AD20" s="1"/>
      <c r="AE20" s="1">
        <f t="shared" si="0"/>
        <v>21.6</v>
      </c>
      <c r="AF20" s="1">
        <f t="shared" si="1"/>
        <v>21.7</v>
      </c>
      <c r="AG20" s="1"/>
      <c r="AH20" s="1">
        <f t="shared" si="2"/>
        <v>8.2290277777777767</v>
      </c>
      <c r="AI20" s="1">
        <f t="shared" si="3"/>
        <v>7.2505622119815669</v>
      </c>
      <c r="AJ20" s="1"/>
      <c r="AK20" s="1">
        <f t="shared" si="7"/>
        <v>5.7556797988012338E-2</v>
      </c>
    </row>
    <row r="21" spans="1:37" ht="34" x14ac:dyDescent="0.2">
      <c r="A21" s="1">
        <v>19</v>
      </c>
      <c r="B21" s="1">
        <v>61</v>
      </c>
      <c r="C21" s="38" t="s">
        <v>236</v>
      </c>
      <c r="D21" s="54" t="s">
        <v>235</v>
      </c>
      <c r="E21" s="21">
        <v>100</v>
      </c>
      <c r="F21" s="21">
        <v>343</v>
      </c>
      <c r="G21" s="21">
        <v>519</v>
      </c>
      <c r="H21" s="21">
        <v>56.000000000000007</v>
      </c>
      <c r="I21" s="21">
        <v>0</v>
      </c>
      <c r="J21" s="21" t="s">
        <v>1</v>
      </c>
      <c r="K21" s="21">
        <f t="shared" si="4"/>
        <v>0</v>
      </c>
      <c r="L21" s="21">
        <v>2</v>
      </c>
      <c r="M21" s="21">
        <v>0</v>
      </c>
      <c r="N21" s="21">
        <v>20.6</v>
      </c>
      <c r="O21" s="21">
        <v>22.6</v>
      </c>
      <c r="P21" s="19">
        <v>100</v>
      </c>
      <c r="Q21" s="19">
        <v>343</v>
      </c>
      <c r="R21" s="19">
        <v>519</v>
      </c>
      <c r="S21" s="19">
        <v>56.000000000000007</v>
      </c>
      <c r="T21" s="19">
        <v>0</v>
      </c>
      <c r="U21" s="19" t="s">
        <v>1</v>
      </c>
      <c r="V21" s="34">
        <v>18.3</v>
      </c>
      <c r="W21" s="19">
        <v>0</v>
      </c>
      <c r="X21" s="19">
        <v>2</v>
      </c>
      <c r="Y21" s="19">
        <v>16.7</v>
      </c>
      <c r="Z21" s="19">
        <v>22.5</v>
      </c>
      <c r="AB21" s="1">
        <f t="shared" si="5"/>
        <v>177.74699999999999</v>
      </c>
      <c r="AC21" s="1">
        <f t="shared" si="6"/>
        <v>158.99469999999997</v>
      </c>
      <c r="AD21" s="1"/>
      <c r="AE21" s="1">
        <f t="shared" si="0"/>
        <v>21.6</v>
      </c>
      <c r="AF21" s="1">
        <f t="shared" si="1"/>
        <v>19.600000000000001</v>
      </c>
      <c r="AG21" s="1"/>
      <c r="AH21" s="1">
        <f t="shared" si="2"/>
        <v>8.2290277777777767</v>
      </c>
      <c r="AI21" s="1">
        <f t="shared" si="3"/>
        <v>8.1119744897959158</v>
      </c>
      <c r="AJ21" s="1"/>
      <c r="AK21" s="1">
        <f t="shared" si="7"/>
        <v>6.3963545345279166E-3</v>
      </c>
    </row>
    <row r="22" spans="1:37" ht="34" x14ac:dyDescent="0.2">
      <c r="A22" s="1">
        <v>20</v>
      </c>
      <c r="B22" s="1">
        <v>62</v>
      </c>
      <c r="C22" s="38" t="s">
        <v>236</v>
      </c>
      <c r="D22" s="54" t="s">
        <v>235</v>
      </c>
      <c r="E22" s="21">
        <v>100</v>
      </c>
      <c r="F22" s="21">
        <v>343</v>
      </c>
      <c r="G22" s="21">
        <v>519</v>
      </c>
      <c r="H22" s="21">
        <v>56.000000000000007</v>
      </c>
      <c r="I22" s="21">
        <v>0</v>
      </c>
      <c r="J22" s="21" t="s">
        <v>1</v>
      </c>
      <c r="K22" s="21">
        <f t="shared" si="4"/>
        <v>0</v>
      </c>
      <c r="L22" s="21">
        <v>2</v>
      </c>
      <c r="M22" s="21">
        <v>0</v>
      </c>
      <c r="N22" s="21">
        <v>20.6</v>
      </c>
      <c r="O22" s="21">
        <v>22.6</v>
      </c>
      <c r="P22" s="19">
        <v>100</v>
      </c>
      <c r="Q22" s="19">
        <v>343</v>
      </c>
      <c r="R22" s="19">
        <v>519</v>
      </c>
      <c r="S22" s="19">
        <v>56.000000000000007</v>
      </c>
      <c r="T22" s="19">
        <v>0</v>
      </c>
      <c r="U22" s="19" t="s">
        <v>1</v>
      </c>
      <c r="V22" s="34">
        <v>17.5</v>
      </c>
      <c r="W22" s="19">
        <v>0</v>
      </c>
      <c r="X22" s="19">
        <v>24</v>
      </c>
      <c r="Y22" s="19">
        <v>34.5</v>
      </c>
      <c r="Z22" s="19">
        <v>36.5</v>
      </c>
      <c r="AB22" s="1">
        <f t="shared" si="5"/>
        <v>177.74699999999999</v>
      </c>
      <c r="AC22" s="1">
        <f t="shared" si="6"/>
        <v>565.14189999999996</v>
      </c>
      <c r="AD22" s="1"/>
      <c r="AE22" s="1">
        <f t="shared" si="0"/>
        <v>21.6</v>
      </c>
      <c r="AF22" s="1">
        <f t="shared" si="1"/>
        <v>35.5</v>
      </c>
      <c r="AG22" s="1"/>
      <c r="AH22" s="1">
        <f t="shared" si="2"/>
        <v>8.2290277777777767</v>
      </c>
      <c r="AI22" s="1">
        <f t="shared" si="3"/>
        <v>15.919490140845069</v>
      </c>
      <c r="AJ22" s="1"/>
      <c r="AK22" s="1">
        <f t="shared" si="7"/>
        <v>-0.43945499217527384</v>
      </c>
    </row>
    <row r="23" spans="1:37" ht="34" x14ac:dyDescent="0.2">
      <c r="A23" s="1">
        <v>21</v>
      </c>
      <c r="B23" s="1">
        <v>63</v>
      </c>
      <c r="C23" s="38" t="s">
        <v>236</v>
      </c>
      <c r="D23" s="54" t="s">
        <v>235</v>
      </c>
      <c r="E23" s="21">
        <v>100</v>
      </c>
      <c r="F23" s="21">
        <v>343</v>
      </c>
      <c r="G23" s="21">
        <v>519</v>
      </c>
      <c r="H23" s="21">
        <v>56.000000000000007</v>
      </c>
      <c r="I23" s="21">
        <v>0</v>
      </c>
      <c r="J23" s="21" t="s">
        <v>1</v>
      </c>
      <c r="K23" s="21">
        <f t="shared" si="4"/>
        <v>0</v>
      </c>
      <c r="L23" s="21">
        <v>2</v>
      </c>
      <c r="M23" s="21">
        <v>0</v>
      </c>
      <c r="N23" s="21">
        <v>20.6</v>
      </c>
      <c r="O23" s="21">
        <v>22.6</v>
      </c>
      <c r="P23" s="19">
        <v>100</v>
      </c>
      <c r="Q23" s="19">
        <v>343</v>
      </c>
      <c r="R23" s="19">
        <v>519</v>
      </c>
      <c r="S23" s="19">
        <v>56.000000000000007</v>
      </c>
      <c r="T23" s="19">
        <v>0</v>
      </c>
      <c r="U23" s="19" t="s">
        <v>1</v>
      </c>
      <c r="V23" s="34">
        <v>18.8</v>
      </c>
      <c r="W23" s="19">
        <v>0</v>
      </c>
      <c r="X23" s="19">
        <v>24</v>
      </c>
      <c r="Y23" s="19">
        <v>32.9</v>
      </c>
      <c r="Z23" s="19">
        <v>36.1</v>
      </c>
      <c r="AB23" s="1">
        <f t="shared" si="5"/>
        <v>177.74699999999999</v>
      </c>
      <c r="AC23" s="1">
        <f t="shared" si="6"/>
        <v>566.79939999999988</v>
      </c>
      <c r="AD23" s="1"/>
      <c r="AE23" s="1">
        <f t="shared" si="0"/>
        <v>21.6</v>
      </c>
      <c r="AF23" s="1">
        <f t="shared" si="1"/>
        <v>34.5</v>
      </c>
      <c r="AG23" s="1"/>
      <c r="AH23" s="1">
        <f t="shared" si="2"/>
        <v>8.2290277777777767</v>
      </c>
      <c r="AI23" s="1">
        <f t="shared" si="3"/>
        <v>16.428968115942027</v>
      </c>
      <c r="AJ23" s="1"/>
      <c r="AK23" s="1">
        <f t="shared" si="7"/>
        <v>-0.43616703926405587</v>
      </c>
    </row>
    <row r="24" spans="1:37" ht="34" x14ac:dyDescent="0.2">
      <c r="A24" s="1">
        <v>22</v>
      </c>
      <c r="B24" s="1">
        <v>64</v>
      </c>
      <c r="C24" s="38" t="s">
        <v>236</v>
      </c>
      <c r="D24" s="54" t="s">
        <v>235</v>
      </c>
      <c r="E24" s="21">
        <v>100</v>
      </c>
      <c r="F24" s="21">
        <v>343</v>
      </c>
      <c r="G24" s="21">
        <v>519</v>
      </c>
      <c r="H24" s="21">
        <v>56.000000000000007</v>
      </c>
      <c r="I24" s="21">
        <v>0</v>
      </c>
      <c r="J24" s="21" t="s">
        <v>1</v>
      </c>
      <c r="K24" s="21">
        <f t="shared" si="4"/>
        <v>0</v>
      </c>
      <c r="L24" s="21">
        <v>2</v>
      </c>
      <c r="M24" s="21">
        <v>0</v>
      </c>
      <c r="N24" s="21">
        <v>20.6</v>
      </c>
      <c r="O24" s="21">
        <v>22.6</v>
      </c>
      <c r="P24" s="19">
        <v>100</v>
      </c>
      <c r="Q24" s="19">
        <v>343</v>
      </c>
      <c r="R24" s="19">
        <v>519</v>
      </c>
      <c r="S24" s="19">
        <v>56.000000000000007</v>
      </c>
      <c r="T24" s="19">
        <v>0</v>
      </c>
      <c r="U24" s="19" t="s">
        <v>1</v>
      </c>
      <c r="V24" s="34">
        <v>23.9</v>
      </c>
      <c r="W24" s="19">
        <v>0</v>
      </c>
      <c r="X24" s="19">
        <v>24</v>
      </c>
      <c r="Y24" s="19">
        <v>31.1</v>
      </c>
      <c r="Z24" s="19">
        <v>35.5</v>
      </c>
      <c r="AB24" s="1">
        <f t="shared" si="5"/>
        <v>177.74699999999999</v>
      </c>
      <c r="AC24" s="1">
        <f t="shared" si="6"/>
        <v>573.30189999999993</v>
      </c>
      <c r="AD24" s="1"/>
      <c r="AE24" s="1">
        <f t="shared" si="0"/>
        <v>21.6</v>
      </c>
      <c r="AF24" s="1">
        <f t="shared" si="1"/>
        <v>33.299999999999997</v>
      </c>
      <c r="AG24" s="1"/>
      <c r="AH24" s="1">
        <f t="shared" si="2"/>
        <v>8.2290277777777767</v>
      </c>
      <c r="AI24" s="1">
        <f t="shared" si="3"/>
        <v>17.216273273273274</v>
      </c>
      <c r="AJ24" s="1"/>
      <c r="AK24" s="1">
        <f t="shared" si="7"/>
        <v>-0.37603537638056472</v>
      </c>
    </row>
    <row r="25" spans="1:37" ht="34" x14ac:dyDescent="0.2">
      <c r="A25" s="1">
        <v>23</v>
      </c>
      <c r="B25" s="1">
        <v>65</v>
      </c>
      <c r="C25" s="38" t="s">
        <v>236</v>
      </c>
      <c r="D25" s="54" t="s">
        <v>235</v>
      </c>
      <c r="E25" s="21">
        <v>100</v>
      </c>
      <c r="F25" s="21">
        <v>343</v>
      </c>
      <c r="G25" s="21">
        <v>519</v>
      </c>
      <c r="H25" s="21">
        <v>56.000000000000007</v>
      </c>
      <c r="I25" s="21">
        <v>0</v>
      </c>
      <c r="J25" s="21" t="s">
        <v>1</v>
      </c>
      <c r="K25" s="21">
        <f t="shared" si="4"/>
        <v>0</v>
      </c>
      <c r="L25" s="21">
        <v>2</v>
      </c>
      <c r="M25" s="21">
        <v>0</v>
      </c>
      <c r="N25" s="21">
        <v>20.6</v>
      </c>
      <c r="O25" s="21">
        <v>22.6</v>
      </c>
      <c r="P25" s="19">
        <v>100</v>
      </c>
      <c r="Q25" s="19">
        <v>343</v>
      </c>
      <c r="R25" s="19">
        <v>519</v>
      </c>
      <c r="S25" s="19">
        <v>56.000000000000007</v>
      </c>
      <c r="T25" s="19">
        <v>0</v>
      </c>
      <c r="U25" s="19" t="s">
        <v>1</v>
      </c>
      <c r="V25" s="34">
        <v>28.300000000000004</v>
      </c>
      <c r="W25" s="19">
        <v>0</v>
      </c>
      <c r="X25" s="19">
        <v>48</v>
      </c>
      <c r="Y25" s="19">
        <v>31.9</v>
      </c>
      <c r="Z25" s="19">
        <v>35.299999999999997</v>
      </c>
      <c r="AB25" s="1">
        <f t="shared" si="5"/>
        <v>177.74699999999999</v>
      </c>
      <c r="AC25" s="1">
        <f t="shared" si="6"/>
        <v>1023.0942999999999</v>
      </c>
      <c r="AD25" s="1"/>
      <c r="AE25" s="1">
        <f t="shared" si="0"/>
        <v>21.6</v>
      </c>
      <c r="AF25" s="1">
        <f t="shared" si="1"/>
        <v>33.599999999999994</v>
      </c>
      <c r="AG25" s="1"/>
      <c r="AH25" s="1">
        <f t="shared" si="2"/>
        <v>8.2290277777777767</v>
      </c>
      <c r="AI25" s="1">
        <f t="shared" si="3"/>
        <v>30.449235119047621</v>
      </c>
      <c r="AJ25" s="1"/>
      <c r="AK25" s="1">
        <f t="shared" si="7"/>
        <v>-0.78516633714734418</v>
      </c>
    </row>
    <row r="26" spans="1:37" ht="34" x14ac:dyDescent="0.2">
      <c r="A26" s="1">
        <v>24</v>
      </c>
      <c r="B26" s="1">
        <v>66</v>
      </c>
      <c r="C26" s="38" t="s">
        <v>236</v>
      </c>
      <c r="D26" s="54" t="s">
        <v>235</v>
      </c>
      <c r="E26" s="21">
        <v>100</v>
      </c>
      <c r="F26" s="21">
        <v>343</v>
      </c>
      <c r="G26" s="21">
        <v>519</v>
      </c>
      <c r="H26" s="21">
        <v>56.000000000000007</v>
      </c>
      <c r="I26" s="21">
        <v>0</v>
      </c>
      <c r="J26" s="21" t="s">
        <v>1</v>
      </c>
      <c r="K26" s="21">
        <f t="shared" si="4"/>
        <v>0</v>
      </c>
      <c r="L26" s="21">
        <v>0</v>
      </c>
      <c r="M26" s="21">
        <v>0</v>
      </c>
      <c r="N26" s="21">
        <v>10.6</v>
      </c>
      <c r="O26" s="21">
        <v>13</v>
      </c>
      <c r="P26" s="19">
        <v>100</v>
      </c>
      <c r="Q26" s="19">
        <v>343</v>
      </c>
      <c r="R26" s="19">
        <v>519</v>
      </c>
      <c r="S26" s="19">
        <v>56.000000000000007</v>
      </c>
      <c r="T26" s="19">
        <v>0</v>
      </c>
      <c r="U26" s="19" t="s">
        <v>1</v>
      </c>
      <c r="V26" s="34">
        <v>22</v>
      </c>
      <c r="W26" s="19">
        <v>0</v>
      </c>
      <c r="X26" s="19">
        <v>4</v>
      </c>
      <c r="Y26" s="19">
        <v>11.3</v>
      </c>
      <c r="Z26" s="19">
        <v>15.1</v>
      </c>
      <c r="AB26" s="1">
        <f t="shared" si="5"/>
        <v>98.646999999999991</v>
      </c>
      <c r="AC26" s="1">
        <f t="shared" si="6"/>
        <v>200.72739999999996</v>
      </c>
      <c r="AD26" s="1"/>
      <c r="AE26" s="1">
        <f t="shared" si="0"/>
        <v>11.8</v>
      </c>
      <c r="AF26" s="1">
        <f t="shared" si="1"/>
        <v>13.2</v>
      </c>
      <c r="AG26" s="1"/>
      <c r="AH26" s="1">
        <f t="shared" si="2"/>
        <v>8.3599152542372863</v>
      </c>
      <c r="AI26" s="1">
        <f t="shared" si="3"/>
        <v>15.20662121212121</v>
      </c>
      <c r="AJ26" s="1"/>
      <c r="AK26" s="1">
        <f t="shared" si="7"/>
        <v>-0.31121390717654196</v>
      </c>
    </row>
    <row r="27" spans="1:37" ht="34" x14ac:dyDescent="0.2">
      <c r="A27" s="1">
        <v>25</v>
      </c>
      <c r="B27" s="1">
        <v>105</v>
      </c>
      <c r="C27" s="38" t="s">
        <v>237</v>
      </c>
      <c r="D27" s="54" t="s">
        <v>235</v>
      </c>
      <c r="E27" s="21">
        <v>335</v>
      </c>
      <c r="F27" s="21">
        <v>1060</v>
      </c>
      <c r="G27" s="21">
        <v>680</v>
      </c>
      <c r="H27" s="21">
        <v>217.75</v>
      </c>
      <c r="I27" s="21">
        <v>0</v>
      </c>
      <c r="J27" s="21" t="s">
        <v>1</v>
      </c>
      <c r="K27" s="21">
        <f t="shared" si="4"/>
        <v>0</v>
      </c>
      <c r="L27" s="21" t="s">
        <v>1</v>
      </c>
      <c r="M27" s="21">
        <v>0</v>
      </c>
      <c r="N27" s="21">
        <v>31.3</v>
      </c>
      <c r="O27" s="21">
        <v>31.7</v>
      </c>
      <c r="P27" s="19">
        <v>335</v>
      </c>
      <c r="Q27" s="19">
        <v>1060</v>
      </c>
      <c r="R27" s="19">
        <v>680</v>
      </c>
      <c r="S27" s="19">
        <v>217.75</v>
      </c>
      <c r="T27" s="19">
        <v>0</v>
      </c>
      <c r="U27" s="19" t="s">
        <v>1</v>
      </c>
      <c r="V27" s="34">
        <v>35.51</v>
      </c>
      <c r="W27" s="19" t="s">
        <v>1</v>
      </c>
      <c r="X27" s="19">
        <v>2</v>
      </c>
      <c r="Y27" s="19">
        <v>28.4</v>
      </c>
      <c r="Z27" s="19">
        <v>29.2</v>
      </c>
      <c r="AB27" s="1">
        <f t="shared" si="5"/>
        <v>325.81775000000005</v>
      </c>
      <c r="AC27" s="1">
        <f t="shared" si="6"/>
        <v>408.10820000000001</v>
      </c>
      <c r="AD27" s="1"/>
      <c r="AE27" s="1">
        <f t="shared" si="0"/>
        <v>31.5</v>
      </c>
      <c r="AF27" s="1">
        <f t="shared" si="1"/>
        <v>28.799999999999997</v>
      </c>
      <c r="AG27" s="1"/>
      <c r="AH27" s="1">
        <f t="shared" si="2"/>
        <v>10.343420634920637</v>
      </c>
      <c r="AI27" s="1">
        <f t="shared" si="3"/>
        <v>14.170423611111113</v>
      </c>
      <c r="AJ27" s="1"/>
      <c r="AK27" s="1">
        <f t="shared" si="7"/>
        <v>-0.10777254227514718</v>
      </c>
    </row>
    <row r="28" spans="1:37" ht="34" x14ac:dyDescent="0.2">
      <c r="A28" s="1">
        <v>26</v>
      </c>
      <c r="B28" s="1">
        <v>106</v>
      </c>
      <c r="C28" s="38" t="s">
        <v>237</v>
      </c>
      <c r="D28" s="54" t="s">
        <v>235</v>
      </c>
      <c r="E28" s="21">
        <v>335</v>
      </c>
      <c r="F28" s="21">
        <v>1060</v>
      </c>
      <c r="G28" s="21">
        <v>680</v>
      </c>
      <c r="H28" s="21">
        <v>217.75</v>
      </c>
      <c r="I28" s="21">
        <v>0</v>
      </c>
      <c r="J28" s="21" t="s">
        <v>1</v>
      </c>
      <c r="K28" s="21">
        <f t="shared" si="4"/>
        <v>0</v>
      </c>
      <c r="L28" s="21" t="s">
        <v>1</v>
      </c>
      <c r="M28" s="21">
        <v>0</v>
      </c>
      <c r="N28" s="21">
        <v>31.3</v>
      </c>
      <c r="O28" s="21">
        <v>31.7</v>
      </c>
      <c r="P28" s="19">
        <v>335</v>
      </c>
      <c r="Q28" s="19">
        <v>1060</v>
      </c>
      <c r="R28" s="19">
        <v>680</v>
      </c>
      <c r="S28" s="19">
        <v>217.75</v>
      </c>
      <c r="T28" s="19">
        <v>0</v>
      </c>
      <c r="U28" s="19" t="s">
        <v>1</v>
      </c>
      <c r="V28" s="34">
        <v>69.679999999999993</v>
      </c>
      <c r="W28" s="19" t="s">
        <v>1</v>
      </c>
      <c r="X28" s="19">
        <v>2</v>
      </c>
      <c r="Y28" s="19">
        <v>28.3</v>
      </c>
      <c r="Z28" s="19">
        <v>28.7</v>
      </c>
      <c r="AB28" s="1">
        <f t="shared" si="5"/>
        <v>325.81775000000005</v>
      </c>
      <c r="AC28" s="1">
        <f t="shared" si="6"/>
        <v>451.67494999999997</v>
      </c>
      <c r="AD28" s="1"/>
      <c r="AE28" s="1">
        <f t="shared" si="0"/>
        <v>31.5</v>
      </c>
      <c r="AF28" s="1">
        <f t="shared" si="1"/>
        <v>28.5</v>
      </c>
      <c r="AG28" s="1"/>
      <c r="AH28" s="1">
        <f t="shared" si="2"/>
        <v>10.343420634920637</v>
      </c>
      <c r="AI28" s="1">
        <f t="shared" si="3"/>
        <v>15.848243859649122</v>
      </c>
      <c r="AJ28" s="1"/>
      <c r="AK28" s="1">
        <f t="shared" si="7"/>
        <v>-7.900148141114359E-2</v>
      </c>
    </row>
    <row r="29" spans="1:37" ht="51" x14ac:dyDescent="0.2">
      <c r="A29" s="1">
        <v>27</v>
      </c>
      <c r="B29" s="1">
        <v>116</v>
      </c>
      <c r="C29" s="38" t="s">
        <v>238</v>
      </c>
      <c r="D29" s="54" t="s">
        <v>235</v>
      </c>
      <c r="E29" s="21">
        <v>286</v>
      </c>
      <c r="F29" s="21">
        <v>730</v>
      </c>
      <c r="G29" s="21">
        <v>1050</v>
      </c>
      <c r="H29" s="21">
        <v>100.1</v>
      </c>
      <c r="I29" s="21">
        <v>0</v>
      </c>
      <c r="J29" s="21" t="s">
        <v>1</v>
      </c>
      <c r="K29" s="21">
        <f t="shared" si="4"/>
        <v>0</v>
      </c>
      <c r="L29" s="21">
        <v>4</v>
      </c>
      <c r="M29" s="21">
        <v>0</v>
      </c>
      <c r="N29" s="21">
        <v>26.7</v>
      </c>
      <c r="O29" s="21">
        <v>33.1</v>
      </c>
      <c r="P29" s="19">
        <v>286</v>
      </c>
      <c r="Q29" s="19">
        <v>730</v>
      </c>
      <c r="R29" s="19">
        <v>1050</v>
      </c>
      <c r="S29" s="19">
        <v>100.1</v>
      </c>
      <c r="T29" s="19">
        <v>0</v>
      </c>
      <c r="U29" s="19" t="s">
        <v>1</v>
      </c>
      <c r="V29" s="34">
        <v>25.024999999999999</v>
      </c>
      <c r="W29" s="19">
        <v>2</v>
      </c>
      <c r="X29" s="19">
        <v>2</v>
      </c>
      <c r="Y29" s="19">
        <v>25.4</v>
      </c>
      <c r="Z29" s="19">
        <v>27</v>
      </c>
      <c r="AB29" s="1">
        <f t="shared" si="5"/>
        <v>437.27809999999994</v>
      </c>
      <c r="AC29" s="1">
        <f t="shared" si="6"/>
        <v>427.10017499999998</v>
      </c>
      <c r="AD29" s="1"/>
      <c r="AE29" s="1">
        <f t="shared" si="0"/>
        <v>29.9</v>
      </c>
      <c r="AF29" s="1">
        <f t="shared" si="1"/>
        <v>26.2</v>
      </c>
      <c r="AG29" s="1"/>
      <c r="AH29" s="1">
        <f t="shared" si="2"/>
        <v>14.624685618729096</v>
      </c>
      <c r="AI29" s="1">
        <f t="shared" si="3"/>
        <v>16.301533396946564</v>
      </c>
      <c r="AJ29" s="1"/>
      <c r="AK29" s="1">
        <f t="shared" si="7"/>
        <v>-6.7006904224474237E-2</v>
      </c>
    </row>
    <row r="30" spans="1:37" ht="51" x14ac:dyDescent="0.2">
      <c r="A30" s="1">
        <v>28</v>
      </c>
      <c r="B30" s="1">
        <v>118</v>
      </c>
      <c r="C30" s="38" t="s">
        <v>239</v>
      </c>
      <c r="D30" s="54" t="s">
        <v>235</v>
      </c>
      <c r="E30" s="21">
        <v>320</v>
      </c>
      <c r="F30" s="21">
        <v>728</v>
      </c>
      <c r="G30" s="21">
        <v>1092</v>
      </c>
      <c r="H30" s="21">
        <v>115.19999999999999</v>
      </c>
      <c r="I30" s="21">
        <v>0</v>
      </c>
      <c r="J30" s="21" t="s">
        <v>1</v>
      </c>
      <c r="K30" s="21">
        <f t="shared" si="4"/>
        <v>0</v>
      </c>
      <c r="L30" s="21" t="s">
        <v>1</v>
      </c>
      <c r="M30" s="21">
        <v>0</v>
      </c>
      <c r="N30" s="21">
        <v>21.1</v>
      </c>
      <c r="O30" s="21">
        <v>23.2</v>
      </c>
      <c r="P30" s="19">
        <v>320</v>
      </c>
      <c r="Q30" s="19">
        <v>728</v>
      </c>
      <c r="R30" s="19">
        <v>1092</v>
      </c>
      <c r="S30" s="19">
        <v>115.19999999999999</v>
      </c>
      <c r="T30" s="19">
        <v>0</v>
      </c>
      <c r="U30" s="19" t="s">
        <v>1</v>
      </c>
      <c r="V30" s="34">
        <v>22.720000000000002</v>
      </c>
      <c r="W30" s="19" t="s">
        <v>1</v>
      </c>
      <c r="X30" s="19">
        <v>2</v>
      </c>
      <c r="Y30" s="19">
        <v>27.1</v>
      </c>
      <c r="Z30" s="19">
        <v>30.5</v>
      </c>
      <c r="AB30" s="1">
        <f t="shared" si="5"/>
        <v>311.48320000000001</v>
      </c>
      <c r="AC30" s="1">
        <f t="shared" si="6"/>
        <v>377.46640000000002</v>
      </c>
      <c r="AD30" s="1"/>
      <c r="AE30" s="1">
        <f t="shared" si="0"/>
        <v>22.15</v>
      </c>
      <c r="AF30" s="1">
        <f t="shared" si="1"/>
        <v>28.8</v>
      </c>
      <c r="AG30" s="1"/>
      <c r="AH30" s="1">
        <f t="shared" si="2"/>
        <v>14.062446952595938</v>
      </c>
      <c r="AI30" s="1">
        <f t="shared" si="3"/>
        <v>13.106472222222223</v>
      </c>
      <c r="AJ30" s="1"/>
      <c r="AK30" s="1">
        <f t="shared" si="7"/>
        <v>4.2076352569265611E-2</v>
      </c>
    </row>
    <row r="31" spans="1:37" ht="51" x14ac:dyDescent="0.2">
      <c r="A31" s="1">
        <v>29</v>
      </c>
      <c r="B31" s="1">
        <v>119</v>
      </c>
      <c r="C31" s="38" t="s">
        <v>239</v>
      </c>
      <c r="D31" s="54" t="s">
        <v>235</v>
      </c>
      <c r="E31" s="21">
        <v>320</v>
      </c>
      <c r="F31" s="21">
        <v>728</v>
      </c>
      <c r="G31" s="21">
        <v>1092</v>
      </c>
      <c r="H31" s="21">
        <v>115.19999999999999</v>
      </c>
      <c r="I31" s="21">
        <v>0</v>
      </c>
      <c r="J31" s="21" t="s">
        <v>1</v>
      </c>
      <c r="K31" s="21">
        <f t="shared" si="4"/>
        <v>0</v>
      </c>
      <c r="L31" s="21" t="s">
        <v>1</v>
      </c>
      <c r="M31" s="21">
        <v>0</v>
      </c>
      <c r="N31" s="21">
        <v>21.1</v>
      </c>
      <c r="O31" s="21">
        <v>23.2</v>
      </c>
      <c r="P31" s="19">
        <v>320</v>
      </c>
      <c r="Q31" s="19">
        <v>728</v>
      </c>
      <c r="R31" s="19">
        <v>1092</v>
      </c>
      <c r="S31" s="19">
        <v>115.19999999999999</v>
      </c>
      <c r="T31" s="19">
        <v>0</v>
      </c>
      <c r="U31" s="19" t="s">
        <v>1</v>
      </c>
      <c r="V31" s="34">
        <v>23.680000000000003</v>
      </c>
      <c r="W31" s="19" t="s">
        <v>1</v>
      </c>
      <c r="X31" s="19">
        <v>2</v>
      </c>
      <c r="Y31" s="19">
        <v>38.6</v>
      </c>
      <c r="Z31" s="19">
        <v>39.200000000000003</v>
      </c>
      <c r="AB31" s="1">
        <f t="shared" si="5"/>
        <v>311.48320000000001</v>
      </c>
      <c r="AC31" s="1">
        <f t="shared" si="6"/>
        <v>378.69039999999995</v>
      </c>
      <c r="AD31" s="1"/>
      <c r="AE31" s="1">
        <f t="shared" si="0"/>
        <v>22.15</v>
      </c>
      <c r="AF31" s="1">
        <f t="shared" si="1"/>
        <v>38.900000000000006</v>
      </c>
      <c r="AG31" s="1"/>
      <c r="AH31" s="1">
        <f t="shared" si="2"/>
        <v>14.062446952595938</v>
      </c>
      <c r="AI31" s="1">
        <f t="shared" si="3"/>
        <v>9.7349717223650352</v>
      </c>
      <c r="AJ31" s="1"/>
      <c r="AK31" s="1">
        <f t="shared" si="7"/>
        <v>0.18274810938475092</v>
      </c>
    </row>
    <row r="32" spans="1:37" ht="51" x14ac:dyDescent="0.2">
      <c r="A32" s="1">
        <v>30</v>
      </c>
      <c r="B32" s="1">
        <v>120</v>
      </c>
      <c r="C32" s="38" t="s">
        <v>239</v>
      </c>
      <c r="D32" s="54" t="s">
        <v>235</v>
      </c>
      <c r="E32" s="21">
        <v>320</v>
      </c>
      <c r="F32" s="21">
        <v>728</v>
      </c>
      <c r="G32" s="21">
        <v>1092</v>
      </c>
      <c r="H32" s="21">
        <v>115.19999999999999</v>
      </c>
      <c r="I32" s="21">
        <v>0</v>
      </c>
      <c r="J32" s="21" t="s">
        <v>1</v>
      </c>
      <c r="K32" s="21">
        <f t="shared" si="4"/>
        <v>0</v>
      </c>
      <c r="L32" s="21">
        <v>4</v>
      </c>
      <c r="M32" s="21">
        <v>0</v>
      </c>
      <c r="N32" s="21">
        <v>35.9</v>
      </c>
      <c r="O32" s="21">
        <v>36.700000000000003</v>
      </c>
      <c r="P32" s="19">
        <v>320</v>
      </c>
      <c r="Q32" s="19">
        <v>728</v>
      </c>
      <c r="R32" s="19">
        <v>1092</v>
      </c>
      <c r="S32" s="19">
        <v>115.19999999999999</v>
      </c>
      <c r="T32" s="19">
        <v>0</v>
      </c>
      <c r="U32" s="19" t="s">
        <v>1</v>
      </c>
      <c r="V32" s="34">
        <v>22.720000000000002</v>
      </c>
      <c r="W32" s="19">
        <v>4</v>
      </c>
      <c r="X32" s="19">
        <v>2</v>
      </c>
      <c r="Y32" s="19">
        <v>27.1</v>
      </c>
      <c r="Z32" s="19">
        <v>30.5</v>
      </c>
      <c r="AB32" s="1">
        <f t="shared" si="5"/>
        <v>469.6832</v>
      </c>
      <c r="AC32" s="1">
        <f t="shared" si="6"/>
        <v>535.66639999999995</v>
      </c>
      <c r="AD32" s="1"/>
      <c r="AE32" s="1">
        <f t="shared" si="0"/>
        <v>36.299999999999997</v>
      </c>
      <c r="AF32" s="1">
        <f t="shared" si="1"/>
        <v>28.8</v>
      </c>
      <c r="AG32" s="1"/>
      <c r="AH32" s="1">
        <f t="shared" si="2"/>
        <v>12.938931129476584</v>
      </c>
      <c r="AI32" s="1">
        <f t="shared" si="3"/>
        <v>18.599527777777777</v>
      </c>
      <c r="AJ32" s="1"/>
      <c r="AK32" s="1">
        <f t="shared" si="7"/>
        <v>-0.24914597923860879</v>
      </c>
    </row>
    <row r="33" spans="1:37" ht="51" x14ac:dyDescent="0.2">
      <c r="A33" s="1">
        <v>31</v>
      </c>
      <c r="B33" s="1">
        <v>121</v>
      </c>
      <c r="C33" s="38" t="s">
        <v>239</v>
      </c>
      <c r="D33" s="54" t="s">
        <v>235</v>
      </c>
      <c r="E33" s="21">
        <v>320</v>
      </c>
      <c r="F33" s="21">
        <v>728</v>
      </c>
      <c r="G33" s="21">
        <v>1092</v>
      </c>
      <c r="H33" s="21">
        <v>115.19999999999999</v>
      </c>
      <c r="I33" s="21">
        <v>0</v>
      </c>
      <c r="J33" s="21" t="s">
        <v>1</v>
      </c>
      <c r="K33" s="21">
        <f t="shared" si="4"/>
        <v>0</v>
      </c>
      <c r="L33" s="21">
        <v>4</v>
      </c>
      <c r="M33" s="21">
        <v>0</v>
      </c>
      <c r="N33" s="21">
        <v>35.9</v>
      </c>
      <c r="O33" s="21">
        <v>36.700000000000003</v>
      </c>
      <c r="P33" s="19">
        <v>320</v>
      </c>
      <c r="Q33" s="19">
        <v>728</v>
      </c>
      <c r="R33" s="19">
        <v>1092</v>
      </c>
      <c r="S33" s="19">
        <v>115.19999999999999</v>
      </c>
      <c r="T33" s="19">
        <v>0</v>
      </c>
      <c r="U33" s="19" t="s">
        <v>1</v>
      </c>
      <c r="V33" s="34">
        <v>23.680000000000003</v>
      </c>
      <c r="W33" s="19">
        <v>4</v>
      </c>
      <c r="X33" s="19">
        <v>2</v>
      </c>
      <c r="Y33" s="19">
        <v>38.6</v>
      </c>
      <c r="Z33" s="19">
        <v>39.200000000000003</v>
      </c>
      <c r="AB33" s="1">
        <f t="shared" si="5"/>
        <v>469.6832</v>
      </c>
      <c r="AC33" s="1">
        <f t="shared" si="6"/>
        <v>536.8904</v>
      </c>
      <c r="AD33" s="1"/>
      <c r="AE33" s="1">
        <f t="shared" si="0"/>
        <v>36.299999999999997</v>
      </c>
      <c r="AF33" s="1">
        <f t="shared" si="1"/>
        <v>38.900000000000006</v>
      </c>
      <c r="AG33" s="1"/>
      <c r="AH33" s="1">
        <f t="shared" si="2"/>
        <v>12.938931129476584</v>
      </c>
      <c r="AI33" s="1">
        <f t="shared" si="3"/>
        <v>13.801809768637531</v>
      </c>
      <c r="AJ33" s="1"/>
      <c r="AK33" s="1">
        <f t="shared" si="7"/>
        <v>-3.6439131721323757E-2</v>
      </c>
    </row>
    <row r="34" spans="1:37" ht="51" x14ac:dyDescent="0.2">
      <c r="A34" s="1">
        <v>32</v>
      </c>
      <c r="B34" s="1">
        <v>122</v>
      </c>
      <c r="C34" s="38" t="s">
        <v>239</v>
      </c>
      <c r="D34" s="54" t="s">
        <v>235</v>
      </c>
      <c r="E34" s="21">
        <v>320</v>
      </c>
      <c r="F34" s="21">
        <v>728</v>
      </c>
      <c r="G34" s="21">
        <v>1092</v>
      </c>
      <c r="H34" s="21">
        <v>115.19999999999999</v>
      </c>
      <c r="I34" s="21">
        <v>0</v>
      </c>
      <c r="J34" s="21" t="s">
        <v>1</v>
      </c>
      <c r="K34" s="21">
        <f t="shared" si="4"/>
        <v>0</v>
      </c>
      <c r="L34" s="21" t="s">
        <v>1</v>
      </c>
      <c r="M34" s="21">
        <v>0</v>
      </c>
      <c r="N34" s="21">
        <v>36.9</v>
      </c>
      <c r="O34" s="21">
        <v>42.7</v>
      </c>
      <c r="P34" s="19">
        <v>320</v>
      </c>
      <c r="Q34" s="19">
        <v>728</v>
      </c>
      <c r="R34" s="19">
        <v>1092</v>
      </c>
      <c r="S34" s="19">
        <v>115.19999999999999</v>
      </c>
      <c r="T34" s="19">
        <v>0</v>
      </c>
      <c r="U34" s="19" t="s">
        <v>1</v>
      </c>
      <c r="V34" s="34">
        <v>22.720000000000002</v>
      </c>
      <c r="W34" s="19">
        <v>0</v>
      </c>
      <c r="X34" s="19">
        <v>2</v>
      </c>
      <c r="Y34" s="19">
        <v>27.1</v>
      </c>
      <c r="Z34" s="19">
        <v>30.5</v>
      </c>
      <c r="AB34" s="1">
        <f t="shared" si="5"/>
        <v>311.48320000000001</v>
      </c>
      <c r="AC34" s="1">
        <f t="shared" si="6"/>
        <v>377.46640000000002</v>
      </c>
      <c r="AD34" s="1"/>
      <c r="AE34" s="1">
        <f t="shared" si="0"/>
        <v>39.799999999999997</v>
      </c>
      <c r="AF34" s="1">
        <f t="shared" si="1"/>
        <v>28.8</v>
      </c>
      <c r="AG34" s="1"/>
      <c r="AH34" s="1">
        <f t="shared" si="2"/>
        <v>7.8262110552763824</v>
      </c>
      <c r="AI34" s="1">
        <f t="shared" si="3"/>
        <v>13.106472222222223</v>
      </c>
      <c r="AJ34" s="1"/>
      <c r="AK34" s="1">
        <f t="shared" si="7"/>
        <v>-0.23240586122120774</v>
      </c>
    </row>
    <row r="35" spans="1:37" ht="51" x14ac:dyDescent="0.2">
      <c r="A35" s="1">
        <v>33</v>
      </c>
      <c r="B35" s="1">
        <v>123</v>
      </c>
      <c r="C35" s="38" t="s">
        <v>239</v>
      </c>
      <c r="D35" s="54" t="s">
        <v>235</v>
      </c>
      <c r="E35" s="21">
        <v>320</v>
      </c>
      <c r="F35" s="21">
        <v>728</v>
      </c>
      <c r="G35" s="21">
        <v>1092</v>
      </c>
      <c r="H35" s="21">
        <v>115.19999999999999</v>
      </c>
      <c r="I35" s="21">
        <v>0</v>
      </c>
      <c r="J35" s="21" t="s">
        <v>1</v>
      </c>
      <c r="K35" s="21">
        <f t="shared" si="4"/>
        <v>0</v>
      </c>
      <c r="L35" s="21" t="s">
        <v>1</v>
      </c>
      <c r="M35" s="21">
        <v>0</v>
      </c>
      <c r="N35" s="21">
        <v>36.9</v>
      </c>
      <c r="O35" s="21">
        <v>42.7</v>
      </c>
      <c r="P35" s="19">
        <v>320</v>
      </c>
      <c r="Q35" s="19">
        <v>728</v>
      </c>
      <c r="R35" s="19">
        <v>1092</v>
      </c>
      <c r="S35" s="19">
        <v>115.19999999999999</v>
      </c>
      <c r="T35" s="19">
        <v>0</v>
      </c>
      <c r="U35" s="19" t="s">
        <v>1</v>
      </c>
      <c r="V35" s="34">
        <v>23.680000000000003</v>
      </c>
      <c r="W35" s="19">
        <v>0</v>
      </c>
      <c r="X35" s="19">
        <v>2</v>
      </c>
      <c r="Y35" s="19">
        <v>38.6</v>
      </c>
      <c r="Z35" s="19">
        <v>39.200000000000003</v>
      </c>
      <c r="AB35" s="1">
        <f t="shared" si="5"/>
        <v>311.48320000000001</v>
      </c>
      <c r="AC35" s="1">
        <f t="shared" si="6"/>
        <v>378.69039999999995</v>
      </c>
      <c r="AD35" s="1"/>
      <c r="AE35" s="1">
        <f t="shared" si="0"/>
        <v>39.799999999999997</v>
      </c>
      <c r="AF35" s="1">
        <f t="shared" si="1"/>
        <v>38.900000000000006</v>
      </c>
      <c r="AG35" s="1"/>
      <c r="AH35" s="1">
        <f t="shared" si="2"/>
        <v>7.8262110552763824</v>
      </c>
      <c r="AI35" s="1">
        <f t="shared" si="3"/>
        <v>9.7349717223650352</v>
      </c>
      <c r="AJ35" s="1"/>
      <c r="AK35" s="1">
        <f t="shared" si="7"/>
        <v>-8.0606447089892425E-2</v>
      </c>
    </row>
    <row r="36" spans="1:37" ht="51" x14ac:dyDescent="0.2">
      <c r="A36" s="1">
        <v>34</v>
      </c>
      <c r="B36" s="1">
        <v>125</v>
      </c>
      <c r="C36" s="38" t="s">
        <v>240</v>
      </c>
      <c r="D36" s="54" t="s">
        <v>235</v>
      </c>
      <c r="E36" s="21">
        <v>452</v>
      </c>
      <c r="F36" s="21">
        <v>1060</v>
      </c>
      <c r="G36" s="21">
        <v>680</v>
      </c>
      <c r="H36" s="21">
        <v>180.8</v>
      </c>
      <c r="I36" s="21">
        <v>0</v>
      </c>
      <c r="J36" s="21" t="s">
        <v>1</v>
      </c>
      <c r="K36" s="21">
        <f t="shared" si="4"/>
        <v>0</v>
      </c>
      <c r="L36" s="21" t="s">
        <v>1</v>
      </c>
      <c r="M36" s="21">
        <v>0</v>
      </c>
      <c r="N36" s="21">
        <v>62.2</v>
      </c>
      <c r="O36" s="21">
        <v>64</v>
      </c>
      <c r="P36" s="19">
        <v>452</v>
      </c>
      <c r="Q36" s="19">
        <v>1060</v>
      </c>
      <c r="R36" s="19">
        <v>680</v>
      </c>
      <c r="S36" s="19">
        <v>180.8</v>
      </c>
      <c r="T36" s="19">
        <v>0</v>
      </c>
      <c r="U36" s="19" t="s">
        <v>1</v>
      </c>
      <c r="V36" s="34">
        <v>63.280000000000008</v>
      </c>
      <c r="W36" s="19" t="s">
        <v>1</v>
      </c>
      <c r="X36" s="19">
        <v>12</v>
      </c>
      <c r="Y36" s="19">
        <v>68.599999999999994</v>
      </c>
      <c r="Z36" s="19">
        <v>74.5</v>
      </c>
      <c r="AB36" s="1">
        <f t="shared" si="5"/>
        <v>436.6968</v>
      </c>
      <c r="AC36" s="1">
        <f t="shared" si="6"/>
        <v>739.47</v>
      </c>
      <c r="AD36" s="1"/>
      <c r="AE36" s="1">
        <f t="shared" si="0"/>
        <v>63.1</v>
      </c>
      <c r="AF36" s="1">
        <f t="shared" si="1"/>
        <v>71.55</v>
      </c>
      <c r="AG36" s="1"/>
      <c r="AH36" s="1">
        <f t="shared" si="2"/>
        <v>6.9207099841521389</v>
      </c>
      <c r="AI36" s="1">
        <f t="shared" si="3"/>
        <v>10.335010482180294</v>
      </c>
      <c r="AJ36" s="1"/>
      <c r="AK36" s="1">
        <f t="shared" si="7"/>
        <v>-5.39554440269936E-2</v>
      </c>
    </row>
    <row r="37" spans="1:37" ht="51" x14ac:dyDescent="0.2">
      <c r="A37" s="1">
        <v>35</v>
      </c>
      <c r="B37" s="1">
        <v>133</v>
      </c>
      <c r="C37" s="55" t="s">
        <v>241</v>
      </c>
      <c r="D37" s="54" t="s">
        <v>235</v>
      </c>
      <c r="E37" s="21">
        <v>380</v>
      </c>
      <c r="F37" s="21">
        <v>1025</v>
      </c>
      <c r="G37" s="21">
        <v>990</v>
      </c>
      <c r="H37" s="21">
        <v>114</v>
      </c>
      <c r="I37" s="21">
        <v>0</v>
      </c>
      <c r="J37" s="21" t="s">
        <v>1</v>
      </c>
      <c r="K37" s="21">
        <f t="shared" si="4"/>
        <v>0</v>
      </c>
      <c r="L37" s="21" t="s">
        <v>0</v>
      </c>
      <c r="M37" s="21">
        <v>0</v>
      </c>
      <c r="N37" s="21">
        <v>58.7</v>
      </c>
      <c r="O37" s="21">
        <v>64.099999999999994</v>
      </c>
      <c r="P37" s="19">
        <v>380</v>
      </c>
      <c r="Q37" s="19">
        <v>1025</v>
      </c>
      <c r="R37" s="19">
        <v>990</v>
      </c>
      <c r="S37" s="19">
        <v>114</v>
      </c>
      <c r="T37" s="19">
        <v>0</v>
      </c>
      <c r="U37" s="19" t="s">
        <v>1</v>
      </c>
      <c r="V37" s="34">
        <v>55.100000000000009</v>
      </c>
      <c r="W37" s="19" t="s">
        <v>1</v>
      </c>
      <c r="X37" s="19">
        <v>2</v>
      </c>
      <c r="Y37" s="19">
        <v>63.4</v>
      </c>
      <c r="Z37" s="19">
        <v>67.8</v>
      </c>
      <c r="AB37" s="1">
        <f t="shared" si="5"/>
        <v>369.43899999999996</v>
      </c>
      <c r="AC37" s="1">
        <f t="shared" si="6"/>
        <v>476.70669999999996</v>
      </c>
      <c r="AD37" s="1"/>
      <c r="AE37" s="1">
        <f t="shared" si="0"/>
        <v>61.4</v>
      </c>
      <c r="AF37" s="1">
        <f t="shared" si="1"/>
        <v>65.599999999999994</v>
      </c>
      <c r="AG37" s="1"/>
      <c r="AH37" s="1">
        <f t="shared" si="2"/>
        <v>6.0169218241042337</v>
      </c>
      <c r="AI37" s="1">
        <f t="shared" si="3"/>
        <v>7.2668704268292679</v>
      </c>
      <c r="AJ37" s="1"/>
      <c r="AK37" s="1">
        <f t="shared" si="7"/>
        <v>-2.2685092608439816E-2</v>
      </c>
    </row>
    <row r="38" spans="1:37" ht="51" x14ac:dyDescent="0.2">
      <c r="A38" s="1">
        <v>36</v>
      </c>
      <c r="B38" s="1">
        <v>134</v>
      </c>
      <c r="C38" s="55" t="s">
        <v>241</v>
      </c>
      <c r="D38" s="54" t="s">
        <v>235</v>
      </c>
      <c r="E38" s="21">
        <v>380</v>
      </c>
      <c r="F38" s="21">
        <v>1025</v>
      </c>
      <c r="G38" s="21">
        <v>990</v>
      </c>
      <c r="H38" s="21">
        <v>114</v>
      </c>
      <c r="I38" s="21">
        <v>0</v>
      </c>
      <c r="J38" s="21" t="s">
        <v>1</v>
      </c>
      <c r="K38" s="21">
        <f t="shared" si="4"/>
        <v>0</v>
      </c>
      <c r="L38" s="21" t="s">
        <v>0</v>
      </c>
      <c r="M38" s="21">
        <v>0</v>
      </c>
      <c r="N38" s="21">
        <v>58.7</v>
      </c>
      <c r="O38" s="21">
        <v>64.099999999999994</v>
      </c>
      <c r="P38" s="19">
        <v>380</v>
      </c>
      <c r="Q38" s="19">
        <v>1025</v>
      </c>
      <c r="R38" s="19">
        <v>990</v>
      </c>
      <c r="S38" s="19">
        <v>114</v>
      </c>
      <c r="T38" s="19">
        <v>0</v>
      </c>
      <c r="U38" s="19" t="s">
        <v>1</v>
      </c>
      <c r="V38" s="34">
        <v>55.100000000000009</v>
      </c>
      <c r="W38" s="19" t="s">
        <v>1</v>
      </c>
      <c r="X38" s="19">
        <v>2</v>
      </c>
      <c r="Y38" s="19">
        <v>69.900000000000006</v>
      </c>
      <c r="Z38" s="19">
        <v>75.3</v>
      </c>
      <c r="AB38" s="1">
        <f t="shared" si="5"/>
        <v>369.43899999999996</v>
      </c>
      <c r="AC38" s="1">
        <f t="shared" si="6"/>
        <v>476.70669999999996</v>
      </c>
      <c r="AD38" s="1"/>
      <c r="AE38" s="1">
        <f t="shared" si="0"/>
        <v>61.4</v>
      </c>
      <c r="AF38" s="1">
        <f t="shared" si="1"/>
        <v>72.599999999999994</v>
      </c>
      <c r="AG38" s="1"/>
      <c r="AH38" s="1">
        <f t="shared" si="2"/>
        <v>6.0169218241042337</v>
      </c>
      <c r="AI38" s="1">
        <f t="shared" si="3"/>
        <v>6.5662079889807163</v>
      </c>
      <c r="AJ38" s="1"/>
      <c r="AK38" s="1">
        <f t="shared" si="7"/>
        <v>-9.9688959142737298E-3</v>
      </c>
    </row>
    <row r="39" spans="1:37" ht="51" x14ac:dyDescent="0.2">
      <c r="A39" s="1">
        <v>37</v>
      </c>
      <c r="B39" s="1">
        <v>135</v>
      </c>
      <c r="C39" s="55" t="s">
        <v>241</v>
      </c>
      <c r="D39" s="54" t="s">
        <v>235</v>
      </c>
      <c r="E39" s="21">
        <v>380</v>
      </c>
      <c r="F39" s="21">
        <v>1025</v>
      </c>
      <c r="G39" s="21">
        <v>990</v>
      </c>
      <c r="H39" s="21">
        <v>114</v>
      </c>
      <c r="I39" s="21">
        <v>0</v>
      </c>
      <c r="J39" s="21" t="s">
        <v>1</v>
      </c>
      <c r="K39" s="21">
        <f t="shared" si="4"/>
        <v>0</v>
      </c>
      <c r="L39" s="21" t="s">
        <v>0</v>
      </c>
      <c r="M39" s="21">
        <v>0</v>
      </c>
      <c r="N39" s="21">
        <v>57.5</v>
      </c>
      <c r="O39" s="21">
        <v>61.1</v>
      </c>
      <c r="P39" s="19">
        <v>380</v>
      </c>
      <c r="Q39" s="19">
        <v>1025</v>
      </c>
      <c r="R39" s="19">
        <v>990</v>
      </c>
      <c r="S39" s="19">
        <v>114</v>
      </c>
      <c r="T39" s="19">
        <v>0</v>
      </c>
      <c r="U39" s="19" t="s">
        <v>1</v>
      </c>
      <c r="V39" s="34">
        <v>47.88</v>
      </c>
      <c r="W39" s="19" t="s">
        <v>1</v>
      </c>
      <c r="X39" s="19">
        <v>2</v>
      </c>
      <c r="Y39" s="19">
        <v>61</v>
      </c>
      <c r="Z39" s="19">
        <v>64.8</v>
      </c>
      <c r="AB39" s="1">
        <f t="shared" si="5"/>
        <v>369.43899999999996</v>
      </c>
      <c r="AC39" s="1">
        <f t="shared" si="6"/>
        <v>467.50119999999993</v>
      </c>
      <c r="AD39" s="1"/>
      <c r="AE39" s="1">
        <f t="shared" si="0"/>
        <v>59.3</v>
      </c>
      <c r="AF39" s="1">
        <f t="shared" si="1"/>
        <v>62.9</v>
      </c>
      <c r="AG39" s="1"/>
      <c r="AH39" s="1">
        <f t="shared" si="2"/>
        <v>6.2299999999999995</v>
      </c>
      <c r="AI39" s="1">
        <f t="shared" si="3"/>
        <v>7.4324515103338626</v>
      </c>
      <c r="AJ39" s="1"/>
      <c r="AK39" s="1">
        <f t="shared" si="7"/>
        <v>-2.5113857776396471E-2</v>
      </c>
    </row>
    <row r="40" spans="1:37" ht="51" x14ac:dyDescent="0.2">
      <c r="A40" s="1">
        <v>38</v>
      </c>
      <c r="B40" s="1">
        <v>136</v>
      </c>
      <c r="C40" s="55" t="s">
        <v>241</v>
      </c>
      <c r="D40" s="54" t="s">
        <v>235</v>
      </c>
      <c r="E40" s="21">
        <v>380</v>
      </c>
      <c r="F40" s="21">
        <v>1025</v>
      </c>
      <c r="G40" s="21">
        <v>990</v>
      </c>
      <c r="H40" s="21">
        <v>114</v>
      </c>
      <c r="I40" s="21">
        <v>0</v>
      </c>
      <c r="J40" s="21" t="s">
        <v>1</v>
      </c>
      <c r="K40" s="21">
        <f t="shared" si="4"/>
        <v>0</v>
      </c>
      <c r="L40" s="21" t="s">
        <v>0</v>
      </c>
      <c r="M40" s="21">
        <v>0</v>
      </c>
      <c r="N40" s="21">
        <v>57.5</v>
      </c>
      <c r="O40" s="21">
        <v>61.1</v>
      </c>
      <c r="P40" s="19">
        <v>380</v>
      </c>
      <c r="Q40" s="19">
        <v>1025</v>
      </c>
      <c r="R40" s="19">
        <v>990</v>
      </c>
      <c r="S40" s="19">
        <v>114</v>
      </c>
      <c r="T40" s="19">
        <v>0</v>
      </c>
      <c r="U40" s="19" t="s">
        <v>1</v>
      </c>
      <c r="V40" s="34">
        <v>47.88</v>
      </c>
      <c r="W40" s="19" t="s">
        <v>1</v>
      </c>
      <c r="X40" s="19">
        <v>2</v>
      </c>
      <c r="Y40" s="19">
        <v>66.599999999999994</v>
      </c>
      <c r="Z40" s="19">
        <v>72.2</v>
      </c>
      <c r="AB40" s="1">
        <f t="shared" si="5"/>
        <v>369.43899999999996</v>
      </c>
      <c r="AC40" s="1">
        <f t="shared" si="6"/>
        <v>467.50119999999993</v>
      </c>
      <c r="AD40" s="1"/>
      <c r="AE40" s="1">
        <f t="shared" si="0"/>
        <v>59.3</v>
      </c>
      <c r="AF40" s="1">
        <f t="shared" si="1"/>
        <v>69.400000000000006</v>
      </c>
      <c r="AG40" s="1"/>
      <c r="AH40" s="1">
        <f t="shared" si="2"/>
        <v>6.2299999999999995</v>
      </c>
      <c r="AI40" s="1">
        <f t="shared" si="3"/>
        <v>6.7363285302593647</v>
      </c>
      <c r="AJ40" s="1"/>
      <c r="AK40" s="1">
        <f t="shared" si="7"/>
        <v>-1.0574948418115395E-2</v>
      </c>
    </row>
    <row r="41" spans="1:37" ht="34" x14ac:dyDescent="0.2">
      <c r="A41" s="1">
        <v>39</v>
      </c>
      <c r="B41" s="1">
        <v>137</v>
      </c>
      <c r="C41" s="55" t="s">
        <v>242</v>
      </c>
      <c r="D41" s="54" t="s">
        <v>235</v>
      </c>
      <c r="E41" s="21">
        <v>452</v>
      </c>
      <c r="F41" s="21">
        <v>1060</v>
      </c>
      <c r="G41" s="21">
        <v>680</v>
      </c>
      <c r="H41" s="21">
        <v>180.8</v>
      </c>
      <c r="I41" s="21">
        <v>0</v>
      </c>
      <c r="J41" s="21" t="s">
        <v>1</v>
      </c>
      <c r="K41" s="21">
        <f t="shared" si="4"/>
        <v>0</v>
      </c>
      <c r="L41" s="21" t="s">
        <v>0</v>
      </c>
      <c r="M41" s="21">
        <v>0</v>
      </c>
      <c r="N41" s="21">
        <v>62.4</v>
      </c>
      <c r="O41" s="21">
        <v>63.8</v>
      </c>
      <c r="P41" s="19">
        <v>452</v>
      </c>
      <c r="Q41" s="19">
        <v>1060</v>
      </c>
      <c r="R41" s="19">
        <v>680</v>
      </c>
      <c r="S41" s="19">
        <v>180.8</v>
      </c>
      <c r="T41" s="19">
        <v>0</v>
      </c>
      <c r="U41" s="19" t="s">
        <v>1</v>
      </c>
      <c r="V41" s="34">
        <v>63.280000000000008</v>
      </c>
      <c r="W41" s="19" t="s">
        <v>1</v>
      </c>
      <c r="X41" s="19">
        <v>12</v>
      </c>
      <c r="Y41" s="19">
        <v>68.3</v>
      </c>
      <c r="Z41" s="19">
        <v>74.3</v>
      </c>
      <c r="AB41" s="1">
        <f t="shared" si="5"/>
        <v>436.6968</v>
      </c>
      <c r="AC41" s="1">
        <f t="shared" si="6"/>
        <v>739.47</v>
      </c>
      <c r="AD41" s="1"/>
      <c r="AE41" s="1">
        <f t="shared" si="0"/>
        <v>63.099999999999994</v>
      </c>
      <c r="AF41" s="1">
        <f t="shared" si="1"/>
        <v>71.3</v>
      </c>
      <c r="AG41" s="1"/>
      <c r="AH41" s="1">
        <f t="shared" si="2"/>
        <v>6.9207099841521398</v>
      </c>
      <c r="AI41" s="1">
        <f t="shared" si="3"/>
        <v>10.371248246844321</v>
      </c>
      <c r="AJ41" s="1"/>
      <c r="AK41" s="1">
        <f t="shared" si="7"/>
        <v>-5.4528101496399813E-2</v>
      </c>
    </row>
    <row r="42" spans="1:37" ht="34" x14ac:dyDescent="0.2">
      <c r="A42" s="1">
        <v>40</v>
      </c>
      <c r="B42" s="1">
        <v>139</v>
      </c>
      <c r="C42" s="55" t="s">
        <v>243</v>
      </c>
      <c r="D42" s="54" t="s">
        <v>235</v>
      </c>
      <c r="E42" s="21">
        <v>452</v>
      </c>
      <c r="F42" s="21">
        <v>1060</v>
      </c>
      <c r="G42" s="21">
        <v>680</v>
      </c>
      <c r="H42" s="21">
        <v>180.8</v>
      </c>
      <c r="I42" s="21">
        <v>0</v>
      </c>
      <c r="J42" s="21" t="s">
        <v>1</v>
      </c>
      <c r="K42" s="21">
        <f t="shared" si="4"/>
        <v>0</v>
      </c>
      <c r="L42" s="21" t="s">
        <v>0</v>
      </c>
      <c r="M42" s="21">
        <v>0</v>
      </c>
      <c r="N42" s="21">
        <v>62.1</v>
      </c>
      <c r="O42" s="21">
        <v>64.099999999999994</v>
      </c>
      <c r="P42" s="19">
        <v>452</v>
      </c>
      <c r="Q42" s="19">
        <v>1060</v>
      </c>
      <c r="R42" s="19">
        <v>680</v>
      </c>
      <c r="S42" s="19">
        <v>180.8</v>
      </c>
      <c r="T42" s="19">
        <v>0</v>
      </c>
      <c r="U42" s="19" t="s">
        <v>1</v>
      </c>
      <c r="V42" s="34">
        <v>73.45</v>
      </c>
      <c r="W42" s="19" t="s">
        <v>1</v>
      </c>
      <c r="X42" s="19">
        <v>12</v>
      </c>
      <c r="Y42" s="19">
        <v>71</v>
      </c>
      <c r="Z42" s="19">
        <v>72</v>
      </c>
      <c r="AB42" s="1">
        <f t="shared" si="5"/>
        <v>436.6968</v>
      </c>
      <c r="AC42" s="1">
        <f t="shared" si="6"/>
        <v>752.43674999999996</v>
      </c>
      <c r="AD42" s="1"/>
      <c r="AE42" s="1">
        <f t="shared" si="0"/>
        <v>63.099999999999994</v>
      </c>
      <c r="AF42" s="1">
        <f t="shared" si="1"/>
        <v>71.5</v>
      </c>
      <c r="AG42" s="1"/>
      <c r="AH42" s="1">
        <f t="shared" si="2"/>
        <v>6.9207099841521398</v>
      </c>
      <c r="AI42" s="1">
        <f t="shared" si="3"/>
        <v>10.523590909090908</v>
      </c>
      <c r="AJ42" s="1"/>
      <c r="AK42" s="1">
        <f t="shared" si="7"/>
        <v>-4.9052156908628561E-2</v>
      </c>
    </row>
    <row r="43" spans="1:37" ht="34" x14ac:dyDescent="0.2">
      <c r="A43" s="1">
        <v>41</v>
      </c>
      <c r="B43" s="1">
        <v>140</v>
      </c>
      <c r="C43" s="55" t="s">
        <v>243</v>
      </c>
      <c r="D43" s="54" t="s">
        <v>235</v>
      </c>
      <c r="E43" s="21">
        <v>526</v>
      </c>
      <c r="F43" s="21">
        <v>1060</v>
      </c>
      <c r="G43" s="21">
        <v>680</v>
      </c>
      <c r="H43" s="21">
        <v>210.4</v>
      </c>
      <c r="I43" s="21">
        <v>0</v>
      </c>
      <c r="J43" s="21" t="s">
        <v>1</v>
      </c>
      <c r="K43" s="21">
        <f t="shared" si="4"/>
        <v>0</v>
      </c>
      <c r="L43" s="21" t="s">
        <v>0</v>
      </c>
      <c r="M43" s="21">
        <v>0</v>
      </c>
      <c r="N43" s="21">
        <v>72.599999999999994</v>
      </c>
      <c r="O43" s="21"/>
      <c r="P43" s="19">
        <v>526</v>
      </c>
      <c r="Q43" s="19">
        <v>1060</v>
      </c>
      <c r="R43" s="19">
        <v>680</v>
      </c>
      <c r="S43" s="19">
        <v>210.4</v>
      </c>
      <c r="T43" s="19">
        <v>0</v>
      </c>
      <c r="U43" s="19" t="s">
        <v>1</v>
      </c>
      <c r="V43" s="34">
        <v>56.281999999999996</v>
      </c>
      <c r="W43" s="19" t="s">
        <v>1</v>
      </c>
      <c r="X43" s="19">
        <v>12</v>
      </c>
      <c r="Y43" s="19">
        <v>81</v>
      </c>
      <c r="Z43" s="19">
        <v>83.8</v>
      </c>
      <c r="AB43" s="1">
        <f t="shared" si="5"/>
        <v>506.8784</v>
      </c>
      <c r="AC43" s="1">
        <f t="shared" si="6"/>
        <v>800.72915</v>
      </c>
      <c r="AD43" s="1"/>
      <c r="AE43" s="1">
        <f t="shared" si="0"/>
        <v>72.599999999999994</v>
      </c>
      <c r="AF43" s="1">
        <f t="shared" si="1"/>
        <v>82.4</v>
      </c>
      <c r="AG43" s="1"/>
      <c r="AH43" s="1">
        <f t="shared" si="2"/>
        <v>6.9817961432506896</v>
      </c>
      <c r="AI43" s="1">
        <f t="shared" si="3"/>
        <v>9.71758677184466</v>
      </c>
      <c r="AJ43" s="1"/>
      <c r="AK43" s="1">
        <f t="shared" si="7"/>
        <v>-4.8608624935040874E-2</v>
      </c>
    </row>
    <row r="44" spans="1:37" ht="34" x14ac:dyDescent="0.2">
      <c r="A44" s="1">
        <v>42</v>
      </c>
      <c r="B44" s="56">
        <v>187</v>
      </c>
      <c r="C44" s="38" t="s">
        <v>236</v>
      </c>
      <c r="D44" s="54" t="s">
        <v>235</v>
      </c>
      <c r="E44" s="21">
        <v>100</v>
      </c>
      <c r="F44" s="21">
        <v>343</v>
      </c>
      <c r="G44" s="21">
        <v>519</v>
      </c>
      <c r="H44" s="21">
        <v>56.000000000000007</v>
      </c>
      <c r="I44" s="21">
        <v>0</v>
      </c>
      <c r="J44" s="21" t="s">
        <v>1</v>
      </c>
      <c r="K44" s="21">
        <f t="shared" si="4"/>
        <v>0</v>
      </c>
      <c r="L44" s="21">
        <v>0</v>
      </c>
      <c r="M44" s="21">
        <v>0</v>
      </c>
      <c r="N44" s="21">
        <v>20.6</v>
      </c>
      <c r="O44" s="21">
        <v>22.6</v>
      </c>
      <c r="P44" s="19">
        <v>100</v>
      </c>
      <c r="Q44" s="19">
        <v>343</v>
      </c>
      <c r="R44" s="19">
        <v>519</v>
      </c>
      <c r="S44" s="19">
        <v>56.000000000000007</v>
      </c>
      <c r="T44" s="19">
        <v>0</v>
      </c>
      <c r="U44" s="19" t="s">
        <v>1</v>
      </c>
      <c r="V44" s="34">
        <v>14.899999999999999</v>
      </c>
      <c r="W44" s="19">
        <v>0</v>
      </c>
      <c r="X44" s="19">
        <v>2</v>
      </c>
      <c r="Y44" s="19">
        <v>21.1</v>
      </c>
      <c r="Z44" s="19">
        <v>24.5</v>
      </c>
      <c r="AB44" s="1">
        <f t="shared" si="5"/>
        <v>98.646999999999991</v>
      </c>
      <c r="AC44" s="1">
        <f t="shared" si="6"/>
        <v>154.65969999999999</v>
      </c>
      <c r="AD44" s="1"/>
      <c r="AE44" s="1">
        <f t="shared" si="0"/>
        <v>21.6</v>
      </c>
      <c r="AF44" s="1">
        <f t="shared" si="1"/>
        <v>22.8</v>
      </c>
      <c r="AG44" s="1"/>
      <c r="AH44" s="1">
        <f t="shared" si="2"/>
        <v>4.5669907407407404</v>
      </c>
      <c r="AI44" s="1">
        <f t="shared" si="3"/>
        <v>6.7833201754385959</v>
      </c>
      <c r="AJ44" s="1"/>
      <c r="AK44" s="1">
        <f t="shared" si="7"/>
        <v>-0.14874694192603058</v>
      </c>
    </row>
    <row r="45" spans="1:37" ht="34" x14ac:dyDescent="0.2">
      <c r="A45" s="1">
        <v>43</v>
      </c>
      <c r="B45" s="56">
        <v>188</v>
      </c>
      <c r="C45" s="38" t="s">
        <v>236</v>
      </c>
      <c r="D45" s="54" t="s">
        <v>235</v>
      </c>
      <c r="E45" s="21">
        <v>100</v>
      </c>
      <c r="F45" s="21">
        <v>343</v>
      </c>
      <c r="G45" s="21">
        <v>519</v>
      </c>
      <c r="H45" s="21">
        <v>56.000000000000007</v>
      </c>
      <c r="I45" s="21">
        <v>0</v>
      </c>
      <c r="J45" s="21" t="s">
        <v>1</v>
      </c>
      <c r="K45" s="21">
        <f t="shared" si="4"/>
        <v>0</v>
      </c>
      <c r="L45" s="21">
        <v>0</v>
      </c>
      <c r="M45" s="21">
        <v>0</v>
      </c>
      <c r="N45" s="21">
        <v>20.6</v>
      </c>
      <c r="O45" s="21">
        <v>22.6</v>
      </c>
      <c r="P45" s="19">
        <v>100</v>
      </c>
      <c r="Q45" s="19">
        <v>343</v>
      </c>
      <c r="R45" s="19">
        <v>519</v>
      </c>
      <c r="S45" s="19">
        <v>56.000000000000007</v>
      </c>
      <c r="T45" s="19">
        <v>0</v>
      </c>
      <c r="U45" s="19" t="s">
        <v>1</v>
      </c>
      <c r="V45" s="34">
        <v>17</v>
      </c>
      <c r="W45" s="19">
        <v>0</v>
      </c>
      <c r="X45" s="19">
        <v>2</v>
      </c>
      <c r="Y45" s="19">
        <v>21</v>
      </c>
      <c r="Z45" s="19">
        <v>22.4</v>
      </c>
      <c r="AB45" s="1">
        <f t="shared" si="5"/>
        <v>98.646999999999991</v>
      </c>
      <c r="AC45" s="1">
        <f t="shared" si="6"/>
        <v>157.3372</v>
      </c>
      <c r="AD45" s="1"/>
      <c r="AE45" s="1">
        <f t="shared" si="0"/>
        <v>21.6</v>
      </c>
      <c r="AF45" s="1">
        <f t="shared" si="1"/>
        <v>21.7</v>
      </c>
      <c r="AG45" s="1"/>
      <c r="AH45" s="1">
        <f t="shared" si="2"/>
        <v>4.5669907407407404</v>
      </c>
      <c r="AI45" s="1">
        <f t="shared" si="3"/>
        <v>7.2505622119815669</v>
      </c>
      <c r="AJ45" s="1"/>
      <c r="AK45" s="1">
        <f t="shared" si="7"/>
        <v>-0.15785714536710743</v>
      </c>
    </row>
    <row r="46" spans="1:37" ht="34" x14ac:dyDescent="0.2">
      <c r="A46" s="1">
        <v>44</v>
      </c>
      <c r="B46" s="56">
        <v>189</v>
      </c>
      <c r="C46" s="38" t="s">
        <v>236</v>
      </c>
      <c r="D46" s="54" t="s">
        <v>235</v>
      </c>
      <c r="E46" s="21">
        <v>100</v>
      </c>
      <c r="F46" s="21">
        <v>343</v>
      </c>
      <c r="G46" s="21">
        <v>519</v>
      </c>
      <c r="H46" s="21">
        <v>56.000000000000007</v>
      </c>
      <c r="I46" s="21">
        <v>0</v>
      </c>
      <c r="J46" s="21" t="s">
        <v>1</v>
      </c>
      <c r="K46" s="21">
        <f t="shared" si="4"/>
        <v>0</v>
      </c>
      <c r="L46" s="21">
        <v>0</v>
      </c>
      <c r="M46" s="21">
        <v>0</v>
      </c>
      <c r="N46" s="21">
        <v>20.6</v>
      </c>
      <c r="O46" s="21">
        <v>22.6</v>
      </c>
      <c r="P46" s="19">
        <v>100</v>
      </c>
      <c r="Q46" s="19">
        <v>343</v>
      </c>
      <c r="R46" s="19">
        <v>519</v>
      </c>
      <c r="S46" s="19">
        <v>56.000000000000007</v>
      </c>
      <c r="T46" s="19">
        <v>0</v>
      </c>
      <c r="U46" s="19" t="s">
        <v>1</v>
      </c>
      <c r="V46" s="34">
        <v>18.3</v>
      </c>
      <c r="W46" s="19">
        <v>0</v>
      </c>
      <c r="X46" s="19">
        <v>2</v>
      </c>
      <c r="Y46" s="19">
        <v>16.7</v>
      </c>
      <c r="Z46" s="19">
        <v>22.5</v>
      </c>
      <c r="AB46" s="1">
        <f t="shared" si="5"/>
        <v>98.646999999999991</v>
      </c>
      <c r="AC46" s="1">
        <f t="shared" si="6"/>
        <v>158.99469999999997</v>
      </c>
      <c r="AD46" s="1"/>
      <c r="AE46" s="1">
        <f t="shared" si="0"/>
        <v>21.6</v>
      </c>
      <c r="AF46" s="1">
        <f t="shared" si="1"/>
        <v>19.600000000000001</v>
      </c>
      <c r="AG46" s="1"/>
      <c r="AH46" s="1">
        <f t="shared" si="2"/>
        <v>4.5669907407407404</v>
      </c>
      <c r="AI46" s="1">
        <f t="shared" si="3"/>
        <v>8.1119744897959158</v>
      </c>
      <c r="AJ46" s="1"/>
      <c r="AK46" s="1">
        <f t="shared" si="7"/>
        <v>-0.19371495896476368</v>
      </c>
    </row>
    <row r="47" spans="1:37" ht="34" x14ac:dyDescent="0.2">
      <c r="A47" s="1">
        <v>45</v>
      </c>
      <c r="B47" s="56">
        <v>190</v>
      </c>
      <c r="C47" s="38" t="s">
        <v>236</v>
      </c>
      <c r="D47" s="54" t="s">
        <v>235</v>
      </c>
      <c r="E47" s="21">
        <v>100</v>
      </c>
      <c r="F47" s="21">
        <v>343</v>
      </c>
      <c r="G47" s="21">
        <v>519</v>
      </c>
      <c r="H47" s="21">
        <v>56.000000000000007</v>
      </c>
      <c r="I47" s="21">
        <v>0</v>
      </c>
      <c r="J47" s="21" t="s">
        <v>1</v>
      </c>
      <c r="K47" s="21">
        <f t="shared" si="4"/>
        <v>0</v>
      </c>
      <c r="L47" s="21">
        <v>0</v>
      </c>
      <c r="M47" s="21">
        <v>0</v>
      </c>
      <c r="N47" s="21">
        <v>20.6</v>
      </c>
      <c r="O47" s="21">
        <v>22.6</v>
      </c>
      <c r="P47" s="19">
        <v>100</v>
      </c>
      <c r="Q47" s="19">
        <v>343</v>
      </c>
      <c r="R47" s="19">
        <v>519</v>
      </c>
      <c r="S47" s="19">
        <v>56.000000000000007</v>
      </c>
      <c r="T47" s="19">
        <v>0</v>
      </c>
      <c r="U47" s="19" t="s">
        <v>1</v>
      </c>
      <c r="V47" s="34">
        <v>17.5</v>
      </c>
      <c r="W47" s="19">
        <v>0</v>
      </c>
      <c r="X47" s="19">
        <v>24</v>
      </c>
      <c r="Y47" s="19">
        <v>34.5</v>
      </c>
      <c r="Z47" s="19">
        <v>36.5</v>
      </c>
      <c r="AB47" s="1">
        <f t="shared" si="5"/>
        <v>98.646999999999991</v>
      </c>
      <c r="AC47" s="1">
        <f t="shared" si="6"/>
        <v>565.14189999999996</v>
      </c>
      <c r="AD47" s="1"/>
      <c r="AE47" s="1">
        <f t="shared" si="0"/>
        <v>21.6</v>
      </c>
      <c r="AF47" s="1">
        <f t="shared" si="1"/>
        <v>35.5</v>
      </c>
      <c r="AG47" s="1"/>
      <c r="AH47" s="1">
        <f t="shared" si="2"/>
        <v>4.5669907407407404</v>
      </c>
      <c r="AI47" s="1">
        <f t="shared" si="3"/>
        <v>15.919490140845069</v>
      </c>
      <c r="AJ47" s="1"/>
      <c r="AK47" s="1">
        <f t="shared" si="7"/>
        <v>-0.6487142514345331</v>
      </c>
    </row>
    <row r="48" spans="1:37" ht="34" x14ac:dyDescent="0.2">
      <c r="A48" s="1">
        <v>46</v>
      </c>
      <c r="B48" s="56">
        <v>191</v>
      </c>
      <c r="C48" s="38" t="s">
        <v>236</v>
      </c>
      <c r="D48" s="54" t="s">
        <v>235</v>
      </c>
      <c r="E48" s="21">
        <v>100</v>
      </c>
      <c r="F48" s="21">
        <v>343</v>
      </c>
      <c r="G48" s="21">
        <v>519</v>
      </c>
      <c r="H48" s="21">
        <v>56.000000000000007</v>
      </c>
      <c r="I48" s="21">
        <v>0</v>
      </c>
      <c r="J48" s="21" t="s">
        <v>1</v>
      </c>
      <c r="K48" s="21">
        <f t="shared" si="4"/>
        <v>0</v>
      </c>
      <c r="L48" s="21">
        <v>0</v>
      </c>
      <c r="M48" s="21">
        <v>0</v>
      </c>
      <c r="N48" s="21">
        <v>20.6</v>
      </c>
      <c r="O48" s="21">
        <v>22.6</v>
      </c>
      <c r="P48" s="19">
        <v>100</v>
      </c>
      <c r="Q48" s="19">
        <v>343</v>
      </c>
      <c r="R48" s="19">
        <v>519</v>
      </c>
      <c r="S48" s="19">
        <v>56.000000000000007</v>
      </c>
      <c r="T48" s="19">
        <v>0</v>
      </c>
      <c r="U48" s="19" t="s">
        <v>1</v>
      </c>
      <c r="V48" s="34">
        <v>18.8</v>
      </c>
      <c r="W48" s="19">
        <v>0</v>
      </c>
      <c r="X48" s="19">
        <v>24</v>
      </c>
      <c r="Y48" s="19">
        <v>32.9</v>
      </c>
      <c r="Z48" s="19">
        <v>36.1</v>
      </c>
      <c r="AB48" s="1">
        <f t="shared" si="5"/>
        <v>98.646999999999991</v>
      </c>
      <c r="AC48" s="1">
        <f t="shared" si="6"/>
        <v>566.79939999999988</v>
      </c>
      <c r="AD48" s="1"/>
      <c r="AE48" s="1">
        <f t="shared" si="0"/>
        <v>21.6</v>
      </c>
      <c r="AF48" s="1">
        <f t="shared" si="1"/>
        <v>34.5</v>
      </c>
      <c r="AG48" s="1"/>
      <c r="AH48" s="1">
        <f t="shared" si="2"/>
        <v>4.5669907407407404</v>
      </c>
      <c r="AI48" s="1">
        <f t="shared" si="3"/>
        <v>16.428968115942027</v>
      </c>
      <c r="AJ48" s="1"/>
      <c r="AK48" s="1">
        <f t="shared" si="7"/>
        <v>-0.63095624336177059</v>
      </c>
    </row>
    <row r="49" spans="1:37" ht="34" x14ac:dyDescent="0.2">
      <c r="A49" s="1">
        <v>47</v>
      </c>
      <c r="B49" s="56">
        <v>192</v>
      </c>
      <c r="C49" s="38" t="s">
        <v>236</v>
      </c>
      <c r="D49" s="54" t="s">
        <v>235</v>
      </c>
      <c r="E49" s="21">
        <v>100</v>
      </c>
      <c r="F49" s="21">
        <v>343</v>
      </c>
      <c r="G49" s="21">
        <v>519</v>
      </c>
      <c r="H49" s="21">
        <v>56.000000000000007</v>
      </c>
      <c r="I49" s="21">
        <v>0</v>
      </c>
      <c r="J49" s="21" t="s">
        <v>1</v>
      </c>
      <c r="K49" s="21">
        <f t="shared" si="4"/>
        <v>0</v>
      </c>
      <c r="L49" s="21">
        <v>0</v>
      </c>
      <c r="M49" s="21">
        <v>0</v>
      </c>
      <c r="N49" s="21">
        <v>20.6</v>
      </c>
      <c r="O49" s="21">
        <v>22.6</v>
      </c>
      <c r="P49" s="19">
        <v>100</v>
      </c>
      <c r="Q49" s="19">
        <v>343</v>
      </c>
      <c r="R49" s="19">
        <v>519</v>
      </c>
      <c r="S49" s="19">
        <v>56.000000000000007</v>
      </c>
      <c r="T49" s="19">
        <v>0</v>
      </c>
      <c r="U49" s="19" t="s">
        <v>1</v>
      </c>
      <c r="V49" s="34">
        <v>23.9</v>
      </c>
      <c r="W49" s="19">
        <v>0</v>
      </c>
      <c r="X49" s="19">
        <v>24</v>
      </c>
      <c r="Y49" s="19">
        <v>31.1</v>
      </c>
      <c r="Z49" s="19">
        <v>35.5</v>
      </c>
      <c r="AB49" s="1">
        <f t="shared" si="5"/>
        <v>98.646999999999991</v>
      </c>
      <c r="AC49" s="1">
        <f t="shared" si="6"/>
        <v>573.30189999999993</v>
      </c>
      <c r="AD49" s="1"/>
      <c r="AE49" s="1">
        <f t="shared" si="0"/>
        <v>21.6</v>
      </c>
      <c r="AF49" s="1">
        <f t="shared" si="1"/>
        <v>33.299999999999997</v>
      </c>
      <c r="AG49" s="1"/>
      <c r="AH49" s="1">
        <f t="shared" si="2"/>
        <v>4.5669907407407404</v>
      </c>
      <c r="AI49" s="1">
        <f t="shared" si="3"/>
        <v>17.216273273273274</v>
      </c>
      <c r="AJ49" s="1"/>
      <c r="AK49" s="1">
        <f t="shared" si="7"/>
        <v>-0.52925868336956206</v>
      </c>
    </row>
    <row r="50" spans="1:37" ht="34" x14ac:dyDescent="0.2">
      <c r="A50" s="1">
        <v>48</v>
      </c>
      <c r="B50" s="56">
        <v>193</v>
      </c>
      <c r="C50" s="38" t="s">
        <v>236</v>
      </c>
      <c r="D50" s="54" t="s">
        <v>235</v>
      </c>
      <c r="E50" s="21">
        <v>100</v>
      </c>
      <c r="F50" s="21">
        <v>343</v>
      </c>
      <c r="G50" s="21">
        <v>519</v>
      </c>
      <c r="H50" s="21">
        <v>56.000000000000007</v>
      </c>
      <c r="I50" s="21">
        <v>0</v>
      </c>
      <c r="J50" s="21" t="s">
        <v>1</v>
      </c>
      <c r="K50" s="21">
        <f t="shared" si="4"/>
        <v>0</v>
      </c>
      <c r="L50" s="21">
        <v>0</v>
      </c>
      <c r="M50" s="21">
        <v>0</v>
      </c>
      <c r="N50" s="21">
        <v>20.6</v>
      </c>
      <c r="O50" s="21">
        <v>22.6</v>
      </c>
      <c r="P50" s="19">
        <v>100</v>
      </c>
      <c r="Q50" s="19">
        <v>343</v>
      </c>
      <c r="R50" s="19">
        <v>519</v>
      </c>
      <c r="S50" s="19">
        <v>56.000000000000007</v>
      </c>
      <c r="T50" s="19">
        <v>0</v>
      </c>
      <c r="U50" s="19" t="s">
        <v>1</v>
      </c>
      <c r="V50" s="34">
        <v>28.300000000000004</v>
      </c>
      <c r="W50" s="19">
        <v>0</v>
      </c>
      <c r="X50" s="19">
        <v>48</v>
      </c>
      <c r="Y50" s="19">
        <v>31.9</v>
      </c>
      <c r="Z50" s="19">
        <v>35.299999999999997</v>
      </c>
      <c r="AB50" s="1">
        <f t="shared" si="5"/>
        <v>98.646999999999991</v>
      </c>
      <c r="AC50" s="1">
        <f t="shared" si="6"/>
        <v>1023.0942999999999</v>
      </c>
      <c r="AD50" s="1"/>
      <c r="AE50" s="1">
        <f t="shared" si="0"/>
        <v>21.6</v>
      </c>
      <c r="AF50" s="1">
        <f t="shared" si="1"/>
        <v>33.599999999999994</v>
      </c>
      <c r="AG50" s="1"/>
      <c r="AH50" s="1">
        <f t="shared" si="2"/>
        <v>4.5669907407407404</v>
      </c>
      <c r="AI50" s="1">
        <f t="shared" si="3"/>
        <v>30.449235119047621</v>
      </c>
      <c r="AJ50" s="1"/>
      <c r="AK50" s="1">
        <f t="shared" si="7"/>
        <v>-0.91456693916278708</v>
      </c>
    </row>
    <row r="51" spans="1:37" ht="34" x14ac:dyDescent="0.2">
      <c r="A51" s="1">
        <v>49</v>
      </c>
      <c r="B51" s="56">
        <v>193</v>
      </c>
      <c r="C51" s="38" t="s">
        <v>237</v>
      </c>
      <c r="D51" s="54" t="s">
        <v>235</v>
      </c>
      <c r="E51" s="21">
        <v>452</v>
      </c>
      <c r="F51" s="21">
        <v>1060</v>
      </c>
      <c r="G51" s="21">
        <v>680</v>
      </c>
      <c r="H51" s="21">
        <v>180.8</v>
      </c>
      <c r="I51" s="21">
        <v>0</v>
      </c>
      <c r="J51" s="21" t="s">
        <v>1</v>
      </c>
      <c r="K51" s="21">
        <f t="shared" si="4"/>
        <v>0</v>
      </c>
      <c r="L51" s="21" t="s">
        <v>1</v>
      </c>
      <c r="M51" s="21">
        <v>0</v>
      </c>
      <c r="N51" s="21">
        <v>66.3</v>
      </c>
      <c r="O51" s="21">
        <v>68.3</v>
      </c>
      <c r="P51" s="19">
        <v>452</v>
      </c>
      <c r="Q51" s="19">
        <v>1060</v>
      </c>
      <c r="R51" s="19">
        <v>680</v>
      </c>
      <c r="S51" s="19">
        <v>180.8</v>
      </c>
      <c r="T51" s="19">
        <v>0</v>
      </c>
      <c r="U51" s="19" t="s">
        <v>1</v>
      </c>
      <c r="V51" s="34">
        <v>47.911999999999999</v>
      </c>
      <c r="W51" s="19" t="s">
        <v>1</v>
      </c>
      <c r="X51" s="19">
        <v>12</v>
      </c>
      <c r="Y51" s="19">
        <v>66.7</v>
      </c>
      <c r="Z51" s="19">
        <v>68.7</v>
      </c>
      <c r="AB51" s="1">
        <f t="shared" si="5"/>
        <v>436.6968</v>
      </c>
      <c r="AC51" s="1">
        <f t="shared" si="6"/>
        <v>719.87579999999991</v>
      </c>
      <c r="AD51" s="1"/>
      <c r="AE51" s="1">
        <f t="shared" si="0"/>
        <v>67.3</v>
      </c>
      <c r="AF51" s="1">
        <f t="shared" si="1"/>
        <v>67.7</v>
      </c>
      <c r="AG51" s="1"/>
      <c r="AH51" s="1">
        <f t="shared" si="2"/>
        <v>6.4888083209509659</v>
      </c>
      <c r="AI51" s="1">
        <f t="shared" si="3"/>
        <v>10.633320531757754</v>
      </c>
      <c r="AJ51" s="1"/>
      <c r="AK51" s="1">
        <f t="shared" si="7"/>
        <v>-8.6502592478017781E-2</v>
      </c>
    </row>
    <row r="52" spans="1:37" ht="34" x14ac:dyDescent="0.2">
      <c r="A52" s="1">
        <v>50</v>
      </c>
      <c r="B52" s="56">
        <v>193</v>
      </c>
      <c r="C52" s="38" t="s">
        <v>237</v>
      </c>
      <c r="D52" s="54" t="s">
        <v>235</v>
      </c>
      <c r="E52" s="21">
        <v>452</v>
      </c>
      <c r="F52" s="21">
        <v>1060</v>
      </c>
      <c r="G52" s="21">
        <v>680</v>
      </c>
      <c r="H52" s="21">
        <v>180.8</v>
      </c>
      <c r="I52" s="21">
        <v>0</v>
      </c>
      <c r="J52" s="21" t="s">
        <v>1</v>
      </c>
      <c r="K52" s="21">
        <f t="shared" si="4"/>
        <v>0</v>
      </c>
      <c r="L52" s="21" t="s">
        <v>1</v>
      </c>
      <c r="M52" s="21">
        <v>0</v>
      </c>
      <c r="N52" s="21">
        <v>66.3</v>
      </c>
      <c r="O52" s="21">
        <v>68.3</v>
      </c>
      <c r="P52" s="19">
        <v>452</v>
      </c>
      <c r="Q52" s="19">
        <v>1060</v>
      </c>
      <c r="R52" s="19">
        <v>680</v>
      </c>
      <c r="S52" s="19">
        <v>180.8</v>
      </c>
      <c r="T52" s="19">
        <v>0</v>
      </c>
      <c r="U52" s="19" t="s">
        <v>1</v>
      </c>
      <c r="V52" s="34">
        <v>94.015999999999991</v>
      </c>
      <c r="W52" s="19" t="s">
        <v>1</v>
      </c>
      <c r="X52" s="19">
        <v>12</v>
      </c>
      <c r="Y52" s="19">
        <v>69.2</v>
      </c>
      <c r="Z52" s="19">
        <v>70.2</v>
      </c>
      <c r="AB52" s="1">
        <f>SUMPRODUCT($E$2:$M$2,E52:M52)+((0.1+0.477+0.477)*M52)</f>
        <v>436.6968</v>
      </c>
      <c r="AC52" s="1">
        <f t="shared" si="6"/>
        <v>778.65839999999992</v>
      </c>
      <c r="AD52" s="1"/>
      <c r="AE52" s="1">
        <f t="shared" si="0"/>
        <v>67.3</v>
      </c>
      <c r="AF52" s="1">
        <f t="shared" si="1"/>
        <v>69.7</v>
      </c>
      <c r="AG52" s="1"/>
      <c r="AH52" s="1">
        <f t="shared" si="2"/>
        <v>6.4888083209509659</v>
      </c>
      <c r="AI52" s="1">
        <f t="shared" si="3"/>
        <v>11.171569583931133</v>
      </c>
      <c r="AJ52" s="1"/>
      <c r="AK52" s="1">
        <f t="shared" si="7"/>
        <v>-4.9808131200861208E-2</v>
      </c>
    </row>
    <row r="53" spans="1:37" ht="34" x14ac:dyDescent="0.2">
      <c r="A53" s="1">
        <v>51</v>
      </c>
      <c r="B53" s="3">
        <v>24</v>
      </c>
      <c r="C53" s="6" t="s">
        <v>246</v>
      </c>
      <c r="D53" s="68" t="s">
        <v>247</v>
      </c>
      <c r="E53" s="21">
        <v>241</v>
      </c>
      <c r="F53" s="21">
        <v>0</v>
      </c>
      <c r="G53" s="21">
        <v>0</v>
      </c>
      <c r="H53" s="21">
        <v>96.4</v>
      </c>
      <c r="I53" s="21">
        <v>1502</v>
      </c>
      <c r="J53" s="21" t="s">
        <v>248</v>
      </c>
      <c r="K53" s="21">
        <f t="shared" si="4"/>
        <v>0</v>
      </c>
      <c r="L53" s="21">
        <v>0</v>
      </c>
      <c r="M53" s="21">
        <v>0</v>
      </c>
      <c r="N53" s="21">
        <v>17</v>
      </c>
      <c r="O53" s="21">
        <v>18.8</v>
      </c>
      <c r="P53" s="19">
        <v>241</v>
      </c>
      <c r="Q53" s="19">
        <v>0</v>
      </c>
      <c r="R53" s="19">
        <v>0</v>
      </c>
      <c r="S53" s="61">
        <v>96.4</v>
      </c>
      <c r="T53" s="61">
        <v>1502</v>
      </c>
      <c r="U53" s="61">
        <v>0</v>
      </c>
      <c r="V53" s="19">
        <v>31.089000000000002</v>
      </c>
      <c r="W53" s="19">
        <v>0</v>
      </c>
      <c r="X53" s="19">
        <v>4</v>
      </c>
      <c r="Y53" s="19">
        <v>15.2</v>
      </c>
      <c r="Z53" s="19">
        <v>16.600000000000001</v>
      </c>
      <c r="AB53" s="1">
        <f t="shared" ref="AB53:AB72" si="8">SUMPRODUCT($E$2:$M$2,E53:M53)+((0.1+0.477+0.477)*M53)</f>
        <v>25441.136400000003</v>
      </c>
      <c r="AC53" s="1">
        <f t="shared" si="6"/>
        <v>25554.805275000002</v>
      </c>
      <c r="AD53" s="1"/>
      <c r="AE53" s="1">
        <f t="shared" si="0"/>
        <v>17.899999999999999</v>
      </c>
      <c r="AF53" s="1">
        <f t="shared" si="1"/>
        <v>15.9</v>
      </c>
      <c r="AG53" s="1"/>
      <c r="AH53" s="1">
        <f t="shared" si="2"/>
        <v>1421.2925363128495</v>
      </c>
      <c r="AI53" s="1">
        <f t="shared" si="3"/>
        <v>1607.2204575471699</v>
      </c>
      <c r="AJ53" s="1"/>
      <c r="AK53" s="1">
        <f t="shared" si="7"/>
        <v>-5.9805050414719148</v>
      </c>
    </row>
    <row r="54" spans="1:37" ht="34" x14ac:dyDescent="0.2">
      <c r="A54" s="1">
        <v>52</v>
      </c>
      <c r="B54" s="3">
        <v>25</v>
      </c>
      <c r="C54" s="6" t="s">
        <v>246</v>
      </c>
      <c r="D54" s="68" t="s">
        <v>247</v>
      </c>
      <c r="E54" s="21">
        <v>241</v>
      </c>
      <c r="F54" s="21">
        <v>0</v>
      </c>
      <c r="G54" s="21">
        <v>0</v>
      </c>
      <c r="H54" s="21">
        <v>96.4</v>
      </c>
      <c r="I54" s="21">
        <v>1502</v>
      </c>
      <c r="J54" s="21" t="s">
        <v>248</v>
      </c>
      <c r="K54" s="21">
        <f t="shared" si="4"/>
        <v>0</v>
      </c>
      <c r="L54" s="21">
        <v>0</v>
      </c>
      <c r="M54" s="21">
        <v>0</v>
      </c>
      <c r="N54" s="21">
        <v>17</v>
      </c>
      <c r="O54" s="21">
        <v>18.8</v>
      </c>
      <c r="P54" s="19">
        <v>241</v>
      </c>
      <c r="Q54" s="19">
        <v>0</v>
      </c>
      <c r="R54" s="19">
        <v>0</v>
      </c>
      <c r="S54" s="61">
        <v>96.4</v>
      </c>
      <c r="T54" s="61">
        <v>1502</v>
      </c>
      <c r="U54" s="61">
        <v>0</v>
      </c>
      <c r="V54" s="19">
        <v>31.812000000000001</v>
      </c>
      <c r="W54" s="19">
        <v>0</v>
      </c>
      <c r="X54" s="19">
        <v>4</v>
      </c>
      <c r="Y54" s="19">
        <v>17</v>
      </c>
      <c r="Z54" s="19">
        <v>18.600000000000001</v>
      </c>
      <c r="AB54" s="1">
        <f t="shared" si="8"/>
        <v>25441.136400000003</v>
      </c>
      <c r="AC54" s="1">
        <f t="shared" si="6"/>
        <v>25555.7271</v>
      </c>
      <c r="AD54" s="1"/>
      <c r="AE54" s="1">
        <f t="shared" si="0"/>
        <v>17.899999999999999</v>
      </c>
      <c r="AF54" s="1">
        <f t="shared" si="1"/>
        <v>17.8</v>
      </c>
      <c r="AG54" s="1"/>
      <c r="AH54" s="1">
        <f t="shared" si="2"/>
        <v>1421.2925363128495</v>
      </c>
      <c r="AI54" s="1">
        <f t="shared" si="3"/>
        <v>1435.7150056179776</v>
      </c>
      <c r="AJ54" s="1"/>
      <c r="AK54" s="1">
        <f t="shared" si="7"/>
        <v>-0.45336568920935688</v>
      </c>
    </row>
    <row r="55" spans="1:37" ht="34" x14ac:dyDescent="0.2">
      <c r="A55" s="1">
        <v>53</v>
      </c>
      <c r="B55" s="3">
        <v>26</v>
      </c>
      <c r="C55" s="6" t="s">
        <v>246</v>
      </c>
      <c r="D55" s="68" t="s">
        <v>247</v>
      </c>
      <c r="E55" s="21">
        <v>241</v>
      </c>
      <c r="F55" s="21">
        <v>0</v>
      </c>
      <c r="G55" s="21">
        <v>0</v>
      </c>
      <c r="H55" s="21">
        <v>96.4</v>
      </c>
      <c r="I55" s="21">
        <v>1502</v>
      </c>
      <c r="J55" s="21" t="s">
        <v>248</v>
      </c>
      <c r="K55" s="21">
        <f t="shared" si="4"/>
        <v>0</v>
      </c>
      <c r="L55" s="21">
        <v>0</v>
      </c>
      <c r="M55" s="21">
        <v>0</v>
      </c>
      <c r="N55" s="21">
        <v>17</v>
      </c>
      <c r="O55" s="21">
        <v>18.8</v>
      </c>
      <c r="P55" s="19">
        <v>241</v>
      </c>
      <c r="Q55" s="19">
        <v>0</v>
      </c>
      <c r="R55" s="19">
        <v>0</v>
      </c>
      <c r="S55" s="61">
        <v>96.4</v>
      </c>
      <c r="T55" s="61">
        <v>1502</v>
      </c>
      <c r="U55" s="61">
        <v>0</v>
      </c>
      <c r="V55" s="19">
        <v>48.2</v>
      </c>
      <c r="W55" s="19">
        <v>0</v>
      </c>
      <c r="X55" s="19">
        <v>18</v>
      </c>
      <c r="Y55" s="19">
        <v>17.399999999999999</v>
      </c>
      <c r="Z55" s="19">
        <v>19</v>
      </c>
      <c r="AB55" s="1">
        <f t="shared" si="8"/>
        <v>25441.136400000003</v>
      </c>
      <c r="AC55" s="1">
        <f t="shared" si="6"/>
        <v>25835.728200000005</v>
      </c>
      <c r="AD55" s="1"/>
      <c r="AE55" s="1">
        <f t="shared" si="0"/>
        <v>17.899999999999999</v>
      </c>
      <c r="AF55" s="1">
        <f t="shared" si="1"/>
        <v>18.2</v>
      </c>
      <c r="AG55" s="1"/>
      <c r="AH55" s="1">
        <f t="shared" si="2"/>
        <v>1421.2925363128495</v>
      </c>
      <c r="AI55" s="1">
        <f t="shared" si="3"/>
        <v>1419.5455054945057</v>
      </c>
      <c r="AJ55" s="1"/>
      <c r="AK55" s="1">
        <f t="shared" si="7"/>
        <v>3.6245452662733893E-2</v>
      </c>
    </row>
    <row r="56" spans="1:37" ht="34" x14ac:dyDescent="0.2">
      <c r="A56" s="1">
        <v>54</v>
      </c>
      <c r="B56" s="3">
        <v>27</v>
      </c>
      <c r="C56" s="6" t="s">
        <v>246</v>
      </c>
      <c r="D56" s="68" t="s">
        <v>247</v>
      </c>
      <c r="E56" s="21">
        <v>241</v>
      </c>
      <c r="F56" s="21">
        <v>0</v>
      </c>
      <c r="G56" s="21">
        <v>0</v>
      </c>
      <c r="H56" s="21">
        <v>96.4</v>
      </c>
      <c r="I56" s="21">
        <v>1502</v>
      </c>
      <c r="J56" s="21" t="s">
        <v>248</v>
      </c>
      <c r="K56" s="21">
        <f t="shared" si="4"/>
        <v>0</v>
      </c>
      <c r="L56" s="21">
        <v>4</v>
      </c>
      <c r="M56" s="21">
        <v>0</v>
      </c>
      <c r="N56" s="21">
        <v>14.4</v>
      </c>
      <c r="O56" s="21">
        <v>16</v>
      </c>
      <c r="P56" s="19">
        <v>241</v>
      </c>
      <c r="Q56" s="19">
        <v>0</v>
      </c>
      <c r="R56" s="19">
        <v>0</v>
      </c>
      <c r="S56" s="61">
        <v>96.4</v>
      </c>
      <c r="T56" s="61">
        <v>1502</v>
      </c>
      <c r="U56" s="61">
        <v>0</v>
      </c>
      <c r="V56" s="19">
        <v>31.089000000000002</v>
      </c>
      <c r="W56" s="19">
        <v>0</v>
      </c>
      <c r="X56" s="19">
        <v>4</v>
      </c>
      <c r="Y56" s="19">
        <v>15.2</v>
      </c>
      <c r="Z56" s="19">
        <v>16.600000000000001</v>
      </c>
      <c r="AB56" s="1">
        <f t="shared" si="8"/>
        <v>25599.336400000004</v>
      </c>
      <c r="AC56" s="1">
        <f t="shared" si="6"/>
        <v>25554.805275000002</v>
      </c>
      <c r="AD56" s="1"/>
      <c r="AE56" s="1">
        <f t="shared" si="0"/>
        <v>15.2</v>
      </c>
      <c r="AF56" s="1">
        <f t="shared" si="1"/>
        <v>15.9</v>
      </c>
      <c r="AG56" s="1"/>
      <c r="AH56" s="1">
        <f t="shared" si="2"/>
        <v>1684.1668684210529</v>
      </c>
      <c r="AI56" s="1">
        <f t="shared" si="3"/>
        <v>1607.2204575471699</v>
      </c>
      <c r="AJ56" s="1"/>
      <c r="AK56" s="1">
        <f t="shared" si="7"/>
        <v>2.4750365361987519</v>
      </c>
    </row>
    <row r="57" spans="1:37" ht="34" x14ac:dyDescent="0.2">
      <c r="A57" s="1">
        <v>55</v>
      </c>
      <c r="B57" s="3">
        <v>28</v>
      </c>
      <c r="C57" s="6" t="s">
        <v>246</v>
      </c>
      <c r="D57" s="68" t="s">
        <v>247</v>
      </c>
      <c r="E57" s="21">
        <v>241</v>
      </c>
      <c r="F57" s="21">
        <v>0</v>
      </c>
      <c r="G57" s="21">
        <v>0</v>
      </c>
      <c r="H57" s="21">
        <v>96.4</v>
      </c>
      <c r="I57" s="21">
        <v>1502</v>
      </c>
      <c r="J57" s="21" t="s">
        <v>248</v>
      </c>
      <c r="K57" s="21">
        <f t="shared" si="4"/>
        <v>0</v>
      </c>
      <c r="L57" s="21">
        <v>4</v>
      </c>
      <c r="M57" s="21">
        <v>0</v>
      </c>
      <c r="N57" s="21">
        <v>14.4</v>
      </c>
      <c r="O57" s="21">
        <v>16</v>
      </c>
      <c r="P57" s="19">
        <v>241</v>
      </c>
      <c r="Q57" s="19">
        <v>0</v>
      </c>
      <c r="R57" s="19">
        <v>0</v>
      </c>
      <c r="S57" s="61">
        <v>96.4</v>
      </c>
      <c r="T57" s="61">
        <v>1502</v>
      </c>
      <c r="U57" s="61">
        <v>0</v>
      </c>
      <c r="V57" s="19">
        <v>31.812000000000001</v>
      </c>
      <c r="W57" s="19">
        <v>0</v>
      </c>
      <c r="X57" s="19">
        <v>4</v>
      </c>
      <c r="Y57" s="19">
        <v>17</v>
      </c>
      <c r="Z57" s="19">
        <v>18.600000000000001</v>
      </c>
      <c r="AB57" s="1">
        <f t="shared" si="8"/>
        <v>25599.336400000004</v>
      </c>
      <c r="AC57" s="1">
        <f t="shared" si="6"/>
        <v>25555.7271</v>
      </c>
      <c r="AD57" s="1"/>
      <c r="AE57" s="1">
        <f t="shared" si="0"/>
        <v>15.2</v>
      </c>
      <c r="AF57" s="1">
        <f t="shared" si="1"/>
        <v>17.8</v>
      </c>
      <c r="AG57" s="1"/>
      <c r="AH57" s="1">
        <f t="shared" si="2"/>
        <v>1684.1668684210529</v>
      </c>
      <c r="AI57" s="1">
        <f t="shared" si="3"/>
        <v>1435.7150056179776</v>
      </c>
      <c r="AJ57" s="1"/>
      <c r="AK57" s="1">
        <f t="shared" si="7"/>
        <v>7.8100044889687945</v>
      </c>
    </row>
    <row r="58" spans="1:37" ht="34" x14ac:dyDescent="0.2">
      <c r="A58" s="1">
        <v>56</v>
      </c>
      <c r="B58" s="3">
        <v>29</v>
      </c>
      <c r="C58" s="6" t="s">
        <v>246</v>
      </c>
      <c r="D58" s="68" t="s">
        <v>247</v>
      </c>
      <c r="E58" s="21">
        <v>241</v>
      </c>
      <c r="F58" s="21">
        <v>0</v>
      </c>
      <c r="G58" s="21">
        <v>0</v>
      </c>
      <c r="H58" s="21">
        <v>96.4</v>
      </c>
      <c r="I58" s="21">
        <v>1502</v>
      </c>
      <c r="J58" s="21" t="s">
        <v>248</v>
      </c>
      <c r="K58" s="21">
        <f t="shared" si="4"/>
        <v>0</v>
      </c>
      <c r="L58" s="21">
        <v>4</v>
      </c>
      <c r="M58" s="21">
        <v>0</v>
      </c>
      <c r="N58" s="21">
        <v>14.4</v>
      </c>
      <c r="O58" s="21">
        <v>16</v>
      </c>
      <c r="P58" s="19">
        <v>241</v>
      </c>
      <c r="Q58" s="19">
        <v>0</v>
      </c>
      <c r="R58" s="19">
        <v>0</v>
      </c>
      <c r="S58" s="61">
        <v>96.4</v>
      </c>
      <c r="T58" s="61">
        <v>1502</v>
      </c>
      <c r="U58" s="61">
        <v>0</v>
      </c>
      <c r="V58" s="19">
        <v>48.2</v>
      </c>
      <c r="W58" s="19">
        <v>0</v>
      </c>
      <c r="X58" s="19">
        <v>18</v>
      </c>
      <c r="Y58" s="19">
        <v>17.399999999999999</v>
      </c>
      <c r="Z58" s="19">
        <v>19</v>
      </c>
      <c r="AB58" s="1">
        <f t="shared" si="8"/>
        <v>25599.336400000004</v>
      </c>
      <c r="AC58" s="1">
        <f t="shared" si="6"/>
        <v>25835.728200000005</v>
      </c>
      <c r="AD58" s="1"/>
      <c r="AE58" s="1">
        <f t="shared" si="0"/>
        <v>15.2</v>
      </c>
      <c r="AF58" s="1">
        <f t="shared" si="1"/>
        <v>18.2</v>
      </c>
      <c r="AG58" s="1"/>
      <c r="AH58" s="1">
        <f t="shared" si="2"/>
        <v>1684.1668684210529</v>
      </c>
      <c r="AI58" s="1">
        <f t="shared" si="3"/>
        <v>1419.5455054945057</v>
      </c>
      <c r="AJ58" s="1"/>
      <c r="AK58" s="1">
        <f t="shared" si="7"/>
        <v>5.4900697702603134</v>
      </c>
    </row>
    <row r="59" spans="1:37" ht="51" x14ac:dyDescent="0.2">
      <c r="A59" s="1">
        <v>57</v>
      </c>
      <c r="B59" s="3">
        <v>70</v>
      </c>
      <c r="C59" s="2" t="s">
        <v>249</v>
      </c>
      <c r="D59" s="68" t="s">
        <v>247</v>
      </c>
      <c r="E59" s="21">
        <v>241</v>
      </c>
      <c r="F59" s="21">
        <v>0</v>
      </c>
      <c r="G59" s="21">
        <v>0</v>
      </c>
      <c r="H59" s="21">
        <v>96.4</v>
      </c>
      <c r="I59" s="21">
        <v>1502</v>
      </c>
      <c r="J59" s="21">
        <v>0</v>
      </c>
      <c r="K59" s="21">
        <f t="shared" si="4"/>
        <v>0</v>
      </c>
      <c r="L59" s="21">
        <v>0</v>
      </c>
      <c r="M59" s="21">
        <v>0</v>
      </c>
      <c r="N59" s="21">
        <v>17.399999999999999</v>
      </c>
      <c r="O59" s="21">
        <v>19</v>
      </c>
      <c r="P59" s="19">
        <v>241</v>
      </c>
      <c r="Q59" s="19">
        <v>0</v>
      </c>
      <c r="R59" s="19">
        <v>0</v>
      </c>
      <c r="S59" s="61">
        <v>96.4</v>
      </c>
      <c r="T59" s="61">
        <v>1502</v>
      </c>
      <c r="U59" s="61">
        <v>0</v>
      </c>
      <c r="V59" s="19">
        <v>57.839999999999996</v>
      </c>
      <c r="W59" s="19">
        <v>0</v>
      </c>
      <c r="X59" s="19">
        <v>4</v>
      </c>
      <c r="Y59" s="19">
        <v>14.6</v>
      </c>
      <c r="Z59" s="19">
        <v>16</v>
      </c>
      <c r="AB59" s="1">
        <f t="shared" si="8"/>
        <v>25441.136400000003</v>
      </c>
      <c r="AC59" s="1">
        <f t="shared" si="6"/>
        <v>25588.912800000006</v>
      </c>
      <c r="AD59" s="1"/>
      <c r="AE59" s="1">
        <f t="shared" si="0"/>
        <v>18.2</v>
      </c>
      <c r="AF59" s="1">
        <f t="shared" si="1"/>
        <v>15.3</v>
      </c>
      <c r="AG59" s="1"/>
      <c r="AH59" s="1">
        <f t="shared" si="2"/>
        <v>1397.8646373626375</v>
      </c>
      <c r="AI59" s="1">
        <f t="shared" si="3"/>
        <v>1672.4779607843141</v>
      </c>
      <c r="AJ59" s="1"/>
      <c r="AK59" s="1">
        <f t="shared" si="7"/>
        <v>-4.7478098793512551</v>
      </c>
    </row>
    <row r="60" spans="1:37" ht="51" x14ac:dyDescent="0.2">
      <c r="A60" s="1">
        <v>58</v>
      </c>
      <c r="B60" s="3">
        <v>71</v>
      </c>
      <c r="C60" s="2" t="s">
        <v>249</v>
      </c>
      <c r="D60" s="68" t="s">
        <v>247</v>
      </c>
      <c r="E60" s="21">
        <v>241</v>
      </c>
      <c r="F60" s="21">
        <v>0</v>
      </c>
      <c r="G60" s="21">
        <v>0</v>
      </c>
      <c r="H60" s="21">
        <v>96.4</v>
      </c>
      <c r="I60" s="21">
        <v>1502</v>
      </c>
      <c r="J60" s="21">
        <v>0</v>
      </c>
      <c r="K60" s="21">
        <f t="shared" si="4"/>
        <v>0</v>
      </c>
      <c r="L60" s="21">
        <v>0</v>
      </c>
      <c r="M60" s="21">
        <v>0</v>
      </c>
      <c r="N60" s="21">
        <v>17.399999999999999</v>
      </c>
      <c r="O60" s="21">
        <v>19</v>
      </c>
      <c r="P60" s="19">
        <v>241</v>
      </c>
      <c r="Q60" s="19">
        <v>0</v>
      </c>
      <c r="R60" s="19">
        <v>0</v>
      </c>
      <c r="S60" s="61">
        <v>96.4</v>
      </c>
      <c r="T60" s="61">
        <v>1502</v>
      </c>
      <c r="U60" s="61">
        <v>0</v>
      </c>
      <c r="V60" s="19">
        <v>60.25</v>
      </c>
      <c r="W60" s="19">
        <v>0</v>
      </c>
      <c r="X60" s="19">
        <v>4</v>
      </c>
      <c r="Y60" s="19">
        <v>17</v>
      </c>
      <c r="Z60" s="19">
        <v>18.8</v>
      </c>
      <c r="AB60" s="1">
        <f t="shared" si="8"/>
        <v>25441.136400000003</v>
      </c>
      <c r="AC60" s="1">
        <f t="shared" si="6"/>
        <v>25591.985550000001</v>
      </c>
      <c r="AD60" s="1"/>
      <c r="AE60" s="1">
        <f t="shared" si="0"/>
        <v>18.2</v>
      </c>
      <c r="AF60" s="1">
        <f t="shared" si="1"/>
        <v>17.899999999999999</v>
      </c>
      <c r="AG60" s="1"/>
      <c r="AH60" s="1">
        <f t="shared" si="2"/>
        <v>1397.8646373626375</v>
      </c>
      <c r="AI60" s="1">
        <f t="shared" si="3"/>
        <v>1429.7198631284919</v>
      </c>
      <c r="AJ60" s="1"/>
      <c r="AK60" s="1">
        <f t="shared" si="7"/>
        <v>-0.5287174400971677</v>
      </c>
    </row>
    <row r="61" spans="1:37" ht="51" x14ac:dyDescent="0.2">
      <c r="A61" s="1">
        <v>59</v>
      </c>
      <c r="B61" s="3">
        <v>72</v>
      </c>
      <c r="C61" s="2" t="s">
        <v>249</v>
      </c>
      <c r="D61" s="68" t="s">
        <v>247</v>
      </c>
      <c r="E61" s="21">
        <v>241</v>
      </c>
      <c r="F61" s="21">
        <v>0</v>
      </c>
      <c r="G61" s="21">
        <v>0</v>
      </c>
      <c r="H61" s="21">
        <v>96.4</v>
      </c>
      <c r="I61" s="21">
        <v>1502</v>
      </c>
      <c r="J61" s="21">
        <v>0</v>
      </c>
      <c r="K61" s="21">
        <f t="shared" si="4"/>
        <v>0</v>
      </c>
      <c r="L61" s="21">
        <v>0</v>
      </c>
      <c r="M61" s="21">
        <v>0</v>
      </c>
      <c r="N61" s="21">
        <v>13.4</v>
      </c>
      <c r="O61" s="21">
        <v>14.8</v>
      </c>
      <c r="P61" s="19">
        <v>241</v>
      </c>
      <c r="Q61" s="19">
        <v>0</v>
      </c>
      <c r="R61" s="19">
        <v>0</v>
      </c>
      <c r="S61" s="61">
        <v>96.4</v>
      </c>
      <c r="T61" s="61">
        <v>1502</v>
      </c>
      <c r="U61" s="61">
        <v>0</v>
      </c>
      <c r="V61" s="19">
        <v>45.79</v>
      </c>
      <c r="W61" s="19">
        <v>0</v>
      </c>
      <c r="X61" s="19">
        <v>4</v>
      </c>
      <c r="Y61" s="19">
        <v>12.1</v>
      </c>
      <c r="Z61" s="19">
        <v>13.5</v>
      </c>
      <c r="AB61" s="1">
        <f t="shared" si="8"/>
        <v>25441.136400000003</v>
      </c>
      <c r="AC61" s="1">
        <f t="shared" si="6"/>
        <v>25573.549050000001</v>
      </c>
      <c r="AD61" s="1"/>
      <c r="AE61" s="1">
        <f t="shared" si="0"/>
        <v>14.100000000000001</v>
      </c>
      <c r="AF61" s="1">
        <f t="shared" si="1"/>
        <v>12.8</v>
      </c>
      <c r="AG61" s="1"/>
      <c r="AH61" s="1">
        <f t="shared" si="2"/>
        <v>1804.335914893617</v>
      </c>
      <c r="AI61" s="1">
        <f t="shared" si="3"/>
        <v>1997.9335195312501</v>
      </c>
      <c r="AJ61" s="1"/>
      <c r="AK61" s="1">
        <f t="shared" si="7"/>
        <v>-4.2279450674302934</v>
      </c>
    </row>
    <row r="62" spans="1:37" ht="51" x14ac:dyDescent="0.2">
      <c r="A62" s="1">
        <v>60</v>
      </c>
      <c r="B62" s="3">
        <v>73</v>
      </c>
      <c r="C62" s="2" t="s">
        <v>249</v>
      </c>
      <c r="D62" s="68" t="s">
        <v>247</v>
      </c>
      <c r="E62" s="21">
        <v>241</v>
      </c>
      <c r="F62" s="21">
        <v>0</v>
      </c>
      <c r="G62" s="21">
        <v>0</v>
      </c>
      <c r="H62" s="21">
        <v>96.4</v>
      </c>
      <c r="I62" s="21">
        <v>1502</v>
      </c>
      <c r="J62" s="21">
        <v>0</v>
      </c>
      <c r="K62" s="21">
        <f t="shared" si="4"/>
        <v>0</v>
      </c>
      <c r="L62" s="21">
        <v>0</v>
      </c>
      <c r="M62" s="21">
        <v>0</v>
      </c>
      <c r="N62" s="21">
        <v>13.4</v>
      </c>
      <c r="O62" s="21">
        <v>14.8</v>
      </c>
      <c r="P62" s="19">
        <v>241</v>
      </c>
      <c r="Q62" s="19">
        <v>0</v>
      </c>
      <c r="R62" s="19">
        <v>0</v>
      </c>
      <c r="S62" s="61">
        <v>96.4</v>
      </c>
      <c r="T62" s="61">
        <v>1502</v>
      </c>
      <c r="U62" s="61">
        <v>0</v>
      </c>
      <c r="V62" s="19">
        <v>45.79</v>
      </c>
      <c r="W62" s="19">
        <v>0</v>
      </c>
      <c r="X62" s="19">
        <v>4</v>
      </c>
      <c r="Y62" s="19">
        <v>13.6</v>
      </c>
      <c r="Z62" s="19">
        <v>15</v>
      </c>
      <c r="AB62" s="1">
        <f t="shared" si="8"/>
        <v>25441.136400000003</v>
      </c>
      <c r="AC62" s="1">
        <f t="shared" si="6"/>
        <v>25573.549050000001</v>
      </c>
      <c r="AD62" s="1"/>
      <c r="AE62" s="1">
        <f t="shared" si="0"/>
        <v>14.100000000000001</v>
      </c>
      <c r="AF62" s="1">
        <f t="shared" si="1"/>
        <v>14.3</v>
      </c>
      <c r="AG62" s="1"/>
      <c r="AH62" s="1">
        <f t="shared" si="2"/>
        <v>1804.335914893617</v>
      </c>
      <c r="AI62" s="1">
        <f t="shared" si="3"/>
        <v>1788.3600734265735</v>
      </c>
      <c r="AJ62" s="1"/>
      <c r="AK62" s="1">
        <f t="shared" si="7"/>
        <v>0.34889367693914475</v>
      </c>
    </row>
    <row r="63" spans="1:37" ht="51" x14ac:dyDescent="0.2">
      <c r="A63" s="1">
        <v>61</v>
      </c>
      <c r="B63" s="3">
        <v>94</v>
      </c>
      <c r="C63" s="2" t="s">
        <v>250</v>
      </c>
      <c r="D63" s="68" t="s">
        <v>247</v>
      </c>
      <c r="E63" s="21">
        <v>241</v>
      </c>
      <c r="F63" s="21">
        <v>0</v>
      </c>
      <c r="G63" s="21">
        <v>0</v>
      </c>
      <c r="H63" s="21">
        <v>96.4</v>
      </c>
      <c r="I63" s="21">
        <v>1502</v>
      </c>
      <c r="J63" s="21">
        <v>0</v>
      </c>
      <c r="K63" s="21">
        <f t="shared" si="4"/>
        <v>0</v>
      </c>
      <c r="L63" s="21">
        <v>0</v>
      </c>
      <c r="M63" s="21">
        <v>0</v>
      </c>
      <c r="N63" s="21">
        <v>17.5</v>
      </c>
      <c r="O63" s="21">
        <v>18.899999999999999</v>
      </c>
      <c r="P63" s="19">
        <v>241</v>
      </c>
      <c r="Q63" s="19">
        <v>0</v>
      </c>
      <c r="R63" s="19">
        <v>0</v>
      </c>
      <c r="S63" s="61">
        <v>96.4</v>
      </c>
      <c r="T63" s="61">
        <v>1502</v>
      </c>
      <c r="U63" s="61">
        <v>0</v>
      </c>
      <c r="V63" s="19">
        <v>18.797999999999998</v>
      </c>
      <c r="W63" s="19">
        <v>0</v>
      </c>
      <c r="X63" s="19">
        <v>4</v>
      </c>
      <c r="Y63" s="19">
        <v>14.5</v>
      </c>
      <c r="Z63" s="19">
        <v>15.7</v>
      </c>
      <c r="AB63" s="1">
        <f t="shared" si="8"/>
        <v>25441.136400000003</v>
      </c>
      <c r="AC63" s="1">
        <f t="shared" si="6"/>
        <v>25539.134250000003</v>
      </c>
      <c r="AD63" s="1"/>
      <c r="AE63" s="1">
        <f t="shared" si="0"/>
        <v>18.2</v>
      </c>
      <c r="AF63" s="1">
        <f t="shared" si="1"/>
        <v>15.1</v>
      </c>
      <c r="AG63" s="1"/>
      <c r="AH63" s="1">
        <f t="shared" si="2"/>
        <v>1397.8646373626375</v>
      </c>
      <c r="AI63" s="1">
        <f t="shared" si="3"/>
        <v>1691.3333940397354</v>
      </c>
      <c r="AJ63" s="1"/>
      <c r="AK63" s="1">
        <f t="shared" si="7"/>
        <v>-15.611701068044361</v>
      </c>
    </row>
    <row r="64" spans="1:37" ht="51" x14ac:dyDescent="0.2">
      <c r="A64" s="1">
        <v>62</v>
      </c>
      <c r="B64" s="3">
        <v>95</v>
      </c>
      <c r="C64" s="2" t="s">
        <v>250</v>
      </c>
      <c r="D64" s="68" t="s">
        <v>247</v>
      </c>
      <c r="E64" s="21">
        <v>241</v>
      </c>
      <c r="F64" s="21">
        <v>0</v>
      </c>
      <c r="G64" s="21">
        <v>0</v>
      </c>
      <c r="H64" s="21">
        <v>96.4</v>
      </c>
      <c r="I64" s="21">
        <v>1502</v>
      </c>
      <c r="J64" s="21">
        <v>0</v>
      </c>
      <c r="K64" s="21">
        <f t="shared" si="4"/>
        <v>0</v>
      </c>
      <c r="L64" s="21">
        <v>0</v>
      </c>
      <c r="M64" s="21">
        <v>0</v>
      </c>
      <c r="N64" s="21">
        <v>17.5</v>
      </c>
      <c r="O64" s="21">
        <v>18.899999999999999</v>
      </c>
      <c r="P64" s="19">
        <v>241</v>
      </c>
      <c r="Q64" s="19">
        <v>0</v>
      </c>
      <c r="R64" s="19">
        <v>0</v>
      </c>
      <c r="S64" s="61">
        <v>96.4</v>
      </c>
      <c r="T64" s="61">
        <v>1502</v>
      </c>
      <c r="U64" s="61">
        <v>0</v>
      </c>
      <c r="V64" s="19">
        <v>55.912000000000006</v>
      </c>
      <c r="W64" s="19">
        <v>0</v>
      </c>
      <c r="X64" s="19">
        <v>4</v>
      </c>
      <c r="Y64" s="19">
        <v>14.7</v>
      </c>
      <c r="Z64" s="19">
        <v>15.9</v>
      </c>
      <c r="AB64" s="1">
        <f t="shared" si="8"/>
        <v>25441.136400000003</v>
      </c>
      <c r="AC64" s="1">
        <f t="shared" si="6"/>
        <v>25586.454600000005</v>
      </c>
      <c r="AD64" s="1"/>
      <c r="AE64" s="1">
        <f t="shared" si="0"/>
        <v>18.2</v>
      </c>
      <c r="AF64" s="1">
        <f t="shared" si="1"/>
        <v>15.3</v>
      </c>
      <c r="AG64" s="1"/>
      <c r="AH64" s="1">
        <f t="shared" si="2"/>
        <v>1397.8646373626375</v>
      </c>
      <c r="AI64" s="1">
        <f t="shared" si="3"/>
        <v>1672.3172941176472</v>
      </c>
      <c r="AJ64" s="1"/>
      <c r="AK64" s="1">
        <f t="shared" si="7"/>
        <v>-4.9086538981794545</v>
      </c>
    </row>
    <row r="65" spans="1:37" ht="51" x14ac:dyDescent="0.2">
      <c r="A65" s="1">
        <v>63</v>
      </c>
      <c r="B65" s="3">
        <v>96</v>
      </c>
      <c r="C65" s="2" t="s">
        <v>250</v>
      </c>
      <c r="D65" s="68" t="s">
        <v>247</v>
      </c>
      <c r="E65" s="21">
        <v>241</v>
      </c>
      <c r="F65" s="21">
        <v>0</v>
      </c>
      <c r="G65" s="21">
        <v>0</v>
      </c>
      <c r="H65" s="21">
        <v>96.4</v>
      </c>
      <c r="I65" s="21">
        <v>1502</v>
      </c>
      <c r="J65" s="21">
        <v>0</v>
      </c>
      <c r="K65" s="21">
        <f t="shared" si="4"/>
        <v>0</v>
      </c>
      <c r="L65" s="21">
        <v>0</v>
      </c>
      <c r="M65" s="21">
        <v>0</v>
      </c>
      <c r="N65" s="21">
        <v>17.5</v>
      </c>
      <c r="O65" s="21">
        <v>18.899999999999999</v>
      </c>
      <c r="P65" s="19">
        <v>241</v>
      </c>
      <c r="Q65" s="19">
        <v>0</v>
      </c>
      <c r="R65" s="19">
        <v>0</v>
      </c>
      <c r="S65" s="61">
        <v>96.4</v>
      </c>
      <c r="T65" s="61">
        <v>1502</v>
      </c>
      <c r="U65" s="61">
        <v>0</v>
      </c>
      <c r="V65" s="19">
        <v>57.357999999999997</v>
      </c>
      <c r="W65" s="19">
        <v>0</v>
      </c>
      <c r="X65" s="19">
        <v>4</v>
      </c>
      <c r="Y65" s="19">
        <v>17.100000000000001</v>
      </c>
      <c r="Z65" s="19">
        <v>18.7</v>
      </c>
      <c r="AB65" s="1">
        <f t="shared" si="8"/>
        <v>25441.136400000003</v>
      </c>
      <c r="AC65" s="1">
        <f t="shared" si="6"/>
        <v>25588.298250000003</v>
      </c>
      <c r="AD65" s="1"/>
      <c r="AE65" s="1">
        <f t="shared" si="0"/>
        <v>18.2</v>
      </c>
      <c r="AF65" s="1">
        <f t="shared" si="1"/>
        <v>17.899999999999999</v>
      </c>
      <c r="AG65" s="1"/>
      <c r="AH65" s="1">
        <f t="shared" si="2"/>
        <v>1397.8646373626375</v>
      </c>
      <c r="AI65" s="1">
        <f t="shared" si="3"/>
        <v>1429.5138687150841</v>
      </c>
      <c r="AJ65" s="1"/>
      <c r="AK65" s="1">
        <f t="shared" si="7"/>
        <v>-0.55178408160058889</v>
      </c>
    </row>
    <row r="66" spans="1:37" ht="51" x14ac:dyDescent="0.2">
      <c r="A66" s="1">
        <v>64</v>
      </c>
      <c r="B66" s="3">
        <v>126</v>
      </c>
      <c r="C66" s="7" t="s">
        <v>251</v>
      </c>
      <c r="D66" s="68" t="s">
        <v>247</v>
      </c>
      <c r="E66" s="21">
        <v>362</v>
      </c>
      <c r="F66" s="21">
        <v>1060</v>
      </c>
      <c r="G66" s="21">
        <v>680</v>
      </c>
      <c r="H66" s="21">
        <v>72.400000000000006</v>
      </c>
      <c r="I66" s="21">
        <v>0</v>
      </c>
      <c r="J66" s="21">
        <v>90</v>
      </c>
      <c r="K66" s="21">
        <f t="shared" si="4"/>
        <v>0</v>
      </c>
      <c r="L66" s="21">
        <v>0</v>
      </c>
      <c r="M66" s="21">
        <v>0</v>
      </c>
      <c r="N66" s="21">
        <v>47.6</v>
      </c>
      <c r="O66" s="21">
        <v>50.6</v>
      </c>
      <c r="P66" s="19">
        <v>362</v>
      </c>
      <c r="Q66" s="19">
        <v>1060</v>
      </c>
      <c r="R66" s="19">
        <v>680</v>
      </c>
      <c r="S66" s="62">
        <v>72.400000000000006</v>
      </c>
      <c r="T66" s="62">
        <v>0</v>
      </c>
      <c r="U66" s="62">
        <v>90</v>
      </c>
      <c r="V66" s="19">
        <v>61.540000000000006</v>
      </c>
      <c r="W66" s="19">
        <v>0</v>
      </c>
      <c r="X66" s="19">
        <v>12</v>
      </c>
      <c r="Y66" s="19">
        <v>52</v>
      </c>
      <c r="Z66" s="19">
        <v>56</v>
      </c>
      <c r="AB66" s="1">
        <f t="shared" si="8"/>
        <v>2884.5884000000001</v>
      </c>
      <c r="AC66" s="1">
        <f t="shared" si="6"/>
        <v>3185.1430999999998</v>
      </c>
      <c r="AD66" s="1"/>
      <c r="AE66" s="1">
        <f t="shared" si="0"/>
        <v>49.1</v>
      </c>
      <c r="AF66" s="1">
        <f t="shared" si="1"/>
        <v>54</v>
      </c>
      <c r="AG66" s="1"/>
      <c r="AH66" s="1">
        <f t="shared" si="2"/>
        <v>58.749254582484724</v>
      </c>
      <c r="AI66" s="1">
        <f t="shared" si="3"/>
        <v>58.984131481481477</v>
      </c>
      <c r="AJ66" s="1"/>
      <c r="AK66" s="1">
        <f t="shared" si="7"/>
        <v>-3.8166541923424185E-3</v>
      </c>
    </row>
    <row r="67" spans="1:37" ht="34" x14ac:dyDescent="0.2">
      <c r="A67" s="1">
        <v>65</v>
      </c>
      <c r="B67" s="3">
        <v>138</v>
      </c>
      <c r="C67" s="63" t="s">
        <v>252</v>
      </c>
      <c r="D67" s="68" t="s">
        <v>247</v>
      </c>
      <c r="E67" s="21">
        <v>362</v>
      </c>
      <c r="F67" s="21">
        <v>1060</v>
      </c>
      <c r="G67" s="21">
        <v>680</v>
      </c>
      <c r="H67" s="21">
        <v>144.80000000000001</v>
      </c>
      <c r="I67" s="21">
        <v>0</v>
      </c>
      <c r="J67" s="21">
        <v>90</v>
      </c>
      <c r="K67" s="21">
        <f t="shared" si="4"/>
        <v>0</v>
      </c>
      <c r="L67" s="21">
        <v>0</v>
      </c>
      <c r="M67" s="21">
        <v>0</v>
      </c>
      <c r="N67" s="21">
        <v>47.8</v>
      </c>
      <c r="O67" s="21">
        <v>50.4</v>
      </c>
      <c r="P67" s="19">
        <v>362</v>
      </c>
      <c r="Q67" s="19">
        <v>1060</v>
      </c>
      <c r="R67" s="19">
        <v>680</v>
      </c>
      <c r="S67" s="62">
        <v>144.80000000000001</v>
      </c>
      <c r="T67" s="62">
        <v>0</v>
      </c>
      <c r="U67" s="62">
        <v>90</v>
      </c>
      <c r="V67" s="19">
        <v>61.540000000000006</v>
      </c>
      <c r="W67" s="19">
        <v>0</v>
      </c>
      <c r="X67" s="19">
        <v>12</v>
      </c>
      <c r="Y67" s="19">
        <v>51.8</v>
      </c>
      <c r="Z67" s="19">
        <v>56.2</v>
      </c>
      <c r="AB67" s="1">
        <f t="shared" si="8"/>
        <v>2884.6608000000001</v>
      </c>
      <c r="AC67" s="1">
        <f t="shared" si="6"/>
        <v>3185.2154999999998</v>
      </c>
      <c r="AD67" s="1"/>
      <c r="AE67" s="1">
        <f t="shared" ref="AE67:AE80" si="9">AVERAGE(N67:O67)</f>
        <v>49.099999999999994</v>
      </c>
      <c r="AF67" s="1">
        <f t="shared" ref="AF67:AF80" si="10">AVERAGE(Y67:Z67)</f>
        <v>54</v>
      </c>
      <c r="AG67" s="1"/>
      <c r="AH67" s="1">
        <f t="shared" ref="AH67:AH86" si="11">AB67/AE67</f>
        <v>58.750729124236258</v>
      </c>
      <c r="AI67" s="1">
        <f t="shared" ref="AI67:AI86" si="12">AC67/AF67</f>
        <v>58.985472222222221</v>
      </c>
      <c r="AJ67" s="1"/>
      <c r="AK67" s="1">
        <f t="shared" si="7"/>
        <v>-3.8144799802723815E-3</v>
      </c>
    </row>
    <row r="68" spans="1:37" ht="34" x14ac:dyDescent="0.2">
      <c r="A68" s="1">
        <v>66</v>
      </c>
      <c r="B68" s="3">
        <v>142</v>
      </c>
      <c r="C68" s="8" t="s">
        <v>253</v>
      </c>
      <c r="D68" s="68" t="s">
        <v>247</v>
      </c>
      <c r="E68" s="21">
        <v>241</v>
      </c>
      <c r="F68" s="21">
        <v>0</v>
      </c>
      <c r="G68" s="21">
        <v>0</v>
      </c>
      <c r="H68" s="21">
        <v>96.4</v>
      </c>
      <c r="I68" s="21">
        <v>1502</v>
      </c>
      <c r="J68" s="21">
        <v>0</v>
      </c>
      <c r="K68" s="21">
        <f t="shared" ref="K68:K101" si="13">0*E68</f>
        <v>0</v>
      </c>
      <c r="L68" s="21">
        <v>0</v>
      </c>
      <c r="M68" s="21">
        <v>0</v>
      </c>
      <c r="N68" s="21">
        <v>16.2</v>
      </c>
      <c r="O68" s="21">
        <v>18</v>
      </c>
      <c r="P68" s="19">
        <v>241</v>
      </c>
      <c r="Q68" s="19">
        <v>0</v>
      </c>
      <c r="R68" s="19">
        <v>0</v>
      </c>
      <c r="S68" s="61">
        <v>96.4</v>
      </c>
      <c r="T68" s="61">
        <v>1502</v>
      </c>
      <c r="U68" s="61">
        <v>0</v>
      </c>
      <c r="V68" s="19">
        <v>20.404666666666678</v>
      </c>
      <c r="W68" s="19">
        <v>0</v>
      </c>
      <c r="X68" s="19">
        <v>4</v>
      </c>
      <c r="Y68" s="19">
        <v>14.35</v>
      </c>
      <c r="Z68" s="19">
        <v>15.92</v>
      </c>
      <c r="AB68" s="1">
        <f t="shared" si="8"/>
        <v>25441.136400000003</v>
      </c>
      <c r="AC68" s="1">
        <f t="shared" ref="AC68:AC72" si="14">SUMPRODUCT($P$2:$X$2,P68:X68)+((0.1+0.477+0.477)*V68)</f>
        <v>25541.18275</v>
      </c>
      <c r="AD68" s="1"/>
      <c r="AE68" s="1">
        <f t="shared" si="9"/>
        <v>17.100000000000001</v>
      </c>
      <c r="AF68" s="1">
        <f t="shared" si="10"/>
        <v>15.135</v>
      </c>
      <c r="AG68" s="1"/>
      <c r="AH68" s="1">
        <f t="shared" si="11"/>
        <v>1487.785754385965</v>
      </c>
      <c r="AI68" s="1">
        <f t="shared" si="12"/>
        <v>1687.5574991740998</v>
      </c>
      <c r="AJ68" s="1"/>
      <c r="AK68" s="1">
        <f t="shared" ref="AK68:AK72" si="15">(AH68-AI68)/V68</f>
        <v>-9.7904929324076857</v>
      </c>
    </row>
    <row r="69" spans="1:37" ht="34" x14ac:dyDescent="0.2">
      <c r="A69" s="1">
        <v>67</v>
      </c>
      <c r="B69" s="3">
        <v>144</v>
      </c>
      <c r="C69" s="8" t="s">
        <v>253</v>
      </c>
      <c r="D69" s="68" t="s">
        <v>247</v>
      </c>
      <c r="E69" s="21">
        <v>241</v>
      </c>
      <c r="F69" s="21">
        <v>0</v>
      </c>
      <c r="G69" s="21">
        <v>0</v>
      </c>
      <c r="H69" s="21">
        <v>96.4</v>
      </c>
      <c r="I69" s="21">
        <v>1502</v>
      </c>
      <c r="J69" s="21">
        <v>0</v>
      </c>
      <c r="K69" s="21">
        <f t="shared" si="13"/>
        <v>0</v>
      </c>
      <c r="L69" s="21">
        <v>0</v>
      </c>
      <c r="M69" s="21">
        <v>0</v>
      </c>
      <c r="N69" s="21">
        <v>12.4</v>
      </c>
      <c r="O69" s="21">
        <v>13.7</v>
      </c>
      <c r="P69" s="19">
        <v>241</v>
      </c>
      <c r="Q69" s="19">
        <v>0</v>
      </c>
      <c r="R69" s="19">
        <v>0</v>
      </c>
      <c r="S69" s="61">
        <v>96.4</v>
      </c>
      <c r="T69" s="61">
        <v>1502</v>
      </c>
      <c r="U69" s="61">
        <v>0</v>
      </c>
      <c r="V69" s="19">
        <v>52.216666666666669</v>
      </c>
      <c r="W69" s="19">
        <v>0</v>
      </c>
      <c r="X69" s="19">
        <v>4</v>
      </c>
      <c r="Y69" s="19">
        <v>14.7</v>
      </c>
      <c r="Z69" s="19">
        <v>16.3</v>
      </c>
      <c r="AB69" s="1">
        <f t="shared" si="8"/>
        <v>25441.136400000003</v>
      </c>
      <c r="AC69" s="1">
        <f t="shared" si="14"/>
        <v>25581.743050000005</v>
      </c>
      <c r="AD69" s="1"/>
      <c r="AE69" s="1">
        <f t="shared" si="9"/>
        <v>13.05</v>
      </c>
      <c r="AF69" s="1">
        <f t="shared" si="10"/>
        <v>15.5</v>
      </c>
      <c r="AG69" s="1"/>
      <c r="AH69" s="1">
        <f t="shared" si="11"/>
        <v>1949.5123678160921</v>
      </c>
      <c r="AI69" s="1">
        <f t="shared" si="12"/>
        <v>1650.4350354838712</v>
      </c>
      <c r="AJ69" s="1"/>
      <c r="AK69" s="1">
        <f t="shared" si="15"/>
        <v>5.7276220682838357</v>
      </c>
    </row>
    <row r="70" spans="1:37" ht="34" x14ac:dyDescent="0.2">
      <c r="A70" s="1">
        <v>68</v>
      </c>
      <c r="B70" s="3">
        <v>146</v>
      </c>
      <c r="C70" s="8" t="s">
        <v>253</v>
      </c>
      <c r="D70" s="68" t="s">
        <v>247</v>
      </c>
      <c r="E70" s="21">
        <v>241</v>
      </c>
      <c r="F70" s="21">
        <v>0</v>
      </c>
      <c r="G70" s="21">
        <v>0</v>
      </c>
      <c r="H70" s="21">
        <v>96.4</v>
      </c>
      <c r="I70" s="21">
        <v>1502</v>
      </c>
      <c r="J70" s="21">
        <v>0</v>
      </c>
      <c r="K70" s="21">
        <f t="shared" si="13"/>
        <v>0</v>
      </c>
      <c r="L70" s="21">
        <v>0</v>
      </c>
      <c r="M70" s="21">
        <v>0</v>
      </c>
      <c r="N70" s="21">
        <v>11.5</v>
      </c>
      <c r="O70" s="21">
        <v>12.7</v>
      </c>
      <c r="P70" s="19">
        <v>241</v>
      </c>
      <c r="Q70" s="19">
        <v>0</v>
      </c>
      <c r="R70" s="19">
        <v>0</v>
      </c>
      <c r="S70" s="61">
        <v>96.4</v>
      </c>
      <c r="T70" s="61">
        <v>1502</v>
      </c>
      <c r="U70" s="61">
        <v>0</v>
      </c>
      <c r="V70" s="19">
        <v>55.510333333333342</v>
      </c>
      <c r="W70" s="19">
        <v>0</v>
      </c>
      <c r="X70" s="19">
        <v>4</v>
      </c>
      <c r="Y70" s="19">
        <v>12.2</v>
      </c>
      <c r="Z70" s="19">
        <v>13.5</v>
      </c>
      <c r="AB70" s="1">
        <f t="shared" si="8"/>
        <v>25441.136400000003</v>
      </c>
      <c r="AC70" s="1">
        <f t="shared" si="14"/>
        <v>25585.942475000003</v>
      </c>
      <c r="AD70" s="1"/>
      <c r="AE70" s="1">
        <f t="shared" si="9"/>
        <v>12.1</v>
      </c>
      <c r="AF70" s="1">
        <f t="shared" si="10"/>
        <v>12.85</v>
      </c>
      <c r="AG70" s="1"/>
      <c r="AH70" s="1">
        <f t="shared" si="11"/>
        <v>2102.5732561983473</v>
      </c>
      <c r="AI70" s="1">
        <f t="shared" si="12"/>
        <v>1991.1239280155646</v>
      </c>
      <c r="AJ70" s="1"/>
      <c r="AK70" s="1">
        <f t="shared" si="15"/>
        <v>2.007722193155316</v>
      </c>
    </row>
    <row r="71" spans="1:37" ht="34" x14ac:dyDescent="0.2">
      <c r="A71" s="1">
        <v>69</v>
      </c>
      <c r="B71" s="3">
        <v>148</v>
      </c>
      <c r="C71" s="8" t="s">
        <v>253</v>
      </c>
      <c r="D71" s="68" t="s">
        <v>247</v>
      </c>
      <c r="E71" s="21">
        <v>241</v>
      </c>
      <c r="F71" s="21">
        <v>0</v>
      </c>
      <c r="G71" s="21">
        <v>0</v>
      </c>
      <c r="H71" s="21">
        <v>96.4</v>
      </c>
      <c r="I71" s="21">
        <v>1502</v>
      </c>
      <c r="J71" s="21">
        <v>0</v>
      </c>
      <c r="K71" s="21">
        <f t="shared" si="13"/>
        <v>0</v>
      </c>
      <c r="L71" s="21">
        <v>0</v>
      </c>
      <c r="M71" s="21">
        <v>0</v>
      </c>
      <c r="N71" s="21">
        <v>9.8000000000000007</v>
      </c>
      <c r="O71" s="21">
        <v>10.9</v>
      </c>
      <c r="P71" s="19">
        <v>241</v>
      </c>
      <c r="Q71" s="19">
        <v>0</v>
      </c>
      <c r="R71" s="19">
        <v>0</v>
      </c>
      <c r="S71" s="61">
        <v>96.4</v>
      </c>
      <c r="T71" s="61">
        <v>1502</v>
      </c>
      <c r="U71" s="61">
        <v>0</v>
      </c>
      <c r="V71" s="19">
        <v>56.795666666666669</v>
      </c>
      <c r="W71" s="19">
        <v>0</v>
      </c>
      <c r="X71" s="19">
        <v>4</v>
      </c>
      <c r="Y71" s="19">
        <v>12.1</v>
      </c>
      <c r="Z71" s="19">
        <v>13.4</v>
      </c>
      <c r="AB71" s="1">
        <f t="shared" si="8"/>
        <v>25441.136400000003</v>
      </c>
      <c r="AC71" s="1">
        <f t="shared" si="14"/>
        <v>25587.581275000004</v>
      </c>
      <c r="AD71" s="1"/>
      <c r="AE71" s="1">
        <f t="shared" si="9"/>
        <v>10.350000000000001</v>
      </c>
      <c r="AF71" s="1">
        <f t="shared" si="10"/>
        <v>12.75</v>
      </c>
      <c r="AG71" s="1"/>
      <c r="AH71" s="1">
        <f t="shared" si="11"/>
        <v>2458.0808115942027</v>
      </c>
      <c r="AI71" s="1">
        <f t="shared" si="12"/>
        <v>2006.8691196078435</v>
      </c>
      <c r="AJ71" s="1"/>
      <c r="AK71" s="1">
        <f t="shared" si="15"/>
        <v>7.9444739091543237</v>
      </c>
    </row>
    <row r="72" spans="1:37" ht="34" x14ac:dyDescent="0.2">
      <c r="A72" s="1">
        <v>70</v>
      </c>
      <c r="B72" s="3">
        <v>150</v>
      </c>
      <c r="C72" s="8" t="s">
        <v>253</v>
      </c>
      <c r="D72" s="68" t="s">
        <v>247</v>
      </c>
      <c r="E72" s="21">
        <v>241</v>
      </c>
      <c r="F72" s="21">
        <v>0</v>
      </c>
      <c r="G72" s="21">
        <v>0</v>
      </c>
      <c r="H72" s="21">
        <v>96.4</v>
      </c>
      <c r="I72" s="21">
        <v>1502</v>
      </c>
      <c r="J72" s="21">
        <v>0</v>
      </c>
      <c r="K72" s="21">
        <f t="shared" si="13"/>
        <v>0</v>
      </c>
      <c r="L72" s="21">
        <v>0</v>
      </c>
      <c r="M72" s="21">
        <v>0</v>
      </c>
      <c r="N72" s="21">
        <v>13.4</v>
      </c>
      <c r="O72" s="21">
        <v>14.8</v>
      </c>
      <c r="P72" s="19">
        <v>241</v>
      </c>
      <c r="Q72" s="19">
        <v>0</v>
      </c>
      <c r="R72" s="19">
        <v>0</v>
      </c>
      <c r="S72" s="61">
        <v>96.4</v>
      </c>
      <c r="T72" s="61">
        <v>1502</v>
      </c>
      <c r="U72" s="61">
        <v>0</v>
      </c>
      <c r="V72" s="19">
        <v>56.929555555555552</v>
      </c>
      <c r="W72" s="19">
        <v>0</v>
      </c>
      <c r="X72" s="19">
        <v>4</v>
      </c>
      <c r="Y72" s="19">
        <v>12</v>
      </c>
      <c r="Z72" s="19">
        <v>13.3</v>
      </c>
      <c r="AB72" s="1">
        <f t="shared" si="8"/>
        <v>25441.136400000003</v>
      </c>
      <c r="AC72" s="1">
        <f t="shared" si="14"/>
        <v>25587.751983333335</v>
      </c>
      <c r="AD72" s="1"/>
      <c r="AE72" s="1">
        <f t="shared" si="9"/>
        <v>14.100000000000001</v>
      </c>
      <c r="AF72" s="1">
        <f t="shared" si="10"/>
        <v>12.65</v>
      </c>
      <c r="AG72" s="1"/>
      <c r="AH72" s="1">
        <f t="shared" si="11"/>
        <v>1804.335914893617</v>
      </c>
      <c r="AI72" s="1">
        <f t="shared" si="12"/>
        <v>2022.7471923583664</v>
      </c>
      <c r="AJ72" s="1"/>
      <c r="AK72" s="1">
        <f t="shared" si="15"/>
        <v>-3.8365182256097108</v>
      </c>
    </row>
    <row r="73" spans="1:37" ht="51" x14ac:dyDescent="0.2">
      <c r="A73" s="1">
        <v>71</v>
      </c>
      <c r="B73" s="4">
        <v>4</v>
      </c>
      <c r="C73" s="2" t="s">
        <v>254</v>
      </c>
      <c r="D73" s="68" t="s">
        <v>255</v>
      </c>
      <c r="E73" s="21">
        <v>419</v>
      </c>
      <c r="F73" s="21">
        <v>971.74563591022445</v>
      </c>
      <c r="G73" s="21">
        <v>827.55112219451371</v>
      </c>
      <c r="H73" s="21">
        <v>187.03491271820448</v>
      </c>
      <c r="I73" s="21" t="s">
        <v>1</v>
      </c>
      <c r="J73" s="21" t="s">
        <v>1</v>
      </c>
      <c r="K73" s="21">
        <f t="shared" si="13"/>
        <v>0</v>
      </c>
      <c r="L73" s="21" t="s">
        <v>1</v>
      </c>
      <c r="M73" s="21">
        <v>0</v>
      </c>
      <c r="N73" s="21">
        <v>38.799999999999997</v>
      </c>
      <c r="O73" s="21">
        <v>48</v>
      </c>
      <c r="P73" s="19">
        <v>419</v>
      </c>
      <c r="Q73" s="64">
        <v>971.74563591022445</v>
      </c>
      <c r="R73" s="64">
        <v>827.55112219451371</v>
      </c>
      <c r="S73" s="30">
        <v>187.03491271820448</v>
      </c>
      <c r="T73" s="30" t="s">
        <v>1</v>
      </c>
      <c r="U73" s="61" t="s">
        <v>1</v>
      </c>
      <c r="V73" s="19">
        <v>0.37709999999999999</v>
      </c>
      <c r="W73" s="19" t="s">
        <v>1</v>
      </c>
      <c r="X73" s="19" t="s">
        <v>1</v>
      </c>
      <c r="Y73" s="19">
        <v>46.5</v>
      </c>
      <c r="Z73" s="19">
        <v>52.4</v>
      </c>
      <c r="AB73" s="1">
        <f t="shared" ref="AB73:AB80" si="16">SUMPRODUCT($E$2:$M$2,E73:M73)+((0.1+0.477+0.477)*M73)</f>
        <v>405.56796758104736</v>
      </c>
      <c r="AC73" s="1">
        <f t="shared" ref="AC73:AC80" si="17">SUMPRODUCT($P$2:$X$2,P73:X73)+((0.1+0.477+0.477)*V73)</f>
        <v>406.04877008104734</v>
      </c>
      <c r="AD73" s="1"/>
      <c r="AE73" s="1">
        <f t="shared" si="9"/>
        <v>43.4</v>
      </c>
      <c r="AF73" s="1">
        <f t="shared" si="10"/>
        <v>49.45</v>
      </c>
      <c r="AG73" s="1"/>
      <c r="AH73" s="1">
        <f t="shared" si="11"/>
        <v>9.3448840456462534</v>
      </c>
      <c r="AI73" s="1">
        <f t="shared" si="12"/>
        <v>8.2112996983022715</v>
      </c>
      <c r="AJ73" s="1"/>
      <c r="AK73" s="1">
        <f t="shared" ref="AK73:AK80" si="18">(AH73-AI73)/V73</f>
        <v>3.0060576699654784</v>
      </c>
    </row>
    <row r="74" spans="1:37" ht="48" x14ac:dyDescent="0.2">
      <c r="A74" s="1">
        <v>72</v>
      </c>
      <c r="B74" s="4">
        <v>35</v>
      </c>
      <c r="C74" s="6" t="s">
        <v>256</v>
      </c>
      <c r="D74" s="68" t="s">
        <v>255</v>
      </c>
      <c r="E74" s="21">
        <v>2.2835555555555556</v>
      </c>
      <c r="F74" s="21">
        <v>1.5577743324720068</v>
      </c>
      <c r="G74" s="21">
        <v>12.710022394487513</v>
      </c>
      <c r="H74" s="21">
        <v>1.0047644444444443</v>
      </c>
      <c r="I74" s="21" t="s">
        <v>1</v>
      </c>
      <c r="J74" s="21" t="s">
        <v>1</v>
      </c>
      <c r="K74" s="21">
        <f t="shared" si="13"/>
        <v>0</v>
      </c>
      <c r="L74" s="21" t="s">
        <v>1</v>
      </c>
      <c r="M74" s="21">
        <v>0</v>
      </c>
      <c r="N74" s="21">
        <v>22.1</v>
      </c>
      <c r="O74" s="21">
        <v>22.1</v>
      </c>
      <c r="P74" s="64">
        <v>2.2835555555555556</v>
      </c>
      <c r="Q74" s="30">
        <v>1.5577743324720068</v>
      </c>
      <c r="R74" s="30">
        <v>12.710022394487513</v>
      </c>
      <c r="S74" s="19">
        <v>1.0047644444444443</v>
      </c>
      <c r="T74" s="30" t="s">
        <v>1</v>
      </c>
      <c r="U74" s="61" t="s">
        <v>1</v>
      </c>
      <c r="V74" s="19">
        <v>7.9924444444444444E-3</v>
      </c>
      <c r="W74" s="19" t="s">
        <v>1</v>
      </c>
      <c r="X74" s="19" t="s">
        <v>1</v>
      </c>
      <c r="Y74" s="19">
        <v>17</v>
      </c>
      <c r="Z74" s="19">
        <v>17</v>
      </c>
      <c r="AB74" s="1">
        <f t="shared" si="16"/>
        <v>2.2244443923514212</v>
      </c>
      <c r="AC74" s="1">
        <f t="shared" si="17"/>
        <v>2.2346347590180882</v>
      </c>
      <c r="AD74" s="1"/>
      <c r="AE74" s="1">
        <f t="shared" si="9"/>
        <v>22.1</v>
      </c>
      <c r="AF74" s="1">
        <f t="shared" si="10"/>
        <v>17</v>
      </c>
      <c r="AG74" s="1"/>
      <c r="AH74" s="1">
        <f t="shared" si="11"/>
        <v>0.10065359241409146</v>
      </c>
      <c r="AI74" s="1">
        <f t="shared" si="12"/>
        <v>0.13144910347165226</v>
      </c>
      <c r="AJ74" s="1"/>
      <c r="AK74" s="1">
        <f t="shared" si="18"/>
        <v>-3.8530779002119671</v>
      </c>
    </row>
    <row r="75" spans="1:37" ht="48" x14ac:dyDescent="0.2">
      <c r="A75" s="1">
        <v>73</v>
      </c>
      <c r="B75" s="4">
        <v>36</v>
      </c>
      <c r="C75" s="6" t="s">
        <v>256</v>
      </c>
      <c r="D75" s="68" t="s">
        <v>255</v>
      </c>
      <c r="E75" s="21">
        <v>2.2835555555555556</v>
      </c>
      <c r="F75" s="21">
        <v>1.5577743324720068</v>
      </c>
      <c r="G75" s="21">
        <v>12.710022394487513</v>
      </c>
      <c r="H75" s="21">
        <v>1.0047644444444443</v>
      </c>
      <c r="I75" s="21" t="s">
        <v>1</v>
      </c>
      <c r="J75" s="21" t="s">
        <v>1</v>
      </c>
      <c r="K75" s="21">
        <f t="shared" si="13"/>
        <v>0</v>
      </c>
      <c r="L75" s="21" t="s">
        <v>1</v>
      </c>
      <c r="M75" s="21">
        <v>0</v>
      </c>
      <c r="N75" s="21">
        <v>22.1</v>
      </c>
      <c r="O75" s="21">
        <v>22.1</v>
      </c>
      <c r="P75" s="64">
        <v>2.2835555555555556</v>
      </c>
      <c r="Q75" s="30">
        <v>1.5577743324720068</v>
      </c>
      <c r="R75" s="30">
        <v>12.710022394487513</v>
      </c>
      <c r="S75" s="19">
        <v>1.0047644444444443</v>
      </c>
      <c r="T75" s="30" t="s">
        <v>1</v>
      </c>
      <c r="U75" s="61" t="s">
        <v>1</v>
      </c>
      <c r="V75" s="19">
        <v>2.1237066666666665E-2</v>
      </c>
      <c r="W75" s="19" t="s">
        <v>1</v>
      </c>
      <c r="X75" s="19" t="s">
        <v>1</v>
      </c>
      <c r="Y75" s="19">
        <v>15</v>
      </c>
      <c r="Z75" s="19">
        <v>15</v>
      </c>
      <c r="AB75" s="1">
        <f t="shared" si="16"/>
        <v>2.2244443923514212</v>
      </c>
      <c r="AC75" s="1">
        <f t="shared" si="17"/>
        <v>2.2515216523514212</v>
      </c>
      <c r="AD75" s="1"/>
      <c r="AE75" s="1">
        <f t="shared" si="9"/>
        <v>22.1</v>
      </c>
      <c r="AF75" s="1">
        <f t="shared" si="10"/>
        <v>15</v>
      </c>
      <c r="AG75" s="1"/>
      <c r="AH75" s="1">
        <f t="shared" si="11"/>
        <v>0.10065359241409146</v>
      </c>
      <c r="AI75" s="1">
        <f t="shared" si="12"/>
        <v>0.15010144349009474</v>
      </c>
      <c r="AJ75" s="1"/>
      <c r="AK75" s="1">
        <f t="shared" si="18"/>
        <v>-2.3283748105201263</v>
      </c>
    </row>
    <row r="76" spans="1:37" ht="48" x14ac:dyDescent="0.2">
      <c r="A76" s="1">
        <v>74</v>
      </c>
      <c r="B76" s="4">
        <v>37</v>
      </c>
      <c r="C76" s="6" t="s">
        <v>256</v>
      </c>
      <c r="D76" s="68" t="s">
        <v>255</v>
      </c>
      <c r="E76" s="21">
        <v>2.2835555555555556</v>
      </c>
      <c r="F76" s="21">
        <v>1.5577743324720068</v>
      </c>
      <c r="G76" s="21">
        <v>12.710022394487513</v>
      </c>
      <c r="H76" s="21">
        <v>0.98192888888888885</v>
      </c>
      <c r="I76" s="21" t="s">
        <v>1</v>
      </c>
      <c r="J76" s="21" t="s">
        <v>1</v>
      </c>
      <c r="K76" s="21">
        <f t="shared" si="13"/>
        <v>0</v>
      </c>
      <c r="L76" s="21" t="s">
        <v>1</v>
      </c>
      <c r="M76" s="21">
        <v>0</v>
      </c>
      <c r="N76" s="21">
        <v>22.1</v>
      </c>
      <c r="O76" s="21">
        <v>22.1</v>
      </c>
      <c r="P76" s="64">
        <v>2.2835555555555556</v>
      </c>
      <c r="Q76" s="30">
        <v>1.5577743324720068</v>
      </c>
      <c r="R76" s="30">
        <v>12.710022394487513</v>
      </c>
      <c r="S76" s="19">
        <v>0.98192888888888885</v>
      </c>
      <c r="T76" s="30" t="s">
        <v>1</v>
      </c>
      <c r="U76" s="61" t="s">
        <v>1</v>
      </c>
      <c r="V76" s="19">
        <v>6.3939555555555553E-3</v>
      </c>
      <c r="W76" s="19" t="s">
        <v>1</v>
      </c>
      <c r="X76" s="19" t="s">
        <v>1</v>
      </c>
      <c r="Y76" s="19">
        <v>28.730000000000004</v>
      </c>
      <c r="Z76" s="19">
        <v>28.730000000000004</v>
      </c>
      <c r="AB76" s="1">
        <f t="shared" si="16"/>
        <v>2.2244215567958654</v>
      </c>
      <c r="AC76" s="1">
        <f t="shared" si="17"/>
        <v>2.2325738501291985</v>
      </c>
      <c r="AD76" s="1"/>
      <c r="AE76" s="1">
        <f t="shared" si="9"/>
        <v>22.1</v>
      </c>
      <c r="AF76" s="1">
        <f t="shared" si="10"/>
        <v>28.730000000000004</v>
      </c>
      <c r="AG76" s="1"/>
      <c r="AH76" s="1">
        <f t="shared" si="11"/>
        <v>0.10065255913103463</v>
      </c>
      <c r="AI76" s="1">
        <f t="shared" si="12"/>
        <v>7.7708800909474351E-2</v>
      </c>
      <c r="AJ76" s="1"/>
      <c r="AK76" s="1">
        <f t="shared" si="18"/>
        <v>3.5883512204937045</v>
      </c>
    </row>
    <row r="77" spans="1:37" ht="48" x14ac:dyDescent="0.2">
      <c r="A77" s="1">
        <v>75</v>
      </c>
      <c r="B77" s="4">
        <v>38</v>
      </c>
      <c r="C77" s="6" t="s">
        <v>256</v>
      </c>
      <c r="D77" s="68" t="s">
        <v>255</v>
      </c>
      <c r="E77" s="21">
        <v>2.2835555555555556</v>
      </c>
      <c r="F77" s="21">
        <v>1.5577743324720068</v>
      </c>
      <c r="G77" s="21">
        <v>12.710022394487513</v>
      </c>
      <c r="H77" s="21">
        <v>1.0047644444444443</v>
      </c>
      <c r="I77" s="21" t="s">
        <v>1</v>
      </c>
      <c r="J77" s="21" t="s">
        <v>1</v>
      </c>
      <c r="K77" s="21">
        <f t="shared" si="13"/>
        <v>0</v>
      </c>
      <c r="L77" s="21" t="s">
        <v>1</v>
      </c>
      <c r="M77" s="21">
        <v>0</v>
      </c>
      <c r="N77" s="21">
        <v>22.1</v>
      </c>
      <c r="O77" s="21">
        <v>22.1</v>
      </c>
      <c r="P77" s="64">
        <v>2.2835555555555556</v>
      </c>
      <c r="Q77" s="30">
        <v>1.5577743324720068</v>
      </c>
      <c r="R77" s="30">
        <v>12.710022394487513</v>
      </c>
      <c r="S77" s="19">
        <v>1.0047644444444443</v>
      </c>
      <c r="T77" s="30" t="s">
        <v>1</v>
      </c>
      <c r="U77" s="61" t="s">
        <v>1</v>
      </c>
      <c r="V77" s="19">
        <v>1.23312E-2</v>
      </c>
      <c r="W77" s="19" t="s">
        <v>1</v>
      </c>
      <c r="X77" s="19" t="s">
        <v>1</v>
      </c>
      <c r="Y77" s="19">
        <v>28.6</v>
      </c>
      <c r="Z77" s="19">
        <v>28.6</v>
      </c>
      <c r="AB77" s="1">
        <f t="shared" si="16"/>
        <v>2.2244443923514212</v>
      </c>
      <c r="AC77" s="1">
        <f t="shared" si="17"/>
        <v>2.2401666723514211</v>
      </c>
      <c r="AD77" s="1"/>
      <c r="AE77" s="1">
        <f t="shared" si="9"/>
        <v>22.1</v>
      </c>
      <c r="AF77" s="1">
        <f t="shared" si="10"/>
        <v>28.6</v>
      </c>
      <c r="AG77" s="1"/>
      <c r="AH77" s="1">
        <f t="shared" si="11"/>
        <v>0.10065359241409146</v>
      </c>
      <c r="AI77" s="1">
        <f t="shared" si="12"/>
        <v>7.8327506026273461E-2</v>
      </c>
      <c r="AJ77" s="1"/>
      <c r="AK77" s="1">
        <f t="shared" si="18"/>
        <v>1.8105363944967232</v>
      </c>
    </row>
    <row r="78" spans="1:37" ht="48" x14ac:dyDescent="0.2">
      <c r="A78" s="1">
        <v>76</v>
      </c>
      <c r="B78" s="4">
        <v>39</v>
      </c>
      <c r="C78" s="6" t="s">
        <v>256</v>
      </c>
      <c r="D78" s="68" t="s">
        <v>255</v>
      </c>
      <c r="E78" s="21">
        <v>2.2835555555555556</v>
      </c>
      <c r="F78" s="21">
        <v>1.5577743324720068</v>
      </c>
      <c r="G78" s="21">
        <v>12.710022394487513</v>
      </c>
      <c r="H78" s="21">
        <v>1.0276000000000001</v>
      </c>
      <c r="I78" s="21" t="s">
        <v>1</v>
      </c>
      <c r="J78" s="21" t="s">
        <v>1</v>
      </c>
      <c r="K78" s="21">
        <f t="shared" si="13"/>
        <v>0</v>
      </c>
      <c r="L78" s="21" t="s">
        <v>1</v>
      </c>
      <c r="M78" s="21">
        <v>0</v>
      </c>
      <c r="N78" s="21">
        <v>22.1</v>
      </c>
      <c r="O78" s="21">
        <v>22.1</v>
      </c>
      <c r="P78" s="64">
        <v>2.2835555555555556</v>
      </c>
      <c r="Q78" s="30">
        <v>1.5577743324720068</v>
      </c>
      <c r="R78" s="30">
        <v>12.710022394487513</v>
      </c>
      <c r="S78" s="19">
        <v>1.0276000000000001</v>
      </c>
      <c r="T78" s="30" t="s">
        <v>1</v>
      </c>
      <c r="U78" s="61" t="s">
        <v>1</v>
      </c>
      <c r="V78" s="19">
        <v>2.9686222222222221E-2</v>
      </c>
      <c r="W78" s="19" t="s">
        <v>1</v>
      </c>
      <c r="X78" s="19" t="s">
        <v>1</v>
      </c>
      <c r="Y78" s="19">
        <v>26.5</v>
      </c>
      <c r="Z78" s="19">
        <v>26.5</v>
      </c>
      <c r="AB78" s="1">
        <f t="shared" si="16"/>
        <v>2.2244672279069766</v>
      </c>
      <c r="AC78" s="1">
        <f t="shared" si="17"/>
        <v>2.2623171612403099</v>
      </c>
      <c r="AD78" s="1"/>
      <c r="AE78" s="1">
        <f t="shared" si="9"/>
        <v>22.1</v>
      </c>
      <c r="AF78" s="1">
        <f t="shared" si="10"/>
        <v>26.5</v>
      </c>
      <c r="AG78" s="1"/>
      <c r="AH78" s="1">
        <f t="shared" si="11"/>
        <v>0.10065462569714825</v>
      </c>
      <c r="AI78" s="1">
        <f t="shared" si="12"/>
        <v>8.5370458914728678E-2</v>
      </c>
      <c r="AJ78" s="1"/>
      <c r="AK78" s="1">
        <f t="shared" si="18"/>
        <v>0.51485725155618833</v>
      </c>
    </row>
    <row r="79" spans="1:37" ht="51" x14ac:dyDescent="0.2">
      <c r="A79" s="1">
        <v>77</v>
      </c>
      <c r="B79" s="4">
        <v>84</v>
      </c>
      <c r="C79" s="2" t="s">
        <v>257</v>
      </c>
      <c r="D79" s="68" t="s">
        <v>255</v>
      </c>
      <c r="E79" s="21">
        <v>336</v>
      </c>
      <c r="F79" s="21">
        <v>1030</v>
      </c>
      <c r="G79" s="21">
        <v>770</v>
      </c>
      <c r="H79" s="21">
        <v>163</v>
      </c>
      <c r="I79" s="21" t="s">
        <v>1</v>
      </c>
      <c r="J79" s="21" t="s">
        <v>1</v>
      </c>
      <c r="K79" s="21">
        <f t="shared" si="13"/>
        <v>0</v>
      </c>
      <c r="L79" s="21" t="s">
        <v>1</v>
      </c>
      <c r="M79" s="21">
        <v>0</v>
      </c>
      <c r="N79" s="21">
        <v>28.3</v>
      </c>
      <c r="O79" s="21">
        <v>28.3</v>
      </c>
      <c r="P79" s="19">
        <v>336</v>
      </c>
      <c r="Q79" s="19">
        <v>1030</v>
      </c>
      <c r="R79" s="19">
        <v>770</v>
      </c>
      <c r="S79" s="30">
        <v>163</v>
      </c>
      <c r="T79" s="30" t="s">
        <v>1</v>
      </c>
      <c r="U79" s="61" t="s">
        <v>1</v>
      </c>
      <c r="V79" s="19">
        <v>1.4784000000000002</v>
      </c>
      <c r="W79" s="19" t="s">
        <v>1</v>
      </c>
      <c r="X79" s="19" t="s">
        <v>1</v>
      </c>
      <c r="Y79" s="19">
        <v>30.3</v>
      </c>
      <c r="Z79" s="19">
        <v>30.3</v>
      </c>
      <c r="AB79" s="1">
        <f t="shared" si="16"/>
        <v>326.92099999999994</v>
      </c>
      <c r="AC79" s="1">
        <f t="shared" si="17"/>
        <v>328.80595999999991</v>
      </c>
      <c r="AD79" s="1"/>
      <c r="AE79" s="1">
        <f t="shared" si="9"/>
        <v>28.3</v>
      </c>
      <c r="AF79" s="1">
        <f t="shared" si="10"/>
        <v>30.3</v>
      </c>
      <c r="AG79" s="1"/>
      <c r="AH79" s="1">
        <f t="shared" si="11"/>
        <v>11.551978798586569</v>
      </c>
      <c r="AI79" s="1">
        <f t="shared" si="12"/>
        <v>10.851681848184816</v>
      </c>
      <c r="AJ79" s="1"/>
      <c r="AK79" s="1">
        <f t="shared" si="18"/>
        <v>0.47368570779339386</v>
      </c>
    </row>
    <row r="80" spans="1:37" ht="51" x14ac:dyDescent="0.2">
      <c r="A80" s="1">
        <v>78</v>
      </c>
      <c r="B80" s="4">
        <v>85</v>
      </c>
      <c r="C80" s="2" t="s">
        <v>257</v>
      </c>
      <c r="D80" s="68" t="s">
        <v>255</v>
      </c>
      <c r="E80" s="21">
        <v>336</v>
      </c>
      <c r="F80" s="21">
        <v>1030</v>
      </c>
      <c r="G80" s="21">
        <v>770</v>
      </c>
      <c r="H80" s="21">
        <v>163</v>
      </c>
      <c r="I80" s="21" t="s">
        <v>1</v>
      </c>
      <c r="J80" s="21" t="s">
        <v>1</v>
      </c>
      <c r="K80" s="21">
        <f t="shared" si="13"/>
        <v>0</v>
      </c>
      <c r="L80" s="21" t="s">
        <v>1</v>
      </c>
      <c r="M80" s="21">
        <v>0</v>
      </c>
      <c r="N80" s="21">
        <v>28.3</v>
      </c>
      <c r="O80" s="21">
        <v>28.3</v>
      </c>
      <c r="P80" s="19">
        <v>336</v>
      </c>
      <c r="Q80" s="19">
        <v>1030</v>
      </c>
      <c r="R80" s="19">
        <v>770</v>
      </c>
      <c r="S80" s="30">
        <v>163</v>
      </c>
      <c r="T80" s="30" t="s">
        <v>1</v>
      </c>
      <c r="U80" s="61" t="s">
        <v>1</v>
      </c>
      <c r="V80" s="19">
        <v>5.6783999999999999</v>
      </c>
      <c r="W80" s="19" t="s">
        <v>1</v>
      </c>
      <c r="X80" s="19" t="s">
        <v>1</v>
      </c>
      <c r="Y80" s="19">
        <v>33.200000000000003</v>
      </c>
      <c r="Z80" s="19">
        <v>33.200000000000003</v>
      </c>
      <c r="AB80" s="1">
        <f t="shared" si="16"/>
        <v>326.92099999999994</v>
      </c>
      <c r="AC80" s="1">
        <f t="shared" si="17"/>
        <v>334.16095999999993</v>
      </c>
      <c r="AD80" s="1"/>
      <c r="AE80" s="1">
        <f t="shared" si="9"/>
        <v>28.3</v>
      </c>
      <c r="AF80" s="1">
        <f t="shared" si="10"/>
        <v>33.200000000000003</v>
      </c>
      <c r="AG80" s="1"/>
      <c r="AH80" s="1">
        <f t="shared" si="11"/>
        <v>11.551978798586569</v>
      </c>
      <c r="AI80" s="1">
        <f t="shared" si="12"/>
        <v>10.065089156626502</v>
      </c>
      <c r="AJ80" s="1"/>
      <c r="AK80" s="1">
        <f t="shared" si="18"/>
        <v>0.26185010600874664</v>
      </c>
    </row>
    <row r="81" spans="1:61" ht="51" x14ac:dyDescent="0.2">
      <c r="A81" s="3">
        <v>79</v>
      </c>
      <c r="B81" s="3">
        <v>3</v>
      </c>
      <c r="C81" s="5" t="s">
        <v>274</v>
      </c>
      <c r="D81" s="68" t="s">
        <v>258</v>
      </c>
      <c r="E81" s="21">
        <v>167</v>
      </c>
      <c r="F81" s="21">
        <v>746.78304239401496</v>
      </c>
      <c r="G81" s="21">
        <v>635.9700748129676</v>
      </c>
      <c r="H81" s="21">
        <v>74.546134663341647</v>
      </c>
      <c r="I81" s="21">
        <v>0</v>
      </c>
      <c r="J81" s="21">
        <v>155</v>
      </c>
      <c r="K81" s="21">
        <f t="shared" si="13"/>
        <v>0</v>
      </c>
      <c r="L81" s="21">
        <v>0</v>
      </c>
      <c r="M81" s="21">
        <v>0</v>
      </c>
      <c r="N81" s="21">
        <v>21.6</v>
      </c>
      <c r="O81" s="21">
        <v>32.6</v>
      </c>
      <c r="P81" s="19">
        <v>167</v>
      </c>
      <c r="Q81" s="64">
        <v>746.78304239401496</v>
      </c>
      <c r="R81" s="64">
        <v>635.9700748129676</v>
      </c>
      <c r="S81" s="64">
        <v>74.546134663341647</v>
      </c>
      <c r="T81" s="19">
        <v>0</v>
      </c>
      <c r="U81" s="19">
        <v>155</v>
      </c>
      <c r="V81" s="19">
        <v>0.15029999999999999</v>
      </c>
      <c r="W81" s="19">
        <v>0</v>
      </c>
      <c r="X81" s="19">
        <v>0</v>
      </c>
      <c r="Y81" s="19">
        <v>22.1</v>
      </c>
      <c r="Z81" s="19">
        <v>31.1</v>
      </c>
      <c r="AB81" s="1">
        <f t="shared" ref="AB81:AB101" si="19">SUMPRODUCT($E$2:$M$2,E81:M81)+((0.1+0.477+0.477)*M81)</f>
        <v>4527.608341645885</v>
      </c>
      <c r="AC81" s="1">
        <f t="shared" ref="AC81:AC101" si="20">SUMPRODUCT($P$2:$X$2,P81:X81)+((0.1+0.477+0.477)*V81)</f>
        <v>4527.7999741458852</v>
      </c>
      <c r="AD81" s="1"/>
      <c r="AE81" s="1">
        <f>AVERAGE(N81:O81)</f>
        <v>27.1</v>
      </c>
      <c r="AF81" s="1">
        <f>AVERAGE(Y81:Z81)</f>
        <v>26.6</v>
      </c>
      <c r="AG81" s="1"/>
      <c r="AH81" s="1">
        <f t="shared" si="11"/>
        <v>167.07041851091824</v>
      </c>
      <c r="AI81" s="1">
        <f t="shared" si="12"/>
        <v>170.21804414082274</v>
      </c>
      <c r="AJ81" s="1"/>
      <c r="AK81" s="1">
        <f>(AH81-AI81)/V81</f>
        <v>-20.94228629344309</v>
      </c>
      <c r="AN81" s="1">
        <f>$E$2*E81</f>
        <v>158.316</v>
      </c>
      <c r="AO81" s="1">
        <f>$F$2*F81</f>
        <v>3.7339152119700749</v>
      </c>
      <c r="AP81" s="1">
        <f>$G$2*G81</f>
        <v>2.5438802992518705</v>
      </c>
      <c r="AQ81" s="1">
        <f>$H$2*H81</f>
        <v>7.4546134663341646E-2</v>
      </c>
      <c r="AR81" s="1">
        <f>$I$2*I81</f>
        <v>0</v>
      </c>
      <c r="AS81" s="1">
        <f>$J$2*J81</f>
        <v>4362.9399999999996</v>
      </c>
      <c r="AT81" s="1">
        <f>$K$2*K81</f>
        <v>0</v>
      </c>
      <c r="AU81" s="1">
        <f>$L$2*L81</f>
        <v>0</v>
      </c>
      <c r="AV81" s="1">
        <f>$M$2*M81</f>
        <v>0</v>
      </c>
      <c r="AW81" s="1">
        <f>$N$2*N81</f>
        <v>0</v>
      </c>
      <c r="AX81" s="1">
        <f>$O$2*O81</f>
        <v>0</v>
      </c>
      <c r="AY81" s="1">
        <f>$P$2*P81</f>
        <v>158.316</v>
      </c>
      <c r="AZ81" s="1">
        <f>$Q$2*Q81</f>
        <v>3.7339152119700749</v>
      </c>
      <c r="BA81" s="1">
        <f>$R$2*R81</f>
        <v>2.5438802992518705</v>
      </c>
      <c r="BB81" s="1">
        <f>$S$2*S81</f>
        <v>7.4546134663341646E-2</v>
      </c>
      <c r="BC81" s="1">
        <f>$T$2*T81</f>
        <v>0</v>
      </c>
      <c r="BD81" s="1">
        <f>$U$2*U81</f>
        <v>4362.9399999999996</v>
      </c>
      <c r="BE81" s="1">
        <f>$V$2*V81</f>
        <v>3.3216299999999997E-2</v>
      </c>
      <c r="BF81" s="1">
        <f>$W$2*W81</f>
        <v>0</v>
      </c>
      <c r="BG81" s="1">
        <f>$X$2*X81</f>
        <v>0</v>
      </c>
      <c r="BH81" s="1">
        <f>$Y$2*Y81</f>
        <v>0</v>
      </c>
      <c r="BI81" s="1">
        <f>$Z$2*Z81</f>
        <v>0</v>
      </c>
    </row>
    <row r="82" spans="1:61" ht="51" x14ac:dyDescent="0.2">
      <c r="A82" s="3">
        <v>80</v>
      </c>
      <c r="B82" s="3">
        <v>3</v>
      </c>
      <c r="C82" s="5" t="s">
        <v>274</v>
      </c>
      <c r="D82" s="68" t="s">
        <v>258</v>
      </c>
      <c r="E82" s="21">
        <v>236.8</v>
      </c>
      <c r="F82" s="21">
        <v>742.14463840399003</v>
      </c>
      <c r="G82" s="21">
        <v>632.01995012468831</v>
      </c>
      <c r="H82" s="21">
        <v>105.70374064837905</v>
      </c>
      <c r="I82" s="21">
        <v>0</v>
      </c>
      <c r="J82" s="21">
        <v>83.2</v>
      </c>
      <c r="K82" s="21">
        <f t="shared" si="13"/>
        <v>0</v>
      </c>
      <c r="L82" s="21">
        <v>0</v>
      </c>
      <c r="M82" s="21">
        <v>0</v>
      </c>
      <c r="N82" s="21">
        <v>27.3</v>
      </c>
      <c r="O82" s="21">
        <v>34.6</v>
      </c>
      <c r="P82" s="19">
        <v>236.8</v>
      </c>
      <c r="Q82" s="64">
        <v>742.14463840399003</v>
      </c>
      <c r="R82" s="64">
        <v>632.01995012468831</v>
      </c>
      <c r="S82" s="64">
        <v>105.70374064837905</v>
      </c>
      <c r="T82" s="19">
        <v>0</v>
      </c>
      <c r="U82" s="19">
        <v>83.2</v>
      </c>
      <c r="V82" s="19">
        <v>0.21312</v>
      </c>
      <c r="W82" s="19">
        <v>0</v>
      </c>
      <c r="X82" s="19">
        <v>0</v>
      </c>
      <c r="Y82" s="19">
        <v>27.3</v>
      </c>
      <c r="Z82" s="19">
        <v>31.1</v>
      </c>
      <c r="AB82" s="1">
        <f t="shared" si="19"/>
        <v>2572.7445067331669</v>
      </c>
      <c r="AC82" s="1">
        <f t="shared" si="20"/>
        <v>2573.0162347331666</v>
      </c>
      <c r="AD82" s="1"/>
      <c r="AE82" s="1">
        <f t="shared" ref="AE82:AE101" si="21">AVERAGE(N82:O82)</f>
        <v>30.950000000000003</v>
      </c>
      <c r="AF82" s="1">
        <f t="shared" ref="AF82:AF101" si="22">AVERAGE(Y82:Z82)</f>
        <v>29.200000000000003</v>
      </c>
      <c r="AG82" s="1"/>
      <c r="AH82" s="1">
        <f t="shared" si="11"/>
        <v>83.125832204625738</v>
      </c>
      <c r="AI82" s="1">
        <f t="shared" si="12"/>
        <v>88.11699434017693</v>
      </c>
      <c r="AJ82" s="1"/>
      <c r="AK82" s="1">
        <f>(AH82-AI82)/V82</f>
        <v>-23.419492002398613</v>
      </c>
      <c r="AN82" s="1">
        <f t="shared" ref="AN82:AN101" si="23">$E$2*E82</f>
        <v>224.4864</v>
      </c>
      <c r="AO82" s="1">
        <f t="shared" ref="AO82:AO101" si="24">$F$2*F82</f>
        <v>3.7107231920199504</v>
      </c>
      <c r="AP82" s="1">
        <f t="shared" ref="AP82:AP101" si="25">$G$2*G82</f>
        <v>2.5280798004987535</v>
      </c>
      <c r="AQ82" s="1">
        <f t="shared" ref="AQ82:AQ101" si="26">$H$2*H82</f>
        <v>0.10570374064837905</v>
      </c>
      <c r="AR82" s="1">
        <f t="shared" ref="AR82:AR101" si="27">$I$2*I82</f>
        <v>0</v>
      </c>
      <c r="AS82" s="1">
        <f t="shared" ref="AS82:AS101" si="28">$J$2*J82</f>
        <v>2341.9135999999999</v>
      </c>
      <c r="AT82" s="1">
        <f t="shared" ref="AT82:AT101" si="29">$K$2*K82</f>
        <v>0</v>
      </c>
      <c r="AU82" s="1">
        <f t="shared" ref="AU82:AU101" si="30">$L$2*L82</f>
        <v>0</v>
      </c>
      <c r="AV82" s="1">
        <f t="shared" ref="AV82:AV101" si="31">$M$2*M82</f>
        <v>0</v>
      </c>
      <c r="AW82" s="1">
        <f t="shared" ref="AW82:AW101" si="32">$N$2*N82</f>
        <v>0</v>
      </c>
      <c r="AX82" s="1">
        <f t="shared" ref="AX82:AX101" si="33">$O$2*O82</f>
        <v>0</v>
      </c>
      <c r="AY82" s="1">
        <f t="shared" ref="AY82:AY101" si="34">$P$2*P82</f>
        <v>224.4864</v>
      </c>
      <c r="AZ82" s="1">
        <f t="shared" ref="AZ82:AZ101" si="35">$Q$2*Q82</f>
        <v>3.7107231920199504</v>
      </c>
      <c r="BA82" s="1">
        <f t="shared" ref="BA82:BA101" si="36">$R$2*R82</f>
        <v>2.5280798004987535</v>
      </c>
      <c r="BB82" s="1">
        <f t="shared" ref="BB82:BB101" si="37">$S$2*S82</f>
        <v>0.10570374064837905</v>
      </c>
      <c r="BC82" s="1">
        <f t="shared" ref="BC82:BC101" si="38">$T$2*T82</f>
        <v>0</v>
      </c>
      <c r="BD82" s="1">
        <f t="shared" ref="BD82:BD101" si="39">$U$2*U82</f>
        <v>2341.9135999999999</v>
      </c>
      <c r="BE82" s="1">
        <f t="shared" ref="BE82:BE101" si="40">$V$2*V82</f>
        <v>4.7099519999999999E-2</v>
      </c>
      <c r="BF82" s="1">
        <f t="shared" ref="BF82:BF101" si="41">$W$2*W82</f>
        <v>0</v>
      </c>
      <c r="BG82" s="1">
        <f t="shared" ref="BG82:BG101" si="42">$X$2*X82</f>
        <v>0</v>
      </c>
      <c r="BH82" s="1">
        <f t="shared" ref="BH82:BH101" si="43">$Y$2*Y82</f>
        <v>0</v>
      </c>
      <c r="BI82" s="1">
        <f t="shared" ref="BI82:BI101" si="44">$Z$2*Z82</f>
        <v>0</v>
      </c>
    </row>
    <row r="83" spans="1:61" ht="51" x14ac:dyDescent="0.2">
      <c r="A83" s="3">
        <v>81</v>
      </c>
      <c r="B83" s="3">
        <v>5</v>
      </c>
      <c r="C83" s="5" t="s">
        <v>274</v>
      </c>
      <c r="D83" s="68" t="s">
        <v>258</v>
      </c>
      <c r="E83" s="21">
        <v>299</v>
      </c>
      <c r="F83" s="21">
        <v>1333.5411471321697</v>
      </c>
      <c r="G83" s="21">
        <v>1135.6608478802993</v>
      </c>
      <c r="H83" s="21">
        <v>133.46882793017457</v>
      </c>
      <c r="I83" s="21">
        <v>0</v>
      </c>
      <c r="J83" s="21">
        <v>276</v>
      </c>
      <c r="K83" s="21">
        <f t="shared" si="13"/>
        <v>0</v>
      </c>
      <c r="L83" s="21">
        <v>0</v>
      </c>
      <c r="M83" s="21">
        <v>0</v>
      </c>
      <c r="N83" s="21">
        <v>57.2</v>
      </c>
      <c r="O83" s="21">
        <v>83</v>
      </c>
      <c r="P83" s="19">
        <v>299</v>
      </c>
      <c r="Q83" s="64">
        <v>1333.5411471321697</v>
      </c>
      <c r="R83" s="64">
        <v>1135.6608478802993</v>
      </c>
      <c r="S83" s="64">
        <v>133.46882793017457</v>
      </c>
      <c r="T83" s="19">
        <v>0</v>
      </c>
      <c r="U83" s="19">
        <v>276</v>
      </c>
      <c r="V83" s="19">
        <v>0.26910000000000001</v>
      </c>
      <c r="W83" s="19">
        <v>0</v>
      </c>
      <c r="X83" s="19">
        <v>0</v>
      </c>
      <c r="Y83" s="19">
        <v>58.8</v>
      </c>
      <c r="Z83" s="19">
        <v>83.6</v>
      </c>
      <c r="AB83" s="1">
        <f t="shared" si="19"/>
        <v>8063.6438179551124</v>
      </c>
      <c r="AC83" s="1">
        <f t="shared" si="20"/>
        <v>8063.9869204551123</v>
      </c>
      <c r="AD83" s="1"/>
      <c r="AE83" s="1">
        <f t="shared" si="21"/>
        <v>70.099999999999994</v>
      </c>
      <c r="AF83" s="1">
        <f t="shared" si="22"/>
        <v>71.199999999999989</v>
      </c>
      <c r="AG83" s="1"/>
      <c r="AH83" s="1">
        <f t="shared" si="11"/>
        <v>115.03058228181331</v>
      </c>
      <c r="AI83" s="1">
        <f t="shared" si="12"/>
        <v>113.25824326481901</v>
      </c>
      <c r="AJ83" s="1"/>
      <c r="AK83" s="1">
        <f>(AH83-AI83)/V83</f>
        <v>6.5861724897595488</v>
      </c>
      <c r="AN83" s="1">
        <f t="shared" si="23"/>
        <v>283.452</v>
      </c>
      <c r="AO83" s="1">
        <f t="shared" si="24"/>
        <v>6.6677057356608485</v>
      </c>
      <c r="AP83" s="1">
        <f t="shared" si="25"/>
        <v>4.5426433915211977</v>
      </c>
      <c r="AQ83" s="1">
        <f t="shared" si="26"/>
        <v>0.13346882793017456</v>
      </c>
      <c r="AR83" s="1">
        <f t="shared" si="27"/>
        <v>0</v>
      </c>
      <c r="AS83" s="1">
        <f t="shared" si="28"/>
        <v>7768.848</v>
      </c>
      <c r="AT83" s="1">
        <f t="shared" si="29"/>
        <v>0</v>
      </c>
      <c r="AU83" s="1">
        <f t="shared" si="30"/>
        <v>0</v>
      </c>
      <c r="AV83" s="1">
        <f t="shared" si="31"/>
        <v>0</v>
      </c>
      <c r="AW83" s="1">
        <f t="shared" si="32"/>
        <v>0</v>
      </c>
      <c r="AX83" s="1">
        <f t="shared" si="33"/>
        <v>0</v>
      </c>
      <c r="AY83" s="1">
        <f t="shared" si="34"/>
        <v>283.452</v>
      </c>
      <c r="AZ83" s="1">
        <f t="shared" si="35"/>
        <v>6.6677057356608485</v>
      </c>
      <c r="BA83" s="1">
        <f t="shared" si="36"/>
        <v>4.5426433915211977</v>
      </c>
      <c r="BB83" s="1">
        <f t="shared" si="37"/>
        <v>0.13346882793017456</v>
      </c>
      <c r="BC83" s="1">
        <f t="shared" si="38"/>
        <v>0</v>
      </c>
      <c r="BD83" s="1">
        <f t="shared" si="39"/>
        <v>7768.848</v>
      </c>
      <c r="BE83" s="1">
        <f t="shared" si="40"/>
        <v>5.9471099999999999E-2</v>
      </c>
      <c r="BF83" s="1">
        <f t="shared" si="41"/>
        <v>0</v>
      </c>
      <c r="BG83" s="1">
        <f t="shared" si="42"/>
        <v>0</v>
      </c>
      <c r="BH83" s="1">
        <f t="shared" si="43"/>
        <v>0</v>
      </c>
      <c r="BI83" s="1">
        <f t="shared" si="44"/>
        <v>0</v>
      </c>
    </row>
    <row r="84" spans="1:61" ht="51" x14ac:dyDescent="0.2">
      <c r="A84" s="3">
        <v>82</v>
      </c>
      <c r="B84" s="3">
        <v>44</v>
      </c>
      <c r="C84" s="5" t="s">
        <v>275</v>
      </c>
      <c r="D84" s="68" t="s">
        <v>258</v>
      </c>
      <c r="E84" s="21">
        <v>53</v>
      </c>
      <c r="F84" s="21">
        <v>270</v>
      </c>
      <c r="G84" s="21">
        <v>239.75</v>
      </c>
      <c r="H84" s="21">
        <v>38.75</v>
      </c>
      <c r="I84" s="21">
        <v>13.25</v>
      </c>
      <c r="J84" s="21">
        <v>0</v>
      </c>
      <c r="K84" s="21">
        <f t="shared" si="13"/>
        <v>0</v>
      </c>
      <c r="L84" s="21">
        <v>0</v>
      </c>
      <c r="M84" s="21">
        <v>0</v>
      </c>
      <c r="N84" s="21">
        <v>100</v>
      </c>
      <c r="O84" s="21">
        <v>100</v>
      </c>
      <c r="P84" s="19">
        <v>53</v>
      </c>
      <c r="Q84" s="19">
        <v>270</v>
      </c>
      <c r="R84" s="64">
        <v>239.75</v>
      </c>
      <c r="S84" s="64">
        <v>38.75</v>
      </c>
      <c r="T84" s="19">
        <v>13.25</v>
      </c>
      <c r="U84" s="65">
        <v>0</v>
      </c>
      <c r="V84" s="19">
        <v>5.2999999999999999E-2</v>
      </c>
      <c r="W84" s="19">
        <v>0</v>
      </c>
      <c r="X84" s="19">
        <v>0</v>
      </c>
      <c r="Y84" s="19">
        <v>109</v>
      </c>
      <c r="Z84" s="19">
        <v>109</v>
      </c>
      <c r="AB84" s="1">
        <f t="shared" si="19"/>
        <v>275.00625000000002</v>
      </c>
      <c r="AC84" s="1">
        <f t="shared" si="20"/>
        <v>275.073825</v>
      </c>
      <c r="AD84" s="1"/>
      <c r="AE84" s="1">
        <f t="shared" si="21"/>
        <v>100</v>
      </c>
      <c r="AF84" s="1">
        <f t="shared" si="22"/>
        <v>109</v>
      </c>
      <c r="AG84" s="1"/>
      <c r="AH84" s="1">
        <f t="shared" si="11"/>
        <v>2.7500625000000003</v>
      </c>
      <c r="AI84" s="1">
        <f t="shared" si="12"/>
        <v>2.5236130733944955</v>
      </c>
      <c r="AJ84" s="1"/>
      <c r="AK84" s="1">
        <f>(AH84-AI84)/V84</f>
        <v>4.2726306906699021</v>
      </c>
      <c r="AN84" s="1">
        <f t="shared" si="23"/>
        <v>50.244</v>
      </c>
      <c r="AO84" s="1">
        <f t="shared" si="24"/>
        <v>1.35</v>
      </c>
      <c r="AP84" s="1">
        <f t="shared" si="25"/>
        <v>0.95900000000000007</v>
      </c>
      <c r="AQ84" s="1">
        <f t="shared" si="26"/>
        <v>3.875E-2</v>
      </c>
      <c r="AR84" s="1">
        <f t="shared" si="27"/>
        <v>222.41450000000003</v>
      </c>
      <c r="AS84" s="1">
        <f t="shared" si="28"/>
        <v>0</v>
      </c>
      <c r="AT84" s="1">
        <f t="shared" si="29"/>
        <v>0</v>
      </c>
      <c r="AU84" s="1">
        <f t="shared" si="30"/>
        <v>0</v>
      </c>
      <c r="AV84" s="1">
        <f t="shared" si="31"/>
        <v>0</v>
      </c>
      <c r="AW84" s="1">
        <f t="shared" si="32"/>
        <v>0</v>
      </c>
      <c r="AX84" s="1">
        <f t="shared" si="33"/>
        <v>0</v>
      </c>
      <c r="AY84" s="1">
        <f t="shared" si="34"/>
        <v>50.244</v>
      </c>
      <c r="AZ84" s="1">
        <f t="shared" si="35"/>
        <v>1.35</v>
      </c>
      <c r="BA84" s="1">
        <f t="shared" si="36"/>
        <v>0.95900000000000007</v>
      </c>
      <c r="BB84" s="1">
        <f t="shared" si="37"/>
        <v>3.875E-2</v>
      </c>
      <c r="BC84" s="1">
        <f t="shared" si="38"/>
        <v>222.41450000000003</v>
      </c>
      <c r="BD84" s="1">
        <f t="shared" si="39"/>
        <v>0</v>
      </c>
      <c r="BE84" s="1">
        <f t="shared" si="40"/>
        <v>1.1712999999999999E-2</v>
      </c>
      <c r="BF84" s="1">
        <f t="shared" si="41"/>
        <v>0</v>
      </c>
      <c r="BG84" s="1">
        <f t="shared" si="42"/>
        <v>0</v>
      </c>
      <c r="BH84" s="1">
        <f t="shared" si="43"/>
        <v>0</v>
      </c>
      <c r="BI84" s="1">
        <f t="shared" si="44"/>
        <v>0</v>
      </c>
    </row>
    <row r="85" spans="1:61" ht="51" x14ac:dyDescent="0.2">
      <c r="A85" s="3">
        <v>83</v>
      </c>
      <c r="B85" s="3">
        <v>45</v>
      </c>
      <c r="C85" s="5" t="s">
        <v>275</v>
      </c>
      <c r="D85" s="68" t="s">
        <v>258</v>
      </c>
      <c r="E85" s="21">
        <v>53</v>
      </c>
      <c r="F85" s="21">
        <v>270</v>
      </c>
      <c r="G85" s="21">
        <v>239.75</v>
      </c>
      <c r="H85" s="21">
        <v>38.75</v>
      </c>
      <c r="I85" s="21">
        <v>13.25</v>
      </c>
      <c r="J85" s="21">
        <v>0</v>
      </c>
      <c r="K85" s="21">
        <f t="shared" si="13"/>
        <v>0</v>
      </c>
      <c r="L85" s="21">
        <v>0</v>
      </c>
      <c r="M85" s="21">
        <v>0</v>
      </c>
      <c r="N85" s="21">
        <v>100</v>
      </c>
      <c r="O85" s="21">
        <v>100</v>
      </c>
      <c r="P85" s="19">
        <v>53</v>
      </c>
      <c r="Q85" s="19">
        <v>270</v>
      </c>
      <c r="R85" s="64">
        <v>239.75</v>
      </c>
      <c r="S85" s="64">
        <v>38.75</v>
      </c>
      <c r="T85" s="19">
        <v>13.25</v>
      </c>
      <c r="U85" s="65">
        <v>0</v>
      </c>
      <c r="V85" s="19">
        <v>0.159</v>
      </c>
      <c r="W85" s="19">
        <v>0</v>
      </c>
      <c r="X85" s="19">
        <v>0</v>
      </c>
      <c r="Y85" s="19">
        <v>107</v>
      </c>
      <c r="Z85" s="19">
        <v>107</v>
      </c>
      <c r="AB85" s="1">
        <f t="shared" si="19"/>
        <v>275.00625000000002</v>
      </c>
      <c r="AC85" s="1">
        <f t="shared" si="20"/>
        <v>275.20897500000001</v>
      </c>
      <c r="AD85" s="1"/>
      <c r="AE85" s="1">
        <f t="shared" si="21"/>
        <v>100</v>
      </c>
      <c r="AF85" s="1">
        <f t="shared" si="22"/>
        <v>107</v>
      </c>
      <c r="AG85" s="1"/>
      <c r="AH85" s="1">
        <f t="shared" si="11"/>
        <v>2.7500625000000003</v>
      </c>
      <c r="AI85" s="1">
        <f t="shared" si="12"/>
        <v>2.5720464953271027</v>
      </c>
      <c r="AJ85" s="1"/>
      <c r="AK85" s="1">
        <f>(AH85-AI85)/V85</f>
        <v>1.1195975136660226</v>
      </c>
      <c r="AN85" s="1">
        <f t="shared" si="23"/>
        <v>50.244</v>
      </c>
      <c r="AO85" s="1">
        <f t="shared" si="24"/>
        <v>1.35</v>
      </c>
      <c r="AP85" s="1">
        <f t="shared" si="25"/>
        <v>0.95900000000000007</v>
      </c>
      <c r="AQ85" s="1">
        <f t="shared" si="26"/>
        <v>3.875E-2</v>
      </c>
      <c r="AR85" s="1">
        <f t="shared" si="27"/>
        <v>222.41450000000003</v>
      </c>
      <c r="AS85" s="1">
        <f t="shared" si="28"/>
        <v>0</v>
      </c>
      <c r="AT85" s="1">
        <f t="shared" si="29"/>
        <v>0</v>
      </c>
      <c r="AU85" s="1">
        <f t="shared" si="30"/>
        <v>0</v>
      </c>
      <c r="AV85" s="1">
        <f t="shared" si="31"/>
        <v>0</v>
      </c>
      <c r="AW85" s="1">
        <f t="shared" si="32"/>
        <v>0</v>
      </c>
      <c r="AX85" s="1">
        <f t="shared" si="33"/>
        <v>0</v>
      </c>
      <c r="AY85" s="1">
        <f t="shared" si="34"/>
        <v>50.244</v>
      </c>
      <c r="AZ85" s="1">
        <f t="shared" si="35"/>
        <v>1.35</v>
      </c>
      <c r="BA85" s="1">
        <f t="shared" si="36"/>
        <v>0.95900000000000007</v>
      </c>
      <c r="BB85" s="1">
        <f t="shared" si="37"/>
        <v>3.875E-2</v>
      </c>
      <c r="BC85" s="1">
        <f t="shared" si="38"/>
        <v>222.41450000000003</v>
      </c>
      <c r="BD85" s="1">
        <f t="shared" si="39"/>
        <v>0</v>
      </c>
      <c r="BE85" s="1">
        <f t="shared" si="40"/>
        <v>3.5139000000000004E-2</v>
      </c>
      <c r="BF85" s="1">
        <f t="shared" si="41"/>
        <v>0</v>
      </c>
      <c r="BG85" s="1">
        <f t="shared" si="42"/>
        <v>0</v>
      </c>
      <c r="BH85" s="1">
        <f t="shared" si="43"/>
        <v>0</v>
      </c>
      <c r="BI85" s="1">
        <f t="shared" si="44"/>
        <v>0</v>
      </c>
    </row>
    <row r="86" spans="1:61" ht="51" x14ac:dyDescent="0.2">
      <c r="A86" s="3">
        <v>84</v>
      </c>
      <c r="B86" s="3">
        <v>46</v>
      </c>
      <c r="C86" s="5" t="s">
        <v>275</v>
      </c>
      <c r="D86" s="68" t="s">
        <v>258</v>
      </c>
      <c r="E86" s="21">
        <v>53</v>
      </c>
      <c r="F86" s="21">
        <v>270</v>
      </c>
      <c r="G86" s="21">
        <v>239.75</v>
      </c>
      <c r="H86" s="21">
        <v>38.75</v>
      </c>
      <c r="I86" s="21">
        <v>13.25</v>
      </c>
      <c r="J86" s="21">
        <v>0</v>
      </c>
      <c r="K86" s="21">
        <f t="shared" si="13"/>
        <v>0</v>
      </c>
      <c r="L86" s="21">
        <v>0</v>
      </c>
      <c r="M86" s="21">
        <v>0</v>
      </c>
      <c r="N86" s="21">
        <v>100</v>
      </c>
      <c r="O86" s="21">
        <v>100</v>
      </c>
      <c r="P86" s="19">
        <v>53</v>
      </c>
      <c r="Q86" s="19">
        <v>270</v>
      </c>
      <c r="R86" s="64">
        <v>239.75</v>
      </c>
      <c r="S86" s="64">
        <v>38.75</v>
      </c>
      <c r="T86" s="19">
        <v>13.25</v>
      </c>
      <c r="U86" s="65">
        <v>0</v>
      </c>
      <c r="V86" s="19">
        <v>0.318</v>
      </c>
      <c r="W86" s="19">
        <v>0</v>
      </c>
      <c r="X86" s="19">
        <v>0</v>
      </c>
      <c r="Y86" s="19">
        <v>116</v>
      </c>
      <c r="Z86" s="19">
        <v>116</v>
      </c>
      <c r="AB86" s="1">
        <f t="shared" si="19"/>
        <v>275.00625000000002</v>
      </c>
      <c r="AC86" s="1">
        <f t="shared" si="20"/>
        <v>275.4117</v>
      </c>
      <c r="AD86" s="1"/>
      <c r="AE86" s="1">
        <f t="shared" si="21"/>
        <v>100</v>
      </c>
      <c r="AF86" s="1">
        <f t="shared" si="22"/>
        <v>116</v>
      </c>
      <c r="AG86" s="1"/>
      <c r="AH86" s="1">
        <f t="shared" si="11"/>
        <v>2.7500625000000003</v>
      </c>
      <c r="AI86" s="1">
        <f t="shared" si="12"/>
        <v>2.3742387931034483</v>
      </c>
      <c r="AJ86" s="1"/>
      <c r="AK86" s="1">
        <f>(AH86-AI86)/V86</f>
        <v>1.1818355562784653</v>
      </c>
      <c r="AN86" s="1">
        <f t="shared" si="23"/>
        <v>50.244</v>
      </c>
      <c r="AO86" s="1">
        <f t="shared" si="24"/>
        <v>1.35</v>
      </c>
      <c r="AP86" s="1">
        <f t="shared" si="25"/>
        <v>0.95900000000000007</v>
      </c>
      <c r="AQ86" s="1">
        <f t="shared" si="26"/>
        <v>3.875E-2</v>
      </c>
      <c r="AR86" s="1">
        <f t="shared" si="27"/>
        <v>222.41450000000003</v>
      </c>
      <c r="AS86" s="1">
        <f t="shared" si="28"/>
        <v>0</v>
      </c>
      <c r="AT86" s="1">
        <f t="shared" si="29"/>
        <v>0</v>
      </c>
      <c r="AU86" s="1">
        <f t="shared" si="30"/>
        <v>0</v>
      </c>
      <c r="AV86" s="1">
        <f t="shared" si="31"/>
        <v>0</v>
      </c>
      <c r="AW86" s="1">
        <f t="shared" si="32"/>
        <v>0</v>
      </c>
      <c r="AX86" s="1">
        <f t="shared" si="33"/>
        <v>0</v>
      </c>
      <c r="AY86" s="1">
        <f t="shared" si="34"/>
        <v>50.244</v>
      </c>
      <c r="AZ86" s="1">
        <f t="shared" si="35"/>
        <v>1.35</v>
      </c>
      <c r="BA86" s="1">
        <f t="shared" si="36"/>
        <v>0.95900000000000007</v>
      </c>
      <c r="BB86" s="1">
        <f t="shared" si="37"/>
        <v>3.875E-2</v>
      </c>
      <c r="BC86" s="1">
        <f t="shared" si="38"/>
        <v>222.41450000000003</v>
      </c>
      <c r="BD86" s="1">
        <f t="shared" si="39"/>
        <v>0</v>
      </c>
      <c r="BE86" s="1">
        <f t="shared" si="40"/>
        <v>7.0278000000000007E-2</v>
      </c>
      <c r="BF86" s="1">
        <f t="shared" si="41"/>
        <v>0</v>
      </c>
      <c r="BG86" s="1">
        <f t="shared" si="42"/>
        <v>0</v>
      </c>
      <c r="BH86" s="1">
        <f t="shared" si="43"/>
        <v>0</v>
      </c>
      <c r="BI86" s="1">
        <f t="shared" si="44"/>
        <v>0</v>
      </c>
    </row>
    <row r="87" spans="1:61" ht="51" x14ac:dyDescent="0.2">
      <c r="A87" s="3">
        <v>85</v>
      </c>
      <c r="B87" s="3">
        <v>47</v>
      </c>
      <c r="C87" s="5" t="s">
        <v>275</v>
      </c>
      <c r="D87" s="68" t="s">
        <v>258</v>
      </c>
      <c r="E87" s="21">
        <v>53</v>
      </c>
      <c r="F87" s="21">
        <v>270</v>
      </c>
      <c r="G87" s="21">
        <v>239.75</v>
      </c>
      <c r="H87" s="21">
        <v>38.75</v>
      </c>
      <c r="I87" s="21">
        <v>13.25</v>
      </c>
      <c r="J87" s="21">
        <v>0</v>
      </c>
      <c r="K87" s="21">
        <f t="shared" si="13"/>
        <v>0</v>
      </c>
      <c r="L87" s="21">
        <v>0</v>
      </c>
      <c r="M87" s="21">
        <v>0</v>
      </c>
      <c r="N87" s="21">
        <v>30.8</v>
      </c>
      <c r="O87" s="21">
        <v>30.8</v>
      </c>
      <c r="P87" s="19">
        <v>53</v>
      </c>
      <c r="Q87" s="19">
        <v>270</v>
      </c>
      <c r="R87" s="64">
        <v>239.75</v>
      </c>
      <c r="S87" s="64">
        <v>38.75</v>
      </c>
      <c r="T87" s="19">
        <v>13.25</v>
      </c>
      <c r="U87" s="65">
        <v>0</v>
      </c>
      <c r="V87" s="19">
        <v>5.2999999999999999E-2</v>
      </c>
      <c r="W87" s="19">
        <v>0</v>
      </c>
      <c r="X87" s="19">
        <v>0</v>
      </c>
      <c r="Y87" s="19">
        <v>32</v>
      </c>
      <c r="Z87" s="19">
        <v>32</v>
      </c>
      <c r="AB87" s="1">
        <f t="shared" si="19"/>
        <v>275.00625000000002</v>
      </c>
      <c r="AC87" s="1">
        <f t="shared" si="20"/>
        <v>275.073825</v>
      </c>
      <c r="AD87" s="1"/>
      <c r="AE87" s="1">
        <f t="shared" si="21"/>
        <v>30.8</v>
      </c>
      <c r="AF87" s="1">
        <f t="shared" si="22"/>
        <v>32</v>
      </c>
      <c r="AG87" s="1"/>
      <c r="AH87" s="1">
        <f t="shared" ref="AH82:AH101" si="45">AB87/AE87</f>
        <v>8.928774350649352</v>
      </c>
      <c r="AI87" s="1">
        <f t="shared" ref="AI82:AI101" si="46">AC87/AF87</f>
        <v>8.59605703125</v>
      </c>
      <c r="AJ87" s="1"/>
      <c r="AK87" s="1">
        <f>(AH87-AI87)/V87</f>
        <v>6.2776852716858871</v>
      </c>
      <c r="AN87" s="1">
        <f t="shared" si="23"/>
        <v>50.244</v>
      </c>
      <c r="AO87" s="1">
        <f t="shared" si="24"/>
        <v>1.35</v>
      </c>
      <c r="AP87" s="1">
        <f t="shared" si="25"/>
        <v>0.95900000000000007</v>
      </c>
      <c r="AQ87" s="1">
        <f t="shared" si="26"/>
        <v>3.875E-2</v>
      </c>
      <c r="AR87" s="1">
        <f t="shared" si="27"/>
        <v>222.41450000000003</v>
      </c>
      <c r="AS87" s="1">
        <f t="shared" si="28"/>
        <v>0</v>
      </c>
      <c r="AT87" s="1">
        <f t="shared" si="29"/>
        <v>0</v>
      </c>
      <c r="AU87" s="1">
        <f t="shared" si="30"/>
        <v>0</v>
      </c>
      <c r="AV87" s="1">
        <f t="shared" si="31"/>
        <v>0</v>
      </c>
      <c r="AW87" s="1">
        <f t="shared" si="32"/>
        <v>0</v>
      </c>
      <c r="AX87" s="1">
        <f t="shared" si="33"/>
        <v>0</v>
      </c>
      <c r="AY87" s="1">
        <f t="shared" si="34"/>
        <v>50.244</v>
      </c>
      <c r="AZ87" s="1">
        <f t="shared" si="35"/>
        <v>1.35</v>
      </c>
      <c r="BA87" s="1">
        <f t="shared" si="36"/>
        <v>0.95900000000000007</v>
      </c>
      <c r="BB87" s="1">
        <f t="shared" si="37"/>
        <v>3.875E-2</v>
      </c>
      <c r="BC87" s="1">
        <f t="shared" si="38"/>
        <v>222.41450000000003</v>
      </c>
      <c r="BD87" s="1">
        <f t="shared" si="39"/>
        <v>0</v>
      </c>
      <c r="BE87" s="1">
        <f t="shared" si="40"/>
        <v>1.1712999999999999E-2</v>
      </c>
      <c r="BF87" s="1">
        <f t="shared" si="41"/>
        <v>0</v>
      </c>
      <c r="BG87" s="1">
        <f t="shared" si="42"/>
        <v>0</v>
      </c>
      <c r="BH87" s="1">
        <f t="shared" si="43"/>
        <v>0</v>
      </c>
      <c r="BI87" s="1">
        <f t="shared" si="44"/>
        <v>0</v>
      </c>
    </row>
    <row r="88" spans="1:61" ht="51" x14ac:dyDescent="0.2">
      <c r="A88" s="3">
        <v>86</v>
      </c>
      <c r="B88" s="3">
        <v>48</v>
      </c>
      <c r="C88" s="5" t="s">
        <v>275</v>
      </c>
      <c r="D88" s="68" t="s">
        <v>258</v>
      </c>
      <c r="E88" s="21">
        <v>53</v>
      </c>
      <c r="F88" s="21">
        <v>270</v>
      </c>
      <c r="G88" s="21">
        <v>239.75</v>
      </c>
      <c r="H88" s="21">
        <v>38.75</v>
      </c>
      <c r="I88" s="21">
        <v>13.25</v>
      </c>
      <c r="J88" s="21">
        <v>0</v>
      </c>
      <c r="K88" s="21">
        <f t="shared" si="13"/>
        <v>0</v>
      </c>
      <c r="L88" s="21">
        <v>0</v>
      </c>
      <c r="M88" s="21">
        <v>0</v>
      </c>
      <c r="N88" s="21">
        <v>30.8</v>
      </c>
      <c r="O88" s="21">
        <v>30.8</v>
      </c>
      <c r="P88" s="19">
        <v>53</v>
      </c>
      <c r="Q88" s="19">
        <v>270</v>
      </c>
      <c r="R88" s="64">
        <v>239.75</v>
      </c>
      <c r="S88" s="64">
        <v>38.75</v>
      </c>
      <c r="T88" s="19">
        <v>13.25</v>
      </c>
      <c r="U88" s="65">
        <v>0</v>
      </c>
      <c r="V88" s="19">
        <v>0.159</v>
      </c>
      <c r="W88" s="19">
        <v>0</v>
      </c>
      <c r="X88" s="19">
        <v>0</v>
      </c>
      <c r="Y88" s="19">
        <v>33.9</v>
      </c>
      <c r="Z88" s="19">
        <v>33.9</v>
      </c>
      <c r="AB88" s="1">
        <f t="shared" si="19"/>
        <v>275.00625000000002</v>
      </c>
      <c r="AC88" s="1">
        <f t="shared" si="20"/>
        <v>275.20897500000001</v>
      </c>
      <c r="AD88" s="1"/>
      <c r="AE88" s="1">
        <f t="shared" si="21"/>
        <v>30.8</v>
      </c>
      <c r="AF88" s="1">
        <f t="shared" si="22"/>
        <v>33.9</v>
      </c>
      <c r="AG88" s="1"/>
      <c r="AH88" s="1">
        <f t="shared" si="45"/>
        <v>8.928774350649352</v>
      </c>
      <c r="AI88" s="1">
        <f t="shared" si="46"/>
        <v>8.1182588495575221</v>
      </c>
      <c r="AJ88" s="1"/>
      <c r="AK88" s="1">
        <f>(AH88-AI88)/V88</f>
        <v>5.0975817678731437</v>
      </c>
      <c r="AN88" s="1">
        <f t="shared" si="23"/>
        <v>50.244</v>
      </c>
      <c r="AO88" s="1">
        <f t="shared" si="24"/>
        <v>1.35</v>
      </c>
      <c r="AP88" s="1">
        <f t="shared" si="25"/>
        <v>0.95900000000000007</v>
      </c>
      <c r="AQ88" s="1">
        <f t="shared" si="26"/>
        <v>3.875E-2</v>
      </c>
      <c r="AR88" s="1">
        <f t="shared" si="27"/>
        <v>222.41450000000003</v>
      </c>
      <c r="AS88" s="1">
        <f t="shared" si="28"/>
        <v>0</v>
      </c>
      <c r="AT88" s="1">
        <f t="shared" si="29"/>
        <v>0</v>
      </c>
      <c r="AU88" s="1">
        <f t="shared" si="30"/>
        <v>0</v>
      </c>
      <c r="AV88" s="1">
        <f t="shared" si="31"/>
        <v>0</v>
      </c>
      <c r="AW88" s="1">
        <f t="shared" si="32"/>
        <v>0</v>
      </c>
      <c r="AX88" s="1">
        <f t="shared" si="33"/>
        <v>0</v>
      </c>
      <c r="AY88" s="1">
        <f t="shared" si="34"/>
        <v>50.244</v>
      </c>
      <c r="AZ88" s="1">
        <f t="shared" si="35"/>
        <v>1.35</v>
      </c>
      <c r="BA88" s="1">
        <f t="shared" si="36"/>
        <v>0.95900000000000007</v>
      </c>
      <c r="BB88" s="1">
        <f t="shared" si="37"/>
        <v>3.875E-2</v>
      </c>
      <c r="BC88" s="1">
        <f t="shared" si="38"/>
        <v>222.41450000000003</v>
      </c>
      <c r="BD88" s="1">
        <f t="shared" si="39"/>
        <v>0</v>
      </c>
      <c r="BE88" s="1">
        <f t="shared" si="40"/>
        <v>3.5139000000000004E-2</v>
      </c>
      <c r="BF88" s="1">
        <f t="shared" si="41"/>
        <v>0</v>
      </c>
      <c r="BG88" s="1">
        <f t="shared" si="42"/>
        <v>0</v>
      </c>
      <c r="BH88" s="1">
        <f t="shared" si="43"/>
        <v>0</v>
      </c>
      <c r="BI88" s="1">
        <f t="shared" si="44"/>
        <v>0</v>
      </c>
    </row>
    <row r="89" spans="1:61" ht="51" x14ac:dyDescent="0.2">
      <c r="A89" s="3">
        <v>87</v>
      </c>
      <c r="B89" s="3">
        <v>49</v>
      </c>
      <c r="C89" s="5" t="s">
        <v>275</v>
      </c>
      <c r="D89" s="68" t="s">
        <v>258</v>
      </c>
      <c r="E89" s="21">
        <v>53</v>
      </c>
      <c r="F89" s="21">
        <v>270</v>
      </c>
      <c r="G89" s="21">
        <v>239.75</v>
      </c>
      <c r="H89" s="21">
        <v>38.75</v>
      </c>
      <c r="I89" s="21">
        <v>13.25</v>
      </c>
      <c r="J89" s="21">
        <v>0</v>
      </c>
      <c r="K89" s="21">
        <f t="shared" si="13"/>
        <v>0</v>
      </c>
      <c r="L89" s="21">
        <v>0</v>
      </c>
      <c r="M89" s="21">
        <v>0</v>
      </c>
      <c r="N89" s="21">
        <v>30.8</v>
      </c>
      <c r="O89" s="21">
        <v>30.8</v>
      </c>
      <c r="P89" s="19">
        <v>53</v>
      </c>
      <c r="Q89" s="19">
        <v>270</v>
      </c>
      <c r="R89" s="64">
        <v>239.75</v>
      </c>
      <c r="S89" s="64">
        <v>38.75</v>
      </c>
      <c r="T89" s="19">
        <v>13.25</v>
      </c>
      <c r="U89" s="65">
        <v>0</v>
      </c>
      <c r="V89" s="19">
        <v>0.318</v>
      </c>
      <c r="W89" s="19">
        <v>0</v>
      </c>
      <c r="X89" s="19">
        <v>0</v>
      </c>
      <c r="Y89" s="19">
        <v>32.799999999999997</v>
      </c>
      <c r="Z89" s="19">
        <v>32.799999999999997</v>
      </c>
      <c r="AB89" s="1">
        <f t="shared" si="19"/>
        <v>275.00625000000002</v>
      </c>
      <c r="AC89" s="1">
        <f t="shared" si="20"/>
        <v>275.4117</v>
      </c>
      <c r="AD89" s="1"/>
      <c r="AE89" s="1">
        <f t="shared" si="21"/>
        <v>30.8</v>
      </c>
      <c r="AF89" s="1">
        <f t="shared" si="22"/>
        <v>32.799999999999997</v>
      </c>
      <c r="AG89" s="1"/>
      <c r="AH89" s="1">
        <f t="shared" ref="AH89:AH97" si="47">AB89/AE89</f>
        <v>8.928774350649352</v>
      </c>
      <c r="AI89" s="1">
        <f t="shared" ref="AI89:AI97" si="48">AC89/AF89</f>
        <v>8.3966981707317085</v>
      </c>
      <c r="AJ89" s="1"/>
      <c r="AK89" s="1">
        <f>(AH89-AI89)/V89</f>
        <v>1.673195534332212</v>
      </c>
      <c r="AN89" s="1">
        <f t="shared" si="23"/>
        <v>50.244</v>
      </c>
      <c r="AO89" s="1">
        <f t="shared" si="24"/>
        <v>1.35</v>
      </c>
      <c r="AP89" s="1">
        <f t="shared" si="25"/>
        <v>0.95900000000000007</v>
      </c>
      <c r="AQ89" s="1">
        <f t="shared" si="26"/>
        <v>3.875E-2</v>
      </c>
      <c r="AR89" s="1">
        <f t="shared" si="27"/>
        <v>222.41450000000003</v>
      </c>
      <c r="AS89" s="1">
        <f t="shared" si="28"/>
        <v>0</v>
      </c>
      <c r="AT89" s="1">
        <f t="shared" si="29"/>
        <v>0</v>
      </c>
      <c r="AU89" s="1">
        <f t="shared" si="30"/>
        <v>0</v>
      </c>
      <c r="AV89" s="1">
        <f t="shared" si="31"/>
        <v>0</v>
      </c>
      <c r="AW89" s="1">
        <f t="shared" si="32"/>
        <v>0</v>
      </c>
      <c r="AX89" s="1">
        <f t="shared" si="33"/>
        <v>0</v>
      </c>
      <c r="AY89" s="1">
        <f t="shared" si="34"/>
        <v>50.244</v>
      </c>
      <c r="AZ89" s="1">
        <f t="shared" si="35"/>
        <v>1.35</v>
      </c>
      <c r="BA89" s="1">
        <f t="shared" si="36"/>
        <v>0.95900000000000007</v>
      </c>
      <c r="BB89" s="1">
        <f t="shared" si="37"/>
        <v>3.875E-2</v>
      </c>
      <c r="BC89" s="1">
        <f t="shared" si="38"/>
        <v>222.41450000000003</v>
      </c>
      <c r="BD89" s="1">
        <f t="shared" si="39"/>
        <v>0</v>
      </c>
      <c r="BE89" s="1">
        <f t="shared" si="40"/>
        <v>7.0278000000000007E-2</v>
      </c>
      <c r="BF89" s="1">
        <f t="shared" si="41"/>
        <v>0</v>
      </c>
      <c r="BG89" s="1">
        <f t="shared" si="42"/>
        <v>0</v>
      </c>
      <c r="BH89" s="1">
        <f t="shared" si="43"/>
        <v>0</v>
      </c>
      <c r="BI89" s="1">
        <f t="shared" si="44"/>
        <v>0</v>
      </c>
    </row>
    <row r="90" spans="1:61" ht="51" x14ac:dyDescent="0.2">
      <c r="A90" s="3">
        <v>88</v>
      </c>
      <c r="B90" s="3">
        <v>50</v>
      </c>
      <c r="C90" s="5" t="s">
        <v>275</v>
      </c>
      <c r="D90" s="68" t="s">
        <v>258</v>
      </c>
      <c r="E90" s="21">
        <v>53</v>
      </c>
      <c r="F90" s="21">
        <v>270</v>
      </c>
      <c r="G90" s="21">
        <v>239.75</v>
      </c>
      <c r="H90" s="21">
        <v>38.75</v>
      </c>
      <c r="I90" s="21">
        <v>13.25</v>
      </c>
      <c r="J90" s="21">
        <v>0</v>
      </c>
      <c r="K90" s="21">
        <f t="shared" si="13"/>
        <v>0</v>
      </c>
      <c r="L90" s="21">
        <v>0</v>
      </c>
      <c r="M90" s="21">
        <v>0</v>
      </c>
      <c r="N90" s="21">
        <v>30.8</v>
      </c>
      <c r="O90" s="21">
        <v>30.8</v>
      </c>
      <c r="P90" s="19">
        <v>53</v>
      </c>
      <c r="Q90" s="19">
        <v>270</v>
      </c>
      <c r="R90" s="64">
        <v>239.75</v>
      </c>
      <c r="S90" s="64">
        <v>38.75</v>
      </c>
      <c r="T90" s="19">
        <v>13.25</v>
      </c>
      <c r="U90" s="65">
        <v>0</v>
      </c>
      <c r="V90" s="19">
        <v>0.159</v>
      </c>
      <c r="W90" s="19">
        <v>0</v>
      </c>
      <c r="X90" s="19">
        <v>0</v>
      </c>
      <c r="Y90" s="19">
        <v>35.5</v>
      </c>
      <c r="Z90" s="19">
        <v>35.5</v>
      </c>
      <c r="AB90" s="1">
        <f t="shared" si="19"/>
        <v>275.00625000000002</v>
      </c>
      <c r="AC90" s="1">
        <f t="shared" si="20"/>
        <v>275.20897500000001</v>
      </c>
      <c r="AD90" s="1"/>
      <c r="AE90" s="1">
        <f t="shared" si="21"/>
        <v>30.8</v>
      </c>
      <c r="AF90" s="1">
        <f t="shared" si="22"/>
        <v>35.5</v>
      </c>
      <c r="AG90" s="1"/>
      <c r="AH90" s="1">
        <f t="shared" si="47"/>
        <v>8.928774350649352</v>
      </c>
      <c r="AI90" s="1">
        <f t="shared" si="48"/>
        <v>7.7523654929577468</v>
      </c>
      <c r="AJ90" s="1"/>
      <c r="AK90" s="1">
        <f>(AH90-AI90)/V90</f>
        <v>7.3987978471170139</v>
      </c>
      <c r="AN90" s="1">
        <f t="shared" si="23"/>
        <v>50.244</v>
      </c>
      <c r="AO90" s="1">
        <f t="shared" si="24"/>
        <v>1.35</v>
      </c>
      <c r="AP90" s="1">
        <f t="shared" si="25"/>
        <v>0.95900000000000007</v>
      </c>
      <c r="AQ90" s="1">
        <f t="shared" si="26"/>
        <v>3.875E-2</v>
      </c>
      <c r="AR90" s="1">
        <f t="shared" si="27"/>
        <v>222.41450000000003</v>
      </c>
      <c r="AS90" s="1">
        <f t="shared" si="28"/>
        <v>0</v>
      </c>
      <c r="AT90" s="1">
        <f t="shared" si="29"/>
        <v>0</v>
      </c>
      <c r="AU90" s="1">
        <f t="shared" si="30"/>
        <v>0</v>
      </c>
      <c r="AV90" s="1">
        <f t="shared" si="31"/>
        <v>0</v>
      </c>
      <c r="AW90" s="1">
        <f t="shared" si="32"/>
        <v>0</v>
      </c>
      <c r="AX90" s="1">
        <f t="shared" si="33"/>
        <v>0</v>
      </c>
      <c r="AY90" s="1">
        <f t="shared" si="34"/>
        <v>50.244</v>
      </c>
      <c r="AZ90" s="1">
        <f t="shared" si="35"/>
        <v>1.35</v>
      </c>
      <c r="BA90" s="1">
        <f t="shared" si="36"/>
        <v>0.95900000000000007</v>
      </c>
      <c r="BB90" s="1">
        <f t="shared" si="37"/>
        <v>3.875E-2</v>
      </c>
      <c r="BC90" s="1">
        <f t="shared" si="38"/>
        <v>222.41450000000003</v>
      </c>
      <c r="BD90" s="1">
        <f t="shared" si="39"/>
        <v>0</v>
      </c>
      <c r="BE90" s="1">
        <f t="shared" si="40"/>
        <v>3.5139000000000004E-2</v>
      </c>
      <c r="BF90" s="1">
        <f t="shared" si="41"/>
        <v>0</v>
      </c>
      <c r="BG90" s="1">
        <f t="shared" si="42"/>
        <v>0</v>
      </c>
      <c r="BH90" s="1">
        <f t="shared" si="43"/>
        <v>0</v>
      </c>
      <c r="BI90" s="1">
        <f t="shared" si="44"/>
        <v>0</v>
      </c>
    </row>
    <row r="91" spans="1:61" ht="51" x14ac:dyDescent="0.2">
      <c r="A91" s="3">
        <v>89</v>
      </c>
      <c r="B91" s="3">
        <v>79</v>
      </c>
      <c r="C91" s="5" t="s">
        <v>276</v>
      </c>
      <c r="D91" s="68" t="s">
        <v>258</v>
      </c>
      <c r="E91" s="21">
        <v>300</v>
      </c>
      <c r="F91" s="21">
        <v>928.66666666666663</v>
      </c>
      <c r="G91" s="21">
        <v>1010.3333333333334</v>
      </c>
      <c r="H91" s="21">
        <v>132</v>
      </c>
      <c r="I91" s="21">
        <v>0</v>
      </c>
      <c r="J91" s="21">
        <v>60</v>
      </c>
      <c r="K91" s="21">
        <f t="shared" si="13"/>
        <v>0</v>
      </c>
      <c r="L91" s="21">
        <v>0</v>
      </c>
      <c r="M91" s="21">
        <v>0</v>
      </c>
      <c r="N91" s="21">
        <v>41</v>
      </c>
      <c r="O91" s="21">
        <v>41</v>
      </c>
      <c r="P91" s="19">
        <v>300</v>
      </c>
      <c r="Q91" s="64">
        <v>928.66666666666663</v>
      </c>
      <c r="R91" s="64">
        <v>1010.3333333333334</v>
      </c>
      <c r="S91" s="64">
        <v>132</v>
      </c>
      <c r="T91" s="19">
        <v>0</v>
      </c>
      <c r="U91" s="19">
        <v>60</v>
      </c>
      <c r="V91" s="19">
        <v>1.29</v>
      </c>
      <c r="W91" s="19">
        <v>0</v>
      </c>
      <c r="X91" s="19">
        <v>0</v>
      </c>
      <c r="Y91" s="19">
        <v>45.1</v>
      </c>
      <c r="Z91" s="19">
        <v>45.1</v>
      </c>
      <c r="AB91" s="1">
        <f t="shared" si="19"/>
        <v>1982.0966666666666</v>
      </c>
      <c r="AC91" s="1">
        <f t="shared" si="20"/>
        <v>1983.7414166666667</v>
      </c>
      <c r="AD91" s="1"/>
      <c r="AE91" s="1">
        <f t="shared" si="21"/>
        <v>41</v>
      </c>
      <c r="AF91" s="1">
        <f t="shared" si="22"/>
        <v>45.1</v>
      </c>
      <c r="AG91" s="1"/>
      <c r="AH91" s="1">
        <f t="shared" si="47"/>
        <v>48.343821138211382</v>
      </c>
      <c r="AI91" s="1">
        <f t="shared" si="48"/>
        <v>43.985397265336289</v>
      </c>
      <c r="AJ91" s="1"/>
      <c r="AK91" s="1">
        <f>(AH91-AI91)/V91</f>
        <v>3.3786231572675143</v>
      </c>
      <c r="AN91" s="1">
        <f t="shared" si="23"/>
        <v>284.39999999999998</v>
      </c>
      <c r="AO91" s="1">
        <f t="shared" si="24"/>
        <v>4.6433333333333335</v>
      </c>
      <c r="AP91" s="1">
        <f t="shared" si="25"/>
        <v>4.0413333333333332</v>
      </c>
      <c r="AQ91" s="1">
        <f t="shared" si="26"/>
        <v>0.13200000000000001</v>
      </c>
      <c r="AR91" s="1">
        <f t="shared" si="27"/>
        <v>0</v>
      </c>
      <c r="AS91" s="1">
        <f t="shared" si="28"/>
        <v>1688.8799999999999</v>
      </c>
      <c r="AT91" s="1">
        <f t="shared" si="29"/>
        <v>0</v>
      </c>
      <c r="AU91" s="1">
        <f t="shared" si="30"/>
        <v>0</v>
      </c>
      <c r="AV91" s="1">
        <f t="shared" si="31"/>
        <v>0</v>
      </c>
      <c r="AW91" s="1">
        <f t="shared" si="32"/>
        <v>0</v>
      </c>
      <c r="AX91" s="1">
        <f t="shared" si="33"/>
        <v>0</v>
      </c>
      <c r="AY91" s="1">
        <f t="shared" si="34"/>
        <v>284.39999999999998</v>
      </c>
      <c r="AZ91" s="1">
        <f t="shared" si="35"/>
        <v>4.6433333333333335</v>
      </c>
      <c r="BA91" s="1">
        <f t="shared" si="36"/>
        <v>4.0413333333333332</v>
      </c>
      <c r="BB91" s="1">
        <f t="shared" si="37"/>
        <v>0.13200000000000001</v>
      </c>
      <c r="BC91" s="1">
        <f t="shared" si="38"/>
        <v>0</v>
      </c>
      <c r="BD91" s="1">
        <f t="shared" si="39"/>
        <v>1688.8799999999999</v>
      </c>
      <c r="BE91" s="1">
        <f t="shared" si="40"/>
        <v>0.28509000000000001</v>
      </c>
      <c r="BF91" s="1">
        <f t="shared" si="41"/>
        <v>0</v>
      </c>
      <c r="BG91" s="1">
        <f t="shared" si="42"/>
        <v>0</v>
      </c>
      <c r="BH91" s="1">
        <f t="shared" si="43"/>
        <v>0</v>
      </c>
      <c r="BI91" s="1">
        <f t="shared" si="44"/>
        <v>0</v>
      </c>
    </row>
    <row r="92" spans="1:61" ht="51" x14ac:dyDescent="0.2">
      <c r="A92" s="3">
        <v>90</v>
      </c>
      <c r="B92" s="3">
        <v>80</v>
      </c>
      <c r="C92" s="5" t="s">
        <v>276</v>
      </c>
      <c r="D92" s="68" t="s">
        <v>258</v>
      </c>
      <c r="E92" s="21">
        <v>300</v>
      </c>
      <c r="F92" s="21">
        <v>928.66666666666663</v>
      </c>
      <c r="G92" s="21">
        <v>1010.3333333333334</v>
      </c>
      <c r="H92" s="21">
        <v>132</v>
      </c>
      <c r="I92" s="21">
        <v>0</v>
      </c>
      <c r="J92" s="21">
        <v>60</v>
      </c>
      <c r="K92" s="21">
        <f t="shared" si="13"/>
        <v>0</v>
      </c>
      <c r="L92" s="21">
        <v>0</v>
      </c>
      <c r="M92" s="21">
        <v>0</v>
      </c>
      <c r="N92" s="21">
        <v>41</v>
      </c>
      <c r="O92" s="21">
        <v>41</v>
      </c>
      <c r="P92" s="19">
        <v>300</v>
      </c>
      <c r="Q92" s="64">
        <v>928.66666666666663</v>
      </c>
      <c r="R92" s="64">
        <v>1010.3333333333334</v>
      </c>
      <c r="S92" s="64">
        <v>132</v>
      </c>
      <c r="T92" s="19">
        <v>0</v>
      </c>
      <c r="U92" s="19">
        <v>60</v>
      </c>
      <c r="V92" s="19">
        <v>1.65</v>
      </c>
      <c r="W92" s="19">
        <v>0</v>
      </c>
      <c r="X92" s="19">
        <v>0</v>
      </c>
      <c r="Y92" s="19">
        <v>39.36</v>
      </c>
      <c r="Z92" s="19">
        <v>39.36</v>
      </c>
      <c r="AB92" s="1">
        <f t="shared" si="19"/>
        <v>1982.0966666666666</v>
      </c>
      <c r="AC92" s="1">
        <f t="shared" si="20"/>
        <v>1984.2004166666666</v>
      </c>
      <c r="AD92" s="1"/>
      <c r="AE92" s="1">
        <f t="shared" si="21"/>
        <v>41</v>
      </c>
      <c r="AF92" s="1">
        <f t="shared" si="22"/>
        <v>39.36</v>
      </c>
      <c r="AG92" s="1"/>
      <c r="AH92" s="1">
        <f t="shared" si="47"/>
        <v>48.343821138211382</v>
      </c>
      <c r="AI92" s="1">
        <f t="shared" si="48"/>
        <v>50.41159595189702</v>
      </c>
      <c r="AJ92" s="1"/>
      <c r="AK92" s="1">
        <f>(AH92-AI92)/V92</f>
        <v>-1.2531968567791747</v>
      </c>
      <c r="AN92" s="1">
        <f t="shared" si="23"/>
        <v>284.39999999999998</v>
      </c>
      <c r="AO92" s="1">
        <f t="shared" si="24"/>
        <v>4.6433333333333335</v>
      </c>
      <c r="AP92" s="1">
        <f t="shared" si="25"/>
        <v>4.0413333333333332</v>
      </c>
      <c r="AQ92" s="1">
        <f t="shared" si="26"/>
        <v>0.13200000000000001</v>
      </c>
      <c r="AR92" s="1">
        <f t="shared" si="27"/>
        <v>0</v>
      </c>
      <c r="AS92" s="1">
        <f t="shared" si="28"/>
        <v>1688.8799999999999</v>
      </c>
      <c r="AT92" s="1">
        <f t="shared" si="29"/>
        <v>0</v>
      </c>
      <c r="AU92" s="1">
        <f t="shared" si="30"/>
        <v>0</v>
      </c>
      <c r="AV92" s="1">
        <f t="shared" si="31"/>
        <v>0</v>
      </c>
      <c r="AW92" s="1">
        <f t="shared" si="32"/>
        <v>0</v>
      </c>
      <c r="AX92" s="1">
        <f t="shared" si="33"/>
        <v>0</v>
      </c>
      <c r="AY92" s="1">
        <f t="shared" si="34"/>
        <v>284.39999999999998</v>
      </c>
      <c r="AZ92" s="1">
        <f t="shared" si="35"/>
        <v>4.6433333333333335</v>
      </c>
      <c r="BA92" s="1">
        <f t="shared" si="36"/>
        <v>4.0413333333333332</v>
      </c>
      <c r="BB92" s="1">
        <f t="shared" si="37"/>
        <v>0.13200000000000001</v>
      </c>
      <c r="BC92" s="1">
        <f t="shared" si="38"/>
        <v>0</v>
      </c>
      <c r="BD92" s="1">
        <f t="shared" si="39"/>
        <v>1688.8799999999999</v>
      </c>
      <c r="BE92" s="1">
        <f t="shared" si="40"/>
        <v>0.36464999999999997</v>
      </c>
      <c r="BF92" s="1">
        <f t="shared" si="41"/>
        <v>0</v>
      </c>
      <c r="BG92" s="1">
        <f t="shared" si="42"/>
        <v>0</v>
      </c>
      <c r="BH92" s="1">
        <f t="shared" si="43"/>
        <v>0</v>
      </c>
      <c r="BI92" s="1">
        <f t="shared" si="44"/>
        <v>0</v>
      </c>
    </row>
    <row r="93" spans="1:61" ht="51" x14ac:dyDescent="0.2">
      <c r="A93" s="3">
        <v>91</v>
      </c>
      <c r="B93" s="3">
        <v>81</v>
      </c>
      <c r="C93" s="5" t="s">
        <v>276</v>
      </c>
      <c r="D93" s="68" t="s">
        <v>258</v>
      </c>
      <c r="E93" s="21">
        <v>300</v>
      </c>
      <c r="F93" s="21">
        <v>928.66666666666663</v>
      </c>
      <c r="G93" s="21">
        <v>1010.3333333333334</v>
      </c>
      <c r="H93" s="21">
        <v>132</v>
      </c>
      <c r="I93" s="21">
        <v>0</v>
      </c>
      <c r="J93" s="21">
        <v>60</v>
      </c>
      <c r="K93" s="21">
        <f t="shared" si="13"/>
        <v>0</v>
      </c>
      <c r="L93" s="21">
        <v>0</v>
      </c>
      <c r="M93" s="21">
        <v>0</v>
      </c>
      <c r="N93" s="21">
        <v>41</v>
      </c>
      <c r="O93" s="21">
        <v>41</v>
      </c>
      <c r="P93" s="19">
        <v>300</v>
      </c>
      <c r="Q93" s="64">
        <v>928.66666666666663</v>
      </c>
      <c r="R93" s="64">
        <v>1010.3333333333334</v>
      </c>
      <c r="S93" s="64">
        <v>132</v>
      </c>
      <c r="T93" s="19">
        <v>0</v>
      </c>
      <c r="U93" s="19">
        <v>60</v>
      </c>
      <c r="V93" s="19">
        <v>1.9200000000000002</v>
      </c>
      <c r="W93" s="19">
        <v>0</v>
      </c>
      <c r="X93" s="19">
        <v>0</v>
      </c>
      <c r="Y93" s="19">
        <v>38.950000000000003</v>
      </c>
      <c r="Z93" s="19">
        <v>38.950000000000003</v>
      </c>
      <c r="AB93" s="1">
        <f t="shared" si="19"/>
        <v>1982.0966666666666</v>
      </c>
      <c r="AC93" s="1">
        <f t="shared" si="20"/>
        <v>1984.5446666666667</v>
      </c>
      <c r="AD93" s="1"/>
      <c r="AE93" s="1">
        <f t="shared" si="21"/>
        <v>41</v>
      </c>
      <c r="AF93" s="1">
        <f t="shared" si="22"/>
        <v>38.950000000000003</v>
      </c>
      <c r="AG93" s="1"/>
      <c r="AH93" s="1">
        <f t="shared" si="47"/>
        <v>48.343821138211382</v>
      </c>
      <c r="AI93" s="1">
        <f t="shared" si="48"/>
        <v>50.951082584510054</v>
      </c>
      <c r="AJ93" s="1"/>
      <c r="AK93" s="1">
        <f>(AH93-AI93)/V93</f>
        <v>-1.357948669947225</v>
      </c>
      <c r="AN93" s="1">
        <f t="shared" si="23"/>
        <v>284.39999999999998</v>
      </c>
      <c r="AO93" s="1">
        <f t="shared" si="24"/>
        <v>4.6433333333333335</v>
      </c>
      <c r="AP93" s="1">
        <f t="shared" si="25"/>
        <v>4.0413333333333332</v>
      </c>
      <c r="AQ93" s="1">
        <f t="shared" si="26"/>
        <v>0.13200000000000001</v>
      </c>
      <c r="AR93" s="1">
        <f t="shared" si="27"/>
        <v>0</v>
      </c>
      <c r="AS93" s="1">
        <f t="shared" si="28"/>
        <v>1688.8799999999999</v>
      </c>
      <c r="AT93" s="1">
        <f t="shared" si="29"/>
        <v>0</v>
      </c>
      <c r="AU93" s="1">
        <f t="shared" si="30"/>
        <v>0</v>
      </c>
      <c r="AV93" s="1">
        <f t="shared" si="31"/>
        <v>0</v>
      </c>
      <c r="AW93" s="1">
        <f t="shared" si="32"/>
        <v>0</v>
      </c>
      <c r="AX93" s="1">
        <f t="shared" si="33"/>
        <v>0</v>
      </c>
      <c r="AY93" s="1">
        <f t="shared" si="34"/>
        <v>284.39999999999998</v>
      </c>
      <c r="AZ93" s="1">
        <f t="shared" si="35"/>
        <v>4.6433333333333335</v>
      </c>
      <c r="BA93" s="1">
        <f t="shared" si="36"/>
        <v>4.0413333333333332</v>
      </c>
      <c r="BB93" s="1">
        <f t="shared" si="37"/>
        <v>0.13200000000000001</v>
      </c>
      <c r="BC93" s="1">
        <f t="shared" si="38"/>
        <v>0</v>
      </c>
      <c r="BD93" s="1">
        <f t="shared" si="39"/>
        <v>1688.8799999999999</v>
      </c>
      <c r="BE93" s="1">
        <f t="shared" si="40"/>
        <v>0.42432000000000003</v>
      </c>
      <c r="BF93" s="1">
        <f t="shared" si="41"/>
        <v>0</v>
      </c>
      <c r="BG93" s="1">
        <f t="shared" si="42"/>
        <v>0</v>
      </c>
      <c r="BH93" s="1">
        <f t="shared" si="43"/>
        <v>0</v>
      </c>
      <c r="BI93" s="1">
        <f t="shared" si="44"/>
        <v>0</v>
      </c>
    </row>
    <row r="94" spans="1:61" ht="51" x14ac:dyDescent="0.2">
      <c r="A94" s="3">
        <v>92</v>
      </c>
      <c r="B94" s="3">
        <v>82</v>
      </c>
      <c r="C94" s="5" t="s">
        <v>276</v>
      </c>
      <c r="D94" s="68" t="s">
        <v>258</v>
      </c>
      <c r="E94" s="21">
        <v>281</v>
      </c>
      <c r="F94" s="21">
        <v>770</v>
      </c>
      <c r="G94" s="21">
        <v>1030</v>
      </c>
      <c r="H94" s="21">
        <v>137.99107142857142</v>
      </c>
      <c r="I94" s="21">
        <v>0</v>
      </c>
      <c r="J94" s="21">
        <v>55</v>
      </c>
      <c r="K94" s="21">
        <f t="shared" si="13"/>
        <v>0</v>
      </c>
      <c r="L94" s="21">
        <v>0</v>
      </c>
      <c r="M94" s="21">
        <v>0</v>
      </c>
      <c r="N94" s="21">
        <v>34.9</v>
      </c>
      <c r="O94" s="21">
        <v>34.9</v>
      </c>
      <c r="P94" s="19">
        <v>281</v>
      </c>
      <c r="Q94" s="19">
        <v>770</v>
      </c>
      <c r="R94" s="19">
        <v>1030</v>
      </c>
      <c r="S94" s="64">
        <v>137.99107142857142</v>
      </c>
      <c r="T94" s="19">
        <v>0</v>
      </c>
      <c r="U94" s="19">
        <v>55</v>
      </c>
      <c r="V94" s="19">
        <v>1.405</v>
      </c>
      <c r="W94" s="19">
        <v>0</v>
      </c>
      <c r="X94" s="19">
        <v>0</v>
      </c>
      <c r="Y94" s="19">
        <v>35.299999999999997</v>
      </c>
      <c r="Z94" s="19">
        <v>35.299999999999997</v>
      </c>
      <c r="AB94" s="1">
        <f t="shared" si="19"/>
        <v>1822.6359910714284</v>
      </c>
      <c r="AC94" s="1">
        <f t="shared" si="20"/>
        <v>1824.4273660714284</v>
      </c>
      <c r="AD94" s="1"/>
      <c r="AE94" s="1">
        <f t="shared" si="21"/>
        <v>34.9</v>
      </c>
      <c r="AF94" s="1">
        <f t="shared" si="22"/>
        <v>35.299999999999997</v>
      </c>
      <c r="AG94" s="1"/>
      <c r="AH94" s="1">
        <f t="shared" si="47"/>
        <v>52.224526964797377</v>
      </c>
      <c r="AI94" s="1">
        <f t="shared" si="48"/>
        <v>51.683494789558885</v>
      </c>
      <c r="AJ94" s="1"/>
      <c r="AK94" s="1">
        <f>(AH94-AI94)/V94</f>
        <v>0.385076281308535</v>
      </c>
      <c r="AN94" s="1">
        <f t="shared" si="23"/>
        <v>266.38799999999998</v>
      </c>
      <c r="AO94" s="1">
        <f t="shared" si="24"/>
        <v>3.85</v>
      </c>
      <c r="AP94" s="1">
        <f t="shared" si="25"/>
        <v>4.12</v>
      </c>
      <c r="AQ94" s="1">
        <f t="shared" si="26"/>
        <v>0.13799107142857142</v>
      </c>
      <c r="AR94" s="1">
        <f t="shared" si="27"/>
        <v>0</v>
      </c>
      <c r="AS94" s="1">
        <f t="shared" si="28"/>
        <v>1548.1399999999999</v>
      </c>
      <c r="AT94" s="1">
        <f t="shared" si="29"/>
        <v>0</v>
      </c>
      <c r="AU94" s="1">
        <f t="shared" si="30"/>
        <v>0</v>
      </c>
      <c r="AV94" s="1">
        <f t="shared" si="31"/>
        <v>0</v>
      </c>
      <c r="AW94" s="1">
        <f t="shared" si="32"/>
        <v>0</v>
      </c>
      <c r="AX94" s="1">
        <f t="shared" si="33"/>
        <v>0</v>
      </c>
      <c r="AY94" s="1">
        <f t="shared" si="34"/>
        <v>266.38799999999998</v>
      </c>
      <c r="AZ94" s="1">
        <f t="shared" si="35"/>
        <v>3.85</v>
      </c>
      <c r="BA94" s="1">
        <f t="shared" si="36"/>
        <v>4.12</v>
      </c>
      <c r="BB94" s="1">
        <f t="shared" si="37"/>
        <v>0.13799107142857142</v>
      </c>
      <c r="BC94" s="1">
        <f t="shared" si="38"/>
        <v>0</v>
      </c>
      <c r="BD94" s="1">
        <f t="shared" si="39"/>
        <v>1548.1399999999999</v>
      </c>
      <c r="BE94" s="1">
        <f t="shared" si="40"/>
        <v>0.31050500000000003</v>
      </c>
      <c r="BF94" s="1">
        <f t="shared" si="41"/>
        <v>0</v>
      </c>
      <c r="BG94" s="1">
        <f t="shared" si="42"/>
        <v>0</v>
      </c>
      <c r="BH94" s="1">
        <f t="shared" si="43"/>
        <v>0</v>
      </c>
      <c r="BI94" s="1">
        <f t="shared" si="44"/>
        <v>0</v>
      </c>
    </row>
    <row r="95" spans="1:61" ht="51" x14ac:dyDescent="0.2">
      <c r="A95" s="3">
        <v>93</v>
      </c>
      <c r="B95" s="3">
        <v>83</v>
      </c>
      <c r="C95" s="5" t="s">
        <v>276</v>
      </c>
      <c r="D95" s="68" t="s">
        <v>258</v>
      </c>
      <c r="E95" s="21">
        <v>281</v>
      </c>
      <c r="F95" s="21">
        <v>1030</v>
      </c>
      <c r="G95" s="21">
        <v>770</v>
      </c>
      <c r="H95" s="21">
        <v>137.99107142857142</v>
      </c>
      <c r="I95" s="21">
        <v>0</v>
      </c>
      <c r="J95" s="21">
        <v>55</v>
      </c>
      <c r="K95" s="21">
        <f t="shared" si="13"/>
        <v>0</v>
      </c>
      <c r="L95" s="21">
        <v>0</v>
      </c>
      <c r="M95" s="21">
        <v>0</v>
      </c>
      <c r="N95" s="21">
        <v>34.9</v>
      </c>
      <c r="O95" s="21">
        <v>34.9</v>
      </c>
      <c r="P95" s="19">
        <v>281</v>
      </c>
      <c r="Q95" s="19">
        <v>1030</v>
      </c>
      <c r="R95" s="19">
        <v>770</v>
      </c>
      <c r="S95" s="64">
        <v>137.99107142857142</v>
      </c>
      <c r="T95" s="19">
        <v>0</v>
      </c>
      <c r="U95" s="19">
        <v>55</v>
      </c>
      <c r="V95" s="19">
        <v>2.81</v>
      </c>
      <c r="W95" s="19">
        <v>0</v>
      </c>
      <c r="X95" s="19">
        <v>0</v>
      </c>
      <c r="Y95" s="19">
        <v>32.200000000000003</v>
      </c>
      <c r="Z95" s="19">
        <v>32.200000000000003</v>
      </c>
      <c r="AB95" s="1">
        <f t="shared" si="19"/>
        <v>1822.8959910714284</v>
      </c>
      <c r="AC95" s="1">
        <f t="shared" si="20"/>
        <v>1826.4787410714284</v>
      </c>
      <c r="AD95" s="1"/>
      <c r="AE95" s="1">
        <f t="shared" si="21"/>
        <v>34.9</v>
      </c>
      <c r="AF95" s="1">
        <f t="shared" si="22"/>
        <v>32.200000000000003</v>
      </c>
      <c r="AG95" s="1"/>
      <c r="AH95" s="1">
        <f t="shared" si="47"/>
        <v>52.2319768215309</v>
      </c>
      <c r="AI95" s="1">
        <f t="shared" si="48"/>
        <v>56.722942269299011</v>
      </c>
      <c r="AJ95" s="1"/>
      <c r="AK95" s="1">
        <f>(AH95-AI95)/V95</f>
        <v>-1.5982083444014632</v>
      </c>
      <c r="AN95" s="1">
        <f t="shared" si="23"/>
        <v>266.38799999999998</v>
      </c>
      <c r="AO95" s="1">
        <f t="shared" si="24"/>
        <v>5.15</v>
      </c>
      <c r="AP95" s="1">
        <f t="shared" si="25"/>
        <v>3.08</v>
      </c>
      <c r="AQ95" s="1">
        <f t="shared" si="26"/>
        <v>0.13799107142857142</v>
      </c>
      <c r="AR95" s="1">
        <f t="shared" si="27"/>
        <v>0</v>
      </c>
      <c r="AS95" s="1">
        <f t="shared" si="28"/>
        <v>1548.1399999999999</v>
      </c>
      <c r="AT95" s="1">
        <f t="shared" si="29"/>
        <v>0</v>
      </c>
      <c r="AU95" s="1">
        <f t="shared" si="30"/>
        <v>0</v>
      </c>
      <c r="AV95" s="1">
        <f t="shared" si="31"/>
        <v>0</v>
      </c>
      <c r="AW95" s="1">
        <f t="shared" si="32"/>
        <v>0</v>
      </c>
      <c r="AX95" s="1">
        <f t="shared" si="33"/>
        <v>0</v>
      </c>
      <c r="AY95" s="1">
        <f t="shared" si="34"/>
        <v>266.38799999999998</v>
      </c>
      <c r="AZ95" s="1">
        <f t="shared" si="35"/>
        <v>5.15</v>
      </c>
      <c r="BA95" s="1">
        <f t="shared" si="36"/>
        <v>3.08</v>
      </c>
      <c r="BB95" s="1">
        <f t="shared" si="37"/>
        <v>0.13799107142857142</v>
      </c>
      <c r="BC95" s="1">
        <f t="shared" si="38"/>
        <v>0</v>
      </c>
      <c r="BD95" s="1">
        <f t="shared" si="39"/>
        <v>1548.1399999999999</v>
      </c>
      <c r="BE95" s="1">
        <f t="shared" si="40"/>
        <v>0.62101000000000006</v>
      </c>
      <c r="BF95" s="1">
        <f t="shared" si="41"/>
        <v>0</v>
      </c>
      <c r="BG95" s="1">
        <f t="shared" si="42"/>
        <v>0</v>
      </c>
      <c r="BH95" s="1">
        <f t="shared" si="43"/>
        <v>0</v>
      </c>
      <c r="BI95" s="1">
        <f t="shared" si="44"/>
        <v>0</v>
      </c>
    </row>
    <row r="96" spans="1:61" ht="68" x14ac:dyDescent="0.2">
      <c r="A96" s="3">
        <v>94</v>
      </c>
      <c r="B96" s="3">
        <v>87</v>
      </c>
      <c r="C96" s="5" t="s">
        <v>277</v>
      </c>
      <c r="D96" s="68" t="s">
        <v>258</v>
      </c>
      <c r="E96" s="21">
        <v>308</v>
      </c>
      <c r="F96" s="21">
        <v>1070</v>
      </c>
      <c r="G96" s="21">
        <v>756</v>
      </c>
      <c r="H96" s="21">
        <v>120.12</v>
      </c>
      <c r="I96" s="21">
        <v>77</v>
      </c>
      <c r="J96" s="21">
        <v>0</v>
      </c>
      <c r="K96" s="21">
        <f t="shared" si="13"/>
        <v>0</v>
      </c>
      <c r="L96" s="21">
        <v>0</v>
      </c>
      <c r="M96" s="21">
        <v>0</v>
      </c>
      <c r="N96" s="21">
        <v>53.7</v>
      </c>
      <c r="O96" s="21">
        <v>53.7</v>
      </c>
      <c r="P96" s="19">
        <v>308</v>
      </c>
      <c r="Q96" s="19">
        <v>1070</v>
      </c>
      <c r="R96" s="19">
        <v>756</v>
      </c>
      <c r="S96" s="64">
        <v>120.12</v>
      </c>
      <c r="T96" s="19">
        <v>77</v>
      </c>
      <c r="U96" s="19">
        <v>0</v>
      </c>
      <c r="V96" s="19">
        <v>1.54</v>
      </c>
      <c r="W96" s="19">
        <v>0</v>
      </c>
      <c r="X96" s="19">
        <v>0</v>
      </c>
      <c r="Y96" s="19">
        <v>55.311</v>
      </c>
      <c r="Z96" s="19">
        <v>55.311</v>
      </c>
      <c r="AB96" s="1">
        <f t="shared" si="19"/>
        <v>1593.0001200000002</v>
      </c>
      <c r="AC96" s="1">
        <f t="shared" si="20"/>
        <v>1594.9636200000002</v>
      </c>
      <c r="AD96" s="1"/>
      <c r="AE96" s="1">
        <f t="shared" si="21"/>
        <v>53.7</v>
      </c>
      <c r="AF96" s="1">
        <f t="shared" si="22"/>
        <v>55.311</v>
      </c>
      <c r="AG96" s="1"/>
      <c r="AH96" s="1">
        <f t="shared" si="47"/>
        <v>29.664806703910617</v>
      </c>
      <c r="AI96" s="1">
        <f t="shared" si="48"/>
        <v>28.836282475456965</v>
      </c>
      <c r="AJ96" s="1"/>
      <c r="AK96" s="1">
        <f>(AH96-AI96)/V96</f>
        <v>0.53800274574912488</v>
      </c>
      <c r="AN96" s="1">
        <f t="shared" si="23"/>
        <v>291.98399999999998</v>
      </c>
      <c r="AO96" s="1">
        <f t="shared" si="24"/>
        <v>5.3500000000000005</v>
      </c>
      <c r="AP96" s="1">
        <f t="shared" si="25"/>
        <v>3.024</v>
      </c>
      <c r="AQ96" s="1">
        <f t="shared" si="26"/>
        <v>0.12012</v>
      </c>
      <c r="AR96" s="1">
        <f t="shared" si="27"/>
        <v>1292.5220000000002</v>
      </c>
      <c r="AS96" s="1">
        <f t="shared" si="28"/>
        <v>0</v>
      </c>
      <c r="AT96" s="1">
        <f t="shared" si="29"/>
        <v>0</v>
      </c>
      <c r="AU96" s="1">
        <f t="shared" si="30"/>
        <v>0</v>
      </c>
      <c r="AV96" s="1">
        <f t="shared" si="31"/>
        <v>0</v>
      </c>
      <c r="AW96" s="1">
        <f t="shared" si="32"/>
        <v>0</v>
      </c>
      <c r="AX96" s="1">
        <f t="shared" si="33"/>
        <v>0</v>
      </c>
      <c r="AY96" s="1">
        <f t="shared" si="34"/>
        <v>291.98399999999998</v>
      </c>
      <c r="AZ96" s="1">
        <f t="shared" si="35"/>
        <v>5.3500000000000005</v>
      </c>
      <c r="BA96" s="1">
        <f t="shared" si="36"/>
        <v>3.024</v>
      </c>
      <c r="BB96" s="1">
        <f t="shared" si="37"/>
        <v>0.12012</v>
      </c>
      <c r="BC96" s="1">
        <f t="shared" si="38"/>
        <v>1292.5220000000002</v>
      </c>
      <c r="BD96" s="1">
        <f t="shared" si="39"/>
        <v>0</v>
      </c>
      <c r="BE96" s="1">
        <f t="shared" si="40"/>
        <v>0.34034000000000003</v>
      </c>
      <c r="BF96" s="1">
        <f t="shared" si="41"/>
        <v>0</v>
      </c>
      <c r="BG96" s="1">
        <f t="shared" si="42"/>
        <v>0</v>
      </c>
      <c r="BH96" s="1">
        <f t="shared" si="43"/>
        <v>0</v>
      </c>
      <c r="BI96" s="1">
        <f t="shared" si="44"/>
        <v>0</v>
      </c>
    </row>
    <row r="97" spans="1:61" ht="68" x14ac:dyDescent="0.2">
      <c r="A97" s="3">
        <v>95</v>
      </c>
      <c r="B97" s="3">
        <v>88</v>
      </c>
      <c r="C97" s="5" t="s">
        <v>277</v>
      </c>
      <c r="D97" s="68" t="s">
        <v>258</v>
      </c>
      <c r="E97" s="21">
        <v>308</v>
      </c>
      <c r="F97" s="21">
        <v>1070</v>
      </c>
      <c r="G97" s="21">
        <v>756</v>
      </c>
      <c r="H97" s="21">
        <v>120.12</v>
      </c>
      <c r="I97" s="21">
        <v>77</v>
      </c>
      <c r="J97" s="21">
        <v>0</v>
      </c>
      <c r="K97" s="21">
        <f t="shared" si="13"/>
        <v>0</v>
      </c>
      <c r="L97" s="21">
        <v>0</v>
      </c>
      <c r="M97" s="21">
        <v>0</v>
      </c>
      <c r="N97" s="21">
        <v>53.7</v>
      </c>
      <c r="O97" s="21">
        <v>53.7</v>
      </c>
      <c r="P97" s="19">
        <v>308</v>
      </c>
      <c r="Q97" s="19">
        <v>1070</v>
      </c>
      <c r="R97" s="19">
        <v>756</v>
      </c>
      <c r="S97" s="64">
        <v>120.12</v>
      </c>
      <c r="T97" s="19">
        <v>77</v>
      </c>
      <c r="U97" s="19">
        <v>0</v>
      </c>
      <c r="V97" s="19">
        <v>0.46200000000000002</v>
      </c>
      <c r="W97" s="19">
        <v>0</v>
      </c>
      <c r="X97" s="19">
        <v>0</v>
      </c>
      <c r="Y97" s="19">
        <v>51.552</v>
      </c>
      <c r="Z97" s="19">
        <v>51.552</v>
      </c>
      <c r="AB97" s="1">
        <f t="shared" si="19"/>
        <v>1593.0001200000002</v>
      </c>
      <c r="AC97" s="1">
        <f t="shared" si="20"/>
        <v>1593.5891700000002</v>
      </c>
      <c r="AD97" s="1"/>
      <c r="AE97" s="1">
        <f t="shared" si="21"/>
        <v>53.7</v>
      </c>
      <c r="AF97" s="1">
        <f t="shared" si="22"/>
        <v>51.552</v>
      </c>
      <c r="AG97" s="1"/>
      <c r="AH97" s="1">
        <f t="shared" si="47"/>
        <v>29.664806703910617</v>
      </c>
      <c r="AI97" s="1">
        <f t="shared" si="48"/>
        <v>30.912266643389202</v>
      </c>
      <c r="AJ97" s="1"/>
      <c r="AK97" s="1">
        <f>(AH97-AI97)/V97</f>
        <v>-2.7001297391311359</v>
      </c>
      <c r="AN97" s="1">
        <f t="shared" si="23"/>
        <v>291.98399999999998</v>
      </c>
      <c r="AO97" s="1">
        <f t="shared" si="24"/>
        <v>5.3500000000000005</v>
      </c>
      <c r="AP97" s="1">
        <f t="shared" si="25"/>
        <v>3.024</v>
      </c>
      <c r="AQ97" s="1">
        <f t="shared" si="26"/>
        <v>0.12012</v>
      </c>
      <c r="AR97" s="1">
        <f t="shared" si="27"/>
        <v>1292.5220000000002</v>
      </c>
      <c r="AS97" s="1">
        <f t="shared" si="28"/>
        <v>0</v>
      </c>
      <c r="AT97" s="1">
        <f t="shared" si="29"/>
        <v>0</v>
      </c>
      <c r="AU97" s="1">
        <f t="shared" si="30"/>
        <v>0</v>
      </c>
      <c r="AV97" s="1">
        <f t="shared" si="31"/>
        <v>0</v>
      </c>
      <c r="AW97" s="1">
        <f t="shared" si="32"/>
        <v>0</v>
      </c>
      <c r="AX97" s="1">
        <f t="shared" si="33"/>
        <v>0</v>
      </c>
      <c r="AY97" s="1">
        <f t="shared" si="34"/>
        <v>291.98399999999998</v>
      </c>
      <c r="AZ97" s="1">
        <f t="shared" si="35"/>
        <v>5.3500000000000005</v>
      </c>
      <c r="BA97" s="1">
        <f t="shared" si="36"/>
        <v>3.024</v>
      </c>
      <c r="BB97" s="1">
        <f t="shared" si="37"/>
        <v>0.12012</v>
      </c>
      <c r="BC97" s="1">
        <f t="shared" si="38"/>
        <v>1292.5220000000002</v>
      </c>
      <c r="BD97" s="1">
        <f t="shared" si="39"/>
        <v>0</v>
      </c>
      <c r="BE97" s="1">
        <f t="shared" si="40"/>
        <v>0.10210200000000001</v>
      </c>
      <c r="BF97" s="1">
        <f t="shared" si="41"/>
        <v>0</v>
      </c>
      <c r="BG97" s="1">
        <f t="shared" si="42"/>
        <v>0</v>
      </c>
      <c r="BH97" s="1">
        <f t="shared" si="43"/>
        <v>0</v>
      </c>
      <c r="BI97" s="1">
        <f t="shared" si="44"/>
        <v>0</v>
      </c>
    </row>
    <row r="98" spans="1:61" ht="68" x14ac:dyDescent="0.2">
      <c r="A98" s="3">
        <v>96</v>
      </c>
      <c r="B98" s="3">
        <v>89</v>
      </c>
      <c r="C98" s="5" t="s">
        <v>277</v>
      </c>
      <c r="D98" s="68" t="s">
        <v>258</v>
      </c>
      <c r="E98" s="21">
        <v>308</v>
      </c>
      <c r="F98" s="21">
        <v>1070</v>
      </c>
      <c r="G98" s="21">
        <v>756</v>
      </c>
      <c r="H98" s="21">
        <v>120.12</v>
      </c>
      <c r="I98" s="21">
        <v>77</v>
      </c>
      <c r="J98" s="21">
        <v>0</v>
      </c>
      <c r="K98" s="21">
        <f t="shared" si="13"/>
        <v>0</v>
      </c>
      <c r="L98" s="21">
        <v>0</v>
      </c>
      <c r="M98" s="21">
        <v>0</v>
      </c>
      <c r="N98" s="21">
        <v>53.7</v>
      </c>
      <c r="O98" s="21">
        <v>53.7</v>
      </c>
      <c r="P98" s="19">
        <v>308</v>
      </c>
      <c r="Q98" s="19">
        <v>1070</v>
      </c>
      <c r="R98" s="19">
        <v>756</v>
      </c>
      <c r="S98" s="64">
        <v>120.12</v>
      </c>
      <c r="T98" s="19">
        <v>77</v>
      </c>
      <c r="U98" s="19">
        <v>0</v>
      </c>
      <c r="V98" s="19">
        <v>0.92400000000000004</v>
      </c>
      <c r="W98" s="19">
        <v>0</v>
      </c>
      <c r="X98" s="19">
        <v>0</v>
      </c>
      <c r="Y98" s="19">
        <v>50.478000000000002</v>
      </c>
      <c r="Z98" s="19">
        <v>50.478000000000002</v>
      </c>
      <c r="AB98" s="1">
        <f t="shared" si="19"/>
        <v>1593.0001200000002</v>
      </c>
      <c r="AC98" s="1">
        <f t="shared" si="20"/>
        <v>1594.17822</v>
      </c>
      <c r="AD98" s="1"/>
      <c r="AE98" s="1">
        <f t="shared" si="21"/>
        <v>53.7</v>
      </c>
      <c r="AF98" s="1">
        <f t="shared" si="22"/>
        <v>50.478000000000002</v>
      </c>
      <c r="AG98" s="1"/>
      <c r="AH98" s="1">
        <f t="shared" si="45"/>
        <v>29.664806703910617</v>
      </c>
      <c r="AI98" s="1">
        <f t="shared" si="46"/>
        <v>31.581643884464519</v>
      </c>
      <c r="AJ98" s="1"/>
      <c r="AK98" s="1">
        <f>(AH98-AI98)/V98</f>
        <v>-2.074499113153573</v>
      </c>
      <c r="AN98" s="1">
        <f t="shared" si="23"/>
        <v>291.98399999999998</v>
      </c>
      <c r="AO98" s="1">
        <f t="shared" si="24"/>
        <v>5.3500000000000005</v>
      </c>
      <c r="AP98" s="1">
        <f t="shared" si="25"/>
        <v>3.024</v>
      </c>
      <c r="AQ98" s="1">
        <f t="shared" si="26"/>
        <v>0.12012</v>
      </c>
      <c r="AR98" s="1">
        <f t="shared" si="27"/>
        <v>1292.5220000000002</v>
      </c>
      <c r="AS98" s="1">
        <f t="shared" si="28"/>
        <v>0</v>
      </c>
      <c r="AT98" s="1">
        <f t="shared" si="29"/>
        <v>0</v>
      </c>
      <c r="AU98" s="1">
        <f t="shared" si="30"/>
        <v>0</v>
      </c>
      <c r="AV98" s="1">
        <f t="shared" si="31"/>
        <v>0</v>
      </c>
      <c r="AW98" s="1">
        <f t="shared" si="32"/>
        <v>0</v>
      </c>
      <c r="AX98" s="1">
        <f t="shared" si="33"/>
        <v>0</v>
      </c>
      <c r="AY98" s="1">
        <f t="shared" si="34"/>
        <v>291.98399999999998</v>
      </c>
      <c r="AZ98" s="1">
        <f t="shared" si="35"/>
        <v>5.3500000000000005</v>
      </c>
      <c r="BA98" s="1">
        <f t="shared" si="36"/>
        <v>3.024</v>
      </c>
      <c r="BB98" s="1">
        <f t="shared" si="37"/>
        <v>0.12012</v>
      </c>
      <c r="BC98" s="1">
        <f t="shared" si="38"/>
        <v>1292.5220000000002</v>
      </c>
      <c r="BD98" s="1">
        <f t="shared" si="39"/>
        <v>0</v>
      </c>
      <c r="BE98" s="1">
        <f t="shared" si="40"/>
        <v>0.20420400000000002</v>
      </c>
      <c r="BF98" s="1">
        <f t="shared" si="41"/>
        <v>0</v>
      </c>
      <c r="BG98" s="1">
        <f t="shared" si="42"/>
        <v>0</v>
      </c>
      <c r="BH98" s="1">
        <f t="shared" si="43"/>
        <v>0</v>
      </c>
      <c r="BI98" s="1">
        <f t="shared" si="44"/>
        <v>0</v>
      </c>
    </row>
    <row r="99" spans="1:61" ht="17" x14ac:dyDescent="0.2">
      <c r="A99" s="3">
        <v>97</v>
      </c>
      <c r="B99" s="3">
        <v>90</v>
      </c>
      <c r="C99" s="5" t="s">
        <v>259</v>
      </c>
      <c r="D99" s="68" t="s">
        <v>258</v>
      </c>
      <c r="E99" s="21">
        <v>212</v>
      </c>
      <c r="F99" s="21">
        <v>1080</v>
      </c>
      <c r="G99" s="21">
        <v>959</v>
      </c>
      <c r="H99" s="21">
        <v>124</v>
      </c>
      <c r="I99" s="21">
        <v>53</v>
      </c>
      <c r="J99" s="21">
        <v>0</v>
      </c>
      <c r="K99" s="21">
        <f t="shared" si="13"/>
        <v>0</v>
      </c>
      <c r="L99" s="21">
        <v>0</v>
      </c>
      <c r="M99" s="21">
        <v>0</v>
      </c>
      <c r="N99" s="21">
        <v>30.818181818181799</v>
      </c>
      <c r="O99" s="21">
        <v>30.818181818181799</v>
      </c>
      <c r="P99" s="19">
        <v>212</v>
      </c>
      <c r="Q99" s="19">
        <v>1080</v>
      </c>
      <c r="R99" s="19">
        <v>959</v>
      </c>
      <c r="S99" s="64">
        <v>124</v>
      </c>
      <c r="T99" s="19">
        <v>53</v>
      </c>
      <c r="U99" s="19">
        <v>0</v>
      </c>
      <c r="V99" s="19">
        <v>0.63600000000000001</v>
      </c>
      <c r="W99" s="19">
        <v>0</v>
      </c>
      <c r="X99" s="19">
        <v>0</v>
      </c>
      <c r="Y99" s="19">
        <v>33.9</v>
      </c>
      <c r="Z99" s="19">
        <v>33.9</v>
      </c>
      <c r="AB99" s="1">
        <f t="shared" si="19"/>
        <v>1099.9940000000001</v>
      </c>
      <c r="AC99" s="1">
        <f t="shared" si="20"/>
        <v>1100.8049000000001</v>
      </c>
      <c r="AD99" s="1"/>
      <c r="AE99" s="1">
        <f t="shared" si="21"/>
        <v>30.818181818181799</v>
      </c>
      <c r="AF99" s="1">
        <f t="shared" si="22"/>
        <v>33.9</v>
      </c>
      <c r="AG99" s="1"/>
      <c r="AH99" s="1">
        <f t="shared" si="45"/>
        <v>35.693020648967575</v>
      </c>
      <c r="AI99" s="1">
        <f t="shared" si="46"/>
        <v>32.47212094395281</v>
      </c>
      <c r="AJ99" s="1"/>
      <c r="AK99" s="1">
        <f>(AH99-AI99)/V99</f>
        <v>5.0643077122873672</v>
      </c>
      <c r="AN99" s="1">
        <f t="shared" si="23"/>
        <v>200.976</v>
      </c>
      <c r="AO99" s="1">
        <f t="shared" si="24"/>
        <v>5.4</v>
      </c>
      <c r="AP99" s="1">
        <f t="shared" si="25"/>
        <v>3.8360000000000003</v>
      </c>
      <c r="AQ99" s="1">
        <f t="shared" si="26"/>
        <v>0.124</v>
      </c>
      <c r="AR99" s="1">
        <f t="shared" si="27"/>
        <v>889.65800000000013</v>
      </c>
      <c r="AS99" s="1">
        <f t="shared" si="28"/>
        <v>0</v>
      </c>
      <c r="AT99" s="1">
        <f t="shared" si="29"/>
        <v>0</v>
      </c>
      <c r="AU99" s="1">
        <f t="shared" si="30"/>
        <v>0</v>
      </c>
      <c r="AV99" s="1">
        <f t="shared" si="31"/>
        <v>0</v>
      </c>
      <c r="AW99" s="1">
        <f t="shared" si="32"/>
        <v>0</v>
      </c>
      <c r="AX99" s="1">
        <f t="shared" si="33"/>
        <v>0</v>
      </c>
      <c r="AY99" s="1">
        <f t="shared" si="34"/>
        <v>200.976</v>
      </c>
      <c r="AZ99" s="1">
        <f t="shared" si="35"/>
        <v>5.4</v>
      </c>
      <c r="BA99" s="1">
        <f t="shared" si="36"/>
        <v>3.8360000000000003</v>
      </c>
      <c r="BB99" s="1">
        <f t="shared" si="37"/>
        <v>0.124</v>
      </c>
      <c r="BC99" s="1">
        <f t="shared" si="38"/>
        <v>889.65800000000013</v>
      </c>
      <c r="BD99" s="1">
        <f t="shared" si="39"/>
        <v>0</v>
      </c>
      <c r="BE99" s="1">
        <f t="shared" si="40"/>
        <v>0.14055600000000001</v>
      </c>
      <c r="BF99" s="1">
        <f t="shared" si="41"/>
        <v>0</v>
      </c>
      <c r="BG99" s="1">
        <f t="shared" si="42"/>
        <v>0</v>
      </c>
      <c r="BH99" s="1">
        <f t="shared" si="43"/>
        <v>0</v>
      </c>
      <c r="BI99" s="1">
        <f t="shared" si="44"/>
        <v>0</v>
      </c>
    </row>
    <row r="100" spans="1:61" ht="17" x14ac:dyDescent="0.2">
      <c r="A100" s="3">
        <v>98</v>
      </c>
      <c r="B100" s="3">
        <v>91</v>
      </c>
      <c r="C100" s="5" t="s">
        <v>259</v>
      </c>
      <c r="D100" s="68" t="s">
        <v>258</v>
      </c>
      <c r="E100" s="21">
        <v>212</v>
      </c>
      <c r="F100" s="21">
        <v>1080</v>
      </c>
      <c r="G100" s="21">
        <v>959</v>
      </c>
      <c r="H100" s="21">
        <v>124</v>
      </c>
      <c r="I100" s="21">
        <v>53</v>
      </c>
      <c r="J100" s="21">
        <v>0</v>
      </c>
      <c r="K100" s="21">
        <f t="shared" si="13"/>
        <v>0</v>
      </c>
      <c r="L100" s="21">
        <v>0</v>
      </c>
      <c r="M100" s="21">
        <v>0</v>
      </c>
      <c r="N100" s="21">
        <v>30.818181818181799</v>
      </c>
      <c r="O100" s="21">
        <v>30.818181818181799</v>
      </c>
      <c r="P100" s="19">
        <v>212</v>
      </c>
      <c r="Q100" s="19">
        <v>1080</v>
      </c>
      <c r="R100" s="19">
        <v>959</v>
      </c>
      <c r="S100" s="64">
        <v>124</v>
      </c>
      <c r="T100" s="19">
        <v>53</v>
      </c>
      <c r="U100" s="19">
        <v>0</v>
      </c>
      <c r="V100" s="19">
        <v>1.272</v>
      </c>
      <c r="W100" s="19">
        <v>0</v>
      </c>
      <c r="X100" s="19">
        <v>0</v>
      </c>
      <c r="Y100" s="19">
        <v>32.799999999999997</v>
      </c>
      <c r="Z100" s="19">
        <v>32.799999999999997</v>
      </c>
      <c r="AB100" s="1">
        <f t="shared" si="19"/>
        <v>1099.9940000000001</v>
      </c>
      <c r="AC100" s="1">
        <f t="shared" si="20"/>
        <v>1101.6158</v>
      </c>
      <c r="AD100" s="1"/>
      <c r="AE100" s="1">
        <f t="shared" si="21"/>
        <v>30.818181818181799</v>
      </c>
      <c r="AF100" s="1">
        <f t="shared" si="22"/>
        <v>32.799999999999997</v>
      </c>
      <c r="AG100" s="1"/>
      <c r="AH100" s="1">
        <f t="shared" si="45"/>
        <v>35.693020648967575</v>
      </c>
      <c r="AI100" s="1">
        <f t="shared" si="46"/>
        <v>33.585847560975616</v>
      </c>
      <c r="AJ100" s="1"/>
      <c r="AK100" s="1">
        <f>(AH100-AI100)/V100</f>
        <v>1.6565826163458803</v>
      </c>
      <c r="AN100" s="1">
        <f t="shared" si="23"/>
        <v>200.976</v>
      </c>
      <c r="AO100" s="1">
        <f t="shared" si="24"/>
        <v>5.4</v>
      </c>
      <c r="AP100" s="1">
        <f t="shared" si="25"/>
        <v>3.8360000000000003</v>
      </c>
      <c r="AQ100" s="1">
        <f t="shared" si="26"/>
        <v>0.124</v>
      </c>
      <c r="AR100" s="1">
        <f t="shared" si="27"/>
        <v>889.65800000000013</v>
      </c>
      <c r="AS100" s="1">
        <f t="shared" si="28"/>
        <v>0</v>
      </c>
      <c r="AT100" s="1">
        <f t="shared" si="29"/>
        <v>0</v>
      </c>
      <c r="AU100" s="1">
        <f t="shared" si="30"/>
        <v>0</v>
      </c>
      <c r="AV100" s="1">
        <f t="shared" si="31"/>
        <v>0</v>
      </c>
      <c r="AW100" s="1">
        <f t="shared" si="32"/>
        <v>0</v>
      </c>
      <c r="AX100" s="1">
        <f t="shared" si="33"/>
        <v>0</v>
      </c>
      <c r="AY100" s="1">
        <f t="shared" si="34"/>
        <v>200.976</v>
      </c>
      <c r="AZ100" s="1">
        <f t="shared" si="35"/>
        <v>5.4</v>
      </c>
      <c r="BA100" s="1">
        <f t="shared" si="36"/>
        <v>3.8360000000000003</v>
      </c>
      <c r="BB100" s="1">
        <f t="shared" si="37"/>
        <v>0.124</v>
      </c>
      <c r="BC100" s="1">
        <f t="shared" si="38"/>
        <v>889.65800000000013</v>
      </c>
      <c r="BD100" s="1">
        <f t="shared" si="39"/>
        <v>0</v>
      </c>
      <c r="BE100" s="1">
        <f t="shared" si="40"/>
        <v>0.28111200000000003</v>
      </c>
      <c r="BF100" s="1">
        <f t="shared" si="41"/>
        <v>0</v>
      </c>
      <c r="BG100" s="1">
        <f t="shared" si="42"/>
        <v>0</v>
      </c>
      <c r="BH100" s="1">
        <f t="shared" si="43"/>
        <v>0</v>
      </c>
      <c r="BI100" s="1">
        <f t="shared" si="44"/>
        <v>0</v>
      </c>
    </row>
    <row r="101" spans="1:61" ht="17" x14ac:dyDescent="0.2">
      <c r="A101" s="3">
        <v>99</v>
      </c>
      <c r="B101" s="3">
        <v>92</v>
      </c>
      <c r="C101" s="5" t="s">
        <v>259</v>
      </c>
      <c r="D101" s="68" t="s">
        <v>258</v>
      </c>
      <c r="E101" s="21">
        <v>212</v>
      </c>
      <c r="F101" s="21">
        <v>1080</v>
      </c>
      <c r="G101" s="21">
        <v>959</v>
      </c>
      <c r="H101" s="21">
        <v>155</v>
      </c>
      <c r="I101" s="21">
        <v>53</v>
      </c>
      <c r="J101" s="21">
        <v>0</v>
      </c>
      <c r="K101" s="21">
        <f t="shared" si="13"/>
        <v>0</v>
      </c>
      <c r="L101" s="21">
        <v>0</v>
      </c>
      <c r="M101" s="21">
        <v>0</v>
      </c>
      <c r="N101" s="21">
        <v>30.818181818181799</v>
      </c>
      <c r="O101" s="21">
        <v>30.818181818181799</v>
      </c>
      <c r="P101" s="19">
        <v>212</v>
      </c>
      <c r="Q101" s="19">
        <v>1080</v>
      </c>
      <c r="R101" s="19">
        <v>959</v>
      </c>
      <c r="S101" s="64">
        <v>155</v>
      </c>
      <c r="T101" s="19">
        <v>53</v>
      </c>
      <c r="U101" s="19">
        <v>0</v>
      </c>
      <c r="V101" s="19">
        <v>0.63600000000000001</v>
      </c>
      <c r="W101" s="19">
        <v>0</v>
      </c>
      <c r="X101" s="19">
        <v>0</v>
      </c>
      <c r="Y101" s="19">
        <v>35.799999999999997</v>
      </c>
      <c r="Z101" s="19">
        <v>35.799999999999997</v>
      </c>
      <c r="AB101" s="1">
        <f t="shared" si="19"/>
        <v>1100.0250000000001</v>
      </c>
      <c r="AC101" s="1">
        <f t="shared" si="20"/>
        <v>1100.8359</v>
      </c>
      <c r="AD101" s="1"/>
      <c r="AE101" s="1">
        <f t="shared" si="21"/>
        <v>30.818181818181799</v>
      </c>
      <c r="AF101" s="1">
        <f t="shared" si="22"/>
        <v>35.799999999999997</v>
      </c>
      <c r="AG101" s="1"/>
      <c r="AH101" s="1">
        <f t="shared" si="45"/>
        <v>35.694026548672589</v>
      </c>
      <c r="AI101" s="1">
        <f t="shared" si="46"/>
        <v>30.749606145251398</v>
      </c>
      <c r="AJ101" s="1"/>
      <c r="AK101" s="1">
        <f>(AH101-AI101)/V101</f>
        <v>7.7742459173289165</v>
      </c>
      <c r="AN101" s="1">
        <f t="shared" si="23"/>
        <v>200.976</v>
      </c>
      <c r="AO101" s="1">
        <f t="shared" si="24"/>
        <v>5.4</v>
      </c>
      <c r="AP101" s="1">
        <f t="shared" si="25"/>
        <v>3.8360000000000003</v>
      </c>
      <c r="AQ101" s="1">
        <f t="shared" si="26"/>
        <v>0.155</v>
      </c>
      <c r="AR101" s="1">
        <f t="shared" si="27"/>
        <v>889.65800000000013</v>
      </c>
      <c r="AS101" s="1">
        <f t="shared" si="28"/>
        <v>0</v>
      </c>
      <c r="AT101" s="1">
        <f t="shared" si="29"/>
        <v>0</v>
      </c>
      <c r="AU101" s="1">
        <f t="shared" si="30"/>
        <v>0</v>
      </c>
      <c r="AV101" s="1">
        <f t="shared" si="31"/>
        <v>0</v>
      </c>
      <c r="AW101" s="1">
        <f t="shared" si="32"/>
        <v>0</v>
      </c>
      <c r="AX101" s="1">
        <f t="shared" si="33"/>
        <v>0</v>
      </c>
      <c r="AY101" s="1">
        <f t="shared" si="34"/>
        <v>200.976</v>
      </c>
      <c r="AZ101" s="1">
        <f t="shared" si="35"/>
        <v>5.4</v>
      </c>
      <c r="BA101" s="1">
        <f t="shared" si="36"/>
        <v>3.8360000000000003</v>
      </c>
      <c r="BB101" s="1">
        <f t="shared" si="37"/>
        <v>0.155</v>
      </c>
      <c r="BC101" s="1">
        <f t="shared" si="38"/>
        <v>889.65800000000013</v>
      </c>
      <c r="BD101" s="1">
        <f t="shared" si="39"/>
        <v>0</v>
      </c>
      <c r="BE101" s="1">
        <f t="shared" si="40"/>
        <v>0.14055600000000001</v>
      </c>
      <c r="BF101" s="1">
        <f t="shared" si="41"/>
        <v>0</v>
      </c>
      <c r="BG101" s="1">
        <f t="shared" si="42"/>
        <v>0</v>
      </c>
      <c r="BH101" s="1">
        <f t="shared" si="43"/>
        <v>0</v>
      </c>
      <c r="BI101" s="1">
        <f t="shared" si="44"/>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3DC11-EBBE-E14F-867B-E7E6B5C0D910}">
  <sheetPr filterMode="1"/>
  <dimension ref="A1:CA117"/>
  <sheetViews>
    <sheetView tabSelected="1" zoomScale="66" workbookViewId="0">
      <pane xSplit="5" ySplit="1" topLeftCell="BW2" activePane="bottomRight" state="frozen"/>
      <selection pane="topRight" activeCell="F1" sqref="F1"/>
      <selection pane="bottomLeft" activeCell="A2" sqref="A2"/>
      <selection pane="bottomRight" activeCell="BY3" sqref="BY3:BY22"/>
    </sheetView>
  </sheetViews>
  <sheetFormatPr baseColWidth="10" defaultRowHeight="16" x14ac:dyDescent="0.2"/>
  <cols>
    <col min="2" max="2" width="73.5" customWidth="1"/>
    <col min="4" max="4" width="17" customWidth="1"/>
    <col min="5" max="5" width="82.33203125" customWidth="1"/>
    <col min="6" max="6" width="14.33203125" customWidth="1"/>
    <col min="7" max="14" width="21" customWidth="1"/>
    <col min="15" max="15" width="15.5" customWidth="1"/>
    <col min="16" max="16" width="13.1640625" customWidth="1"/>
    <col min="17" max="25" width="12.83203125" customWidth="1"/>
    <col min="26" max="28" width="15.6640625" customWidth="1"/>
    <col min="29" max="29" width="11.6640625" bestFit="1" customWidth="1"/>
    <col min="30" max="30" width="11.6640625" customWidth="1"/>
    <col min="37" max="37" width="12.1640625" bestFit="1" customWidth="1"/>
    <col min="44" max="44" width="12.1640625" bestFit="1" customWidth="1"/>
    <col min="45" max="59" width="12.1640625" customWidth="1"/>
    <col min="60" max="62" width="19.33203125" customWidth="1"/>
    <col min="69" max="69" width="12.6640625" customWidth="1"/>
    <col min="72" max="72" width="13.83203125" customWidth="1"/>
    <col min="73" max="73" width="18.1640625" customWidth="1"/>
    <col min="74" max="74" width="14.83203125" customWidth="1"/>
    <col min="75" max="76" width="22.6640625" customWidth="1"/>
    <col min="77" max="77" width="25.1640625" customWidth="1"/>
    <col min="78" max="78" width="17.6640625" customWidth="1"/>
    <col min="79" max="79" width="17.33203125" customWidth="1"/>
  </cols>
  <sheetData>
    <row r="1" spans="1:79" ht="85" x14ac:dyDescent="0.2">
      <c r="A1" s="9" t="s">
        <v>3</v>
      </c>
      <c r="B1" s="9" t="s">
        <v>4</v>
      </c>
      <c r="C1" s="9" t="s">
        <v>5</v>
      </c>
      <c r="D1" s="10" t="s">
        <v>6</v>
      </c>
      <c r="E1" s="9" t="s">
        <v>7</v>
      </c>
      <c r="F1" s="10" t="s">
        <v>8</v>
      </c>
      <c r="G1" s="10" t="s">
        <v>9</v>
      </c>
      <c r="H1" s="10" t="s">
        <v>10</v>
      </c>
      <c r="I1" s="10" t="s">
        <v>11</v>
      </c>
      <c r="J1" s="10" t="s">
        <v>12</v>
      </c>
      <c r="K1" s="10" t="s">
        <v>13</v>
      </c>
      <c r="L1" s="10" t="s">
        <v>14</v>
      </c>
      <c r="M1" s="10" t="s">
        <v>15</v>
      </c>
      <c r="N1" s="10" t="s">
        <v>16</v>
      </c>
      <c r="O1" s="11" t="s">
        <v>17</v>
      </c>
      <c r="P1" s="11" t="s">
        <v>18</v>
      </c>
      <c r="Q1" s="12" t="s">
        <v>19</v>
      </c>
      <c r="R1" s="12" t="s">
        <v>20</v>
      </c>
      <c r="S1" s="12" t="s">
        <v>21</v>
      </c>
      <c r="T1" s="12" t="s">
        <v>22</v>
      </c>
      <c r="U1" s="12" t="s">
        <v>23</v>
      </c>
      <c r="V1" s="12" t="s">
        <v>24</v>
      </c>
      <c r="W1" s="12" t="s">
        <v>25</v>
      </c>
      <c r="X1" s="12" t="s">
        <v>26</v>
      </c>
      <c r="Y1" s="12" t="s">
        <v>27</v>
      </c>
      <c r="Z1" s="12" t="s">
        <v>28</v>
      </c>
      <c r="AA1" s="12" t="s">
        <v>29</v>
      </c>
      <c r="AB1" s="12" t="s">
        <v>30</v>
      </c>
      <c r="AC1" s="12" t="s">
        <v>31</v>
      </c>
      <c r="AD1" s="12" t="s">
        <v>32</v>
      </c>
      <c r="AE1" s="12" t="s">
        <v>33</v>
      </c>
      <c r="AF1" s="12" t="s">
        <v>34</v>
      </c>
      <c r="AG1" s="12" t="s">
        <v>35</v>
      </c>
      <c r="AH1" s="12" t="s">
        <v>36</v>
      </c>
      <c r="AI1" s="12" t="s">
        <v>37</v>
      </c>
      <c r="AJ1" s="12" t="s">
        <v>38</v>
      </c>
      <c r="AK1" s="12" t="s">
        <v>39</v>
      </c>
      <c r="AL1" s="12" t="s">
        <v>40</v>
      </c>
      <c r="AM1" s="12" t="s">
        <v>41</v>
      </c>
      <c r="AN1" s="12" t="s">
        <v>42</v>
      </c>
      <c r="AO1" s="12" t="s">
        <v>43</v>
      </c>
      <c r="AP1" s="12" t="s">
        <v>44</v>
      </c>
      <c r="AQ1" s="12" t="s">
        <v>45</v>
      </c>
      <c r="AR1" s="12" t="s">
        <v>46</v>
      </c>
      <c r="AS1" s="13" t="s">
        <v>47</v>
      </c>
      <c r="AT1" s="14" t="s">
        <v>48</v>
      </c>
      <c r="AU1" s="14" t="s">
        <v>49</v>
      </c>
      <c r="AV1" s="14" t="s">
        <v>50</v>
      </c>
      <c r="AW1" s="14" t="s">
        <v>51</v>
      </c>
      <c r="AX1" s="14" t="s">
        <v>52</v>
      </c>
      <c r="AY1" s="14" t="s">
        <v>53</v>
      </c>
      <c r="AZ1" s="14" t="s">
        <v>54</v>
      </c>
      <c r="BA1" s="14" t="s">
        <v>55</v>
      </c>
      <c r="BB1" s="14" t="s">
        <v>56</v>
      </c>
      <c r="BC1" s="14" t="s">
        <v>57</v>
      </c>
      <c r="BD1" s="14" t="s">
        <v>58</v>
      </c>
      <c r="BE1" s="14" t="s">
        <v>59</v>
      </c>
      <c r="BF1" s="15" t="s">
        <v>60</v>
      </c>
      <c r="BG1" s="14" t="s">
        <v>198</v>
      </c>
      <c r="BH1" s="16" t="s">
        <v>61</v>
      </c>
      <c r="BI1" s="16" t="s">
        <v>62</v>
      </c>
      <c r="BJ1" s="16" t="s">
        <v>63</v>
      </c>
      <c r="BK1" s="17" t="s">
        <v>64</v>
      </c>
      <c r="BL1" s="16" t="s">
        <v>65</v>
      </c>
      <c r="BM1" s="16" t="s">
        <v>66</v>
      </c>
      <c r="BN1" s="16" t="s">
        <v>67</v>
      </c>
      <c r="BO1" s="16" t="s">
        <v>68</v>
      </c>
      <c r="BP1" s="18" t="s">
        <v>69</v>
      </c>
      <c r="BQ1" s="18" t="s">
        <v>70</v>
      </c>
      <c r="BR1" s="17" t="s">
        <v>71</v>
      </c>
      <c r="BS1" s="16" t="s">
        <v>72</v>
      </c>
    </row>
    <row r="2" spans="1:79" x14ac:dyDescent="0.2">
      <c r="A2" s="9"/>
      <c r="B2" s="9"/>
      <c r="C2" s="9"/>
      <c r="D2" s="10"/>
      <c r="E2" s="9"/>
      <c r="F2" s="10"/>
      <c r="G2" s="10"/>
      <c r="H2" s="10"/>
      <c r="I2" s="10"/>
      <c r="J2" s="10"/>
      <c r="K2" s="10"/>
      <c r="L2" s="10"/>
      <c r="M2" s="10"/>
      <c r="N2" s="10"/>
      <c r="O2" s="11">
        <v>0.22</v>
      </c>
      <c r="P2" s="11">
        <v>1.63</v>
      </c>
      <c r="Q2" s="12">
        <v>5.3100000000000001E-2</v>
      </c>
      <c r="R2" s="12">
        <v>1.4E-3</v>
      </c>
      <c r="S2" s="12">
        <v>1.36</v>
      </c>
      <c r="T2" s="12">
        <v>1.73</v>
      </c>
      <c r="U2" s="12">
        <v>0.252</v>
      </c>
      <c r="V2" s="12">
        <f>0.2*0.47*0.277</f>
        <v>2.6038000000000002E-2</v>
      </c>
      <c r="W2" s="12">
        <f>0.2*0.47</f>
        <v>9.4E-2</v>
      </c>
      <c r="X2" s="12">
        <f>0.47*0.1</f>
        <v>4.7E-2</v>
      </c>
      <c r="Y2" s="12">
        <v>2.7900000000000001E-2</v>
      </c>
      <c r="Z2" s="12">
        <v>0.47</v>
      </c>
      <c r="AA2" s="12">
        <v>0.42399999999999999</v>
      </c>
      <c r="AB2" s="12">
        <v>0.20799999999999999</v>
      </c>
      <c r="AC2" s="12">
        <f>0.116*3.6</f>
        <v>0.41760000000000003</v>
      </c>
      <c r="AD2" s="12">
        <v>0.11600000000000001</v>
      </c>
      <c r="AE2" s="12">
        <v>0.11600000000000001</v>
      </c>
      <c r="AF2" s="12"/>
      <c r="AG2" s="12">
        <f>3.6*AE2</f>
        <v>0.41760000000000003</v>
      </c>
      <c r="AH2" s="12">
        <v>0.59699999999999998</v>
      </c>
      <c r="AI2" s="12">
        <v>2.04</v>
      </c>
      <c r="AJ2" s="12">
        <v>2.02</v>
      </c>
      <c r="AK2" s="12">
        <v>27400</v>
      </c>
      <c r="AL2" s="12">
        <v>12.5</v>
      </c>
      <c r="AM2" s="12">
        <v>5.48</v>
      </c>
      <c r="AN2" s="12">
        <v>5.15</v>
      </c>
      <c r="AO2" s="12">
        <v>2.5499999999999998</v>
      </c>
      <c r="AP2" s="12">
        <v>4.68</v>
      </c>
      <c r="AQ2" s="12">
        <v>0.53700000000000003</v>
      </c>
      <c r="AR2" s="12">
        <v>101</v>
      </c>
      <c r="AS2" s="13">
        <v>10.1</v>
      </c>
      <c r="AT2" s="14">
        <v>11.6</v>
      </c>
      <c r="AU2" s="14">
        <v>0.60899999999999999</v>
      </c>
      <c r="AV2" s="14">
        <v>0.23400000000000001</v>
      </c>
      <c r="AW2" s="14">
        <v>0.11600000000000001</v>
      </c>
      <c r="AX2" s="14">
        <f>AW2*3.6</f>
        <v>0.41760000000000003</v>
      </c>
      <c r="AY2" s="14">
        <v>0.11600000000000001</v>
      </c>
      <c r="AZ2" s="14">
        <f>AY2*3.6</f>
        <v>0.41760000000000003</v>
      </c>
      <c r="BA2" s="14">
        <v>2.0699999999999998</v>
      </c>
      <c r="BB2" s="14">
        <v>0.93</v>
      </c>
      <c r="BC2" s="14">
        <v>1.02</v>
      </c>
      <c r="BD2" s="14">
        <v>1.86</v>
      </c>
      <c r="BE2" s="14">
        <v>1.56</v>
      </c>
      <c r="BF2" s="15">
        <v>0.54100000000000004</v>
      </c>
      <c r="BG2" s="14">
        <v>1.4E-3</v>
      </c>
      <c r="BH2" s="16">
        <v>1</v>
      </c>
      <c r="BI2" s="16">
        <v>0.4</v>
      </c>
      <c r="BJ2" s="16">
        <v>0</v>
      </c>
      <c r="BK2" s="17">
        <v>5.0000000000000001E-3</v>
      </c>
      <c r="BL2" s="16">
        <v>0</v>
      </c>
      <c r="BM2" s="16">
        <v>0</v>
      </c>
      <c r="BN2" s="16">
        <v>0</v>
      </c>
      <c r="BO2" s="16">
        <v>0</v>
      </c>
      <c r="BP2" s="16">
        <v>0</v>
      </c>
      <c r="BQ2" s="16">
        <v>0</v>
      </c>
      <c r="BR2" s="16">
        <v>0</v>
      </c>
      <c r="BS2" s="16">
        <v>0</v>
      </c>
      <c r="BT2" t="s">
        <v>212</v>
      </c>
      <c r="BU2" t="s">
        <v>211</v>
      </c>
      <c r="BV2" t="s">
        <v>213</v>
      </c>
      <c r="BW2" t="s">
        <v>214</v>
      </c>
      <c r="BX2" t="s">
        <v>215</v>
      </c>
      <c r="BY2" t="s">
        <v>216</v>
      </c>
      <c r="BZ2" t="s">
        <v>217</v>
      </c>
      <c r="CA2" t="s">
        <v>218</v>
      </c>
    </row>
    <row r="3" spans="1:79" ht="199" hidden="1" customHeight="1" x14ac:dyDescent="0.2">
      <c r="A3" s="3">
        <v>1</v>
      </c>
      <c r="B3" s="2" t="s">
        <v>73</v>
      </c>
      <c r="C3" s="3" t="s">
        <v>74</v>
      </c>
      <c r="D3" s="5" t="s">
        <v>75</v>
      </c>
      <c r="E3" s="2" t="s">
        <v>76</v>
      </c>
      <c r="F3" s="3" t="s">
        <v>77</v>
      </c>
      <c r="G3" s="3" t="s">
        <v>0</v>
      </c>
      <c r="H3" s="3" t="s">
        <v>77</v>
      </c>
      <c r="I3" s="3">
        <v>2</v>
      </c>
      <c r="J3" s="3">
        <v>180</v>
      </c>
      <c r="K3" s="3" t="s">
        <v>77</v>
      </c>
      <c r="L3" s="3" t="s">
        <v>77</v>
      </c>
      <c r="M3" s="3">
        <v>44</v>
      </c>
      <c r="N3" s="3">
        <v>180</v>
      </c>
      <c r="O3" s="19">
        <v>0</v>
      </c>
      <c r="P3" s="19">
        <v>4.4999999999999998E-2</v>
      </c>
      <c r="Q3" s="19"/>
      <c r="R3" s="19"/>
      <c r="S3" s="19"/>
      <c r="T3" s="19"/>
      <c r="U3" s="19"/>
      <c r="V3" s="19"/>
      <c r="W3" s="19">
        <v>0.1338</v>
      </c>
      <c r="X3" s="19">
        <v>1E-3</v>
      </c>
      <c r="Y3" s="19"/>
      <c r="Z3" s="19">
        <f>0.000178+0.0462+0.1585</f>
        <v>0.204878</v>
      </c>
      <c r="AA3" s="19"/>
      <c r="AB3" s="19"/>
      <c r="AC3" s="19">
        <f>0.02264+0.533+0.349</f>
        <v>0.90464</v>
      </c>
      <c r="AD3" s="19"/>
      <c r="AE3" s="19"/>
      <c r="AF3" s="19"/>
      <c r="AG3" s="19"/>
      <c r="AH3" s="19"/>
      <c r="AI3" s="19"/>
      <c r="AJ3" s="19"/>
      <c r="AK3" s="19"/>
      <c r="AL3" s="19"/>
      <c r="AM3" s="19"/>
      <c r="AN3" s="19">
        <v>0</v>
      </c>
      <c r="AO3" s="19">
        <v>0</v>
      </c>
      <c r="AP3" s="19">
        <v>0</v>
      </c>
      <c r="AQ3" s="19">
        <v>0</v>
      </c>
      <c r="AR3" s="19"/>
      <c r="AS3" s="19"/>
      <c r="AT3" s="21"/>
      <c r="AU3" s="22"/>
      <c r="AV3" s="20"/>
      <c r="AW3" s="20"/>
      <c r="AX3" s="20"/>
      <c r="AY3" s="20"/>
      <c r="AZ3" s="20"/>
      <c r="BA3" s="20"/>
      <c r="BB3" s="20"/>
      <c r="BC3" s="20"/>
      <c r="BD3" s="21">
        <v>0</v>
      </c>
      <c r="BE3" s="20"/>
      <c r="BF3" s="21"/>
      <c r="BG3" s="23"/>
      <c r="BH3" s="25">
        <v>2.1000000000000001E-2</v>
      </c>
      <c r="BI3" s="26"/>
      <c r="BJ3" s="26"/>
      <c r="BK3" s="25">
        <v>0</v>
      </c>
      <c r="BL3" s="25">
        <v>0</v>
      </c>
      <c r="BM3" s="25">
        <v>0</v>
      </c>
      <c r="BN3" s="25">
        <v>0</v>
      </c>
      <c r="BO3" s="25">
        <v>0</v>
      </c>
      <c r="BP3" s="27"/>
      <c r="BQ3" s="27"/>
      <c r="BR3" s="25"/>
      <c r="BS3" s="27"/>
      <c r="BT3" s="1">
        <f t="shared" ref="BT3:BT34" si="0">SUMPRODUCT($O$2:$AS$2,O3:AS3)+(0.1*BY3)</f>
        <v>0.65784452400000004</v>
      </c>
      <c r="BU3" s="1">
        <f>SUMPRODUCT($AT$2:$BG$2,AT3:BG3)</f>
        <v>0</v>
      </c>
      <c r="BV3" s="1">
        <f>SUMPRODUCT($BH$2:$BS$2,BH3:BS3)</f>
        <v>2.1000000000000001E-2</v>
      </c>
      <c r="BW3" s="1">
        <v>3.2</v>
      </c>
      <c r="BX3" s="1">
        <f>(0.47-0.03)*58*P3</f>
        <v>1.1483999999999999</v>
      </c>
      <c r="BY3" s="19">
        <v>0.97799999999999998</v>
      </c>
      <c r="BZ3" s="1">
        <f t="shared" ref="BZ3:BZ66" si="1">(BW3+BU3-BT3-BV3)/BY3</f>
        <v>2.5778685848670757</v>
      </c>
      <c r="CA3" s="1">
        <f>((BW3+BU3)-(BT3+BV3+BX3))/BY3</f>
        <v>1.4036354560327202</v>
      </c>
    </row>
    <row r="4" spans="1:79" ht="85" x14ac:dyDescent="0.2">
      <c r="A4" s="3">
        <v>2</v>
      </c>
      <c r="B4" s="2" t="s">
        <v>78</v>
      </c>
      <c r="C4" s="3" t="s">
        <v>74</v>
      </c>
      <c r="D4" s="5" t="s">
        <v>79</v>
      </c>
      <c r="E4" s="2" t="s">
        <v>80</v>
      </c>
      <c r="F4" s="3" t="s">
        <v>0</v>
      </c>
      <c r="G4" s="3" t="s">
        <v>1</v>
      </c>
      <c r="H4" s="3" t="s">
        <v>1</v>
      </c>
      <c r="I4" s="3" t="s">
        <v>1</v>
      </c>
      <c r="J4" s="3" t="s">
        <v>1</v>
      </c>
      <c r="K4" s="3" t="s">
        <v>0</v>
      </c>
      <c r="L4" s="3" t="s">
        <v>0</v>
      </c>
      <c r="M4" s="3" t="s">
        <v>2</v>
      </c>
      <c r="N4" s="3" t="s">
        <v>2</v>
      </c>
      <c r="O4" s="19">
        <v>0.95699999999999996</v>
      </c>
      <c r="P4" s="19">
        <v>0</v>
      </c>
      <c r="Q4" s="19">
        <v>1.1200000000000001</v>
      </c>
      <c r="R4" s="19"/>
      <c r="S4" s="19"/>
      <c r="T4" s="19"/>
      <c r="U4" s="19"/>
      <c r="V4" s="19"/>
      <c r="W4" s="19"/>
      <c r="X4" s="19"/>
      <c r="Y4" s="19"/>
      <c r="Z4" s="19">
        <v>11.79</v>
      </c>
      <c r="AA4" s="19"/>
      <c r="AB4" s="19"/>
      <c r="AC4" s="19"/>
      <c r="AD4" s="19"/>
      <c r="AE4" s="19">
        <v>337.8</v>
      </c>
      <c r="AF4" s="19"/>
      <c r="AG4" s="19"/>
      <c r="AH4" s="19"/>
      <c r="AI4" s="19"/>
      <c r="AJ4" s="19"/>
      <c r="AK4" s="19"/>
      <c r="AL4" s="19"/>
      <c r="AM4" s="19"/>
      <c r="AN4" s="19">
        <v>0</v>
      </c>
      <c r="AO4" s="19">
        <v>0</v>
      </c>
      <c r="AP4" s="19">
        <v>0</v>
      </c>
      <c r="AQ4" s="19">
        <v>0</v>
      </c>
      <c r="AR4" s="19"/>
      <c r="AS4" s="19"/>
      <c r="AT4" s="21">
        <f>0.043</f>
        <v>4.2999999999999997E-2</v>
      </c>
      <c r="AU4" s="28">
        <f>0.696</f>
        <v>0.69599999999999995</v>
      </c>
      <c r="AV4" s="28"/>
      <c r="AW4" s="28"/>
      <c r="AX4" s="28"/>
      <c r="AY4" s="28"/>
      <c r="AZ4" s="28"/>
      <c r="BA4" s="28"/>
      <c r="BB4" s="28"/>
      <c r="BC4" s="28"/>
      <c r="BD4" s="21">
        <v>0</v>
      </c>
      <c r="BE4" s="20"/>
      <c r="BF4" s="21"/>
      <c r="BG4" s="23">
        <f>0.18</f>
        <v>0.18</v>
      </c>
      <c r="BH4" s="25"/>
      <c r="BI4" s="29">
        <f>0.0007</f>
        <v>6.9999999999999999E-4</v>
      </c>
      <c r="BJ4" s="29"/>
      <c r="BK4" s="25">
        <v>0</v>
      </c>
      <c r="BL4" s="25">
        <v>0</v>
      </c>
      <c r="BM4" s="25">
        <v>0</v>
      </c>
      <c r="BN4" s="25">
        <v>0</v>
      </c>
      <c r="BO4" s="25">
        <v>0</v>
      </c>
      <c r="BP4" s="27"/>
      <c r="BQ4" s="27"/>
      <c r="BR4" s="25"/>
      <c r="BS4" s="27"/>
      <c r="BT4" s="1">
        <f t="shared" si="0"/>
        <v>45.091812000000004</v>
      </c>
      <c r="BU4" s="1">
        <f t="shared" ref="BU4:BU67" si="2">SUMPRODUCT($AT$2:$BG$2,AT4:BG4)</f>
        <v>0.92291599999999996</v>
      </c>
      <c r="BV4" s="1">
        <f t="shared" ref="BV4:BV67" si="3">SUMPRODUCT($BH$2:$BS$2,BH4:BS4)</f>
        <v>2.8000000000000003E-4</v>
      </c>
      <c r="BW4" s="1">
        <v>3.2</v>
      </c>
      <c r="BX4" s="1">
        <f t="shared" ref="BX4:BX48" si="4">(0.47-0.03)*58*P4</f>
        <v>0</v>
      </c>
      <c r="BY4" s="19">
        <v>0.95699999999999996</v>
      </c>
      <c r="BZ4" s="1">
        <f t="shared" si="1"/>
        <v>-42.810006269592478</v>
      </c>
      <c r="CA4" s="1">
        <f t="shared" ref="CA4:CA67" si="5">((BW4+BU4)-(BT4+BV4+BX4))/BY4</f>
        <v>-42.810006269592485</v>
      </c>
    </row>
    <row r="5" spans="1:79" ht="85" x14ac:dyDescent="0.2">
      <c r="A5" s="3">
        <v>3</v>
      </c>
      <c r="B5" s="2" t="s">
        <v>78</v>
      </c>
      <c r="C5" s="3" t="s">
        <v>74</v>
      </c>
      <c r="D5" s="5" t="s">
        <v>79</v>
      </c>
      <c r="E5" s="2" t="s">
        <v>81</v>
      </c>
      <c r="F5" s="3" t="s">
        <v>0</v>
      </c>
      <c r="G5" s="3" t="s">
        <v>1</v>
      </c>
      <c r="H5" s="3" t="s">
        <v>1</v>
      </c>
      <c r="I5" s="3" t="s">
        <v>1</v>
      </c>
      <c r="J5" s="3" t="s">
        <v>1</v>
      </c>
      <c r="K5" s="3" t="s">
        <v>0</v>
      </c>
      <c r="L5" s="3" t="s">
        <v>0</v>
      </c>
      <c r="M5" s="3" t="s">
        <v>2</v>
      </c>
      <c r="N5" s="3" t="s">
        <v>2</v>
      </c>
      <c r="O5" s="19">
        <v>0.95699999999999996</v>
      </c>
      <c r="P5" s="19">
        <v>0</v>
      </c>
      <c r="Q5" s="19">
        <f>0.593</f>
        <v>0.59299999999999997</v>
      </c>
      <c r="R5" s="19"/>
      <c r="S5" s="19"/>
      <c r="T5" s="19"/>
      <c r="U5" s="19"/>
      <c r="V5" s="19"/>
      <c r="W5" s="19"/>
      <c r="X5" s="19"/>
      <c r="Y5" s="19"/>
      <c r="Z5" s="19">
        <v>4.63</v>
      </c>
      <c r="AA5" s="19"/>
      <c r="AB5" s="19"/>
      <c r="AC5" s="19"/>
      <c r="AD5" s="19"/>
      <c r="AE5" s="19">
        <v>62.2</v>
      </c>
      <c r="AF5" s="19"/>
      <c r="AG5" s="19"/>
      <c r="AH5" s="19"/>
      <c r="AI5" s="19"/>
      <c r="AJ5" s="19"/>
      <c r="AK5" s="19"/>
      <c r="AL5" s="19"/>
      <c r="AM5" s="19"/>
      <c r="AN5" s="19">
        <v>0</v>
      </c>
      <c r="AO5" s="19">
        <v>0</v>
      </c>
      <c r="AP5" s="19">
        <v>0</v>
      </c>
      <c r="AQ5" s="19">
        <v>0</v>
      </c>
      <c r="AR5" s="19"/>
      <c r="AS5" s="19"/>
      <c r="AT5" s="21">
        <f>0.003</f>
        <v>3.0000000000000001E-3</v>
      </c>
      <c r="AU5" s="28">
        <f>0.37</f>
        <v>0.37</v>
      </c>
      <c r="AV5" s="28"/>
      <c r="AW5" s="28"/>
      <c r="AX5" s="28"/>
      <c r="AY5" s="28"/>
      <c r="AZ5" s="28"/>
      <c r="BA5" s="28"/>
      <c r="BB5" s="28"/>
      <c r="BC5" s="28"/>
      <c r="BD5" s="21">
        <v>0</v>
      </c>
      <c r="BE5" s="20"/>
      <c r="BF5" s="21"/>
      <c r="BG5" s="23">
        <f>0.18</f>
        <v>0.18</v>
      </c>
      <c r="BH5" s="25"/>
      <c r="BI5" s="29">
        <f>0.0007</f>
        <v>6.9999999999999999E-4</v>
      </c>
      <c r="BJ5" s="29"/>
      <c r="BK5" s="25">
        <v>0</v>
      </c>
      <c r="BL5" s="25">
        <v>0</v>
      </c>
      <c r="BM5" s="25">
        <v>0</v>
      </c>
      <c r="BN5" s="25">
        <v>0</v>
      </c>
      <c r="BO5" s="25">
        <v>0</v>
      </c>
      <c r="BP5" s="27"/>
      <c r="BQ5" s="27"/>
      <c r="BR5" s="25"/>
      <c r="BS5" s="27"/>
      <c r="BT5" s="1">
        <f t="shared" si="0"/>
        <v>9.7290283000000013</v>
      </c>
      <c r="BU5" s="1">
        <f t="shared" si="2"/>
        <v>0.26038199999999995</v>
      </c>
      <c r="BV5" s="1">
        <f t="shared" si="3"/>
        <v>2.8000000000000003E-4</v>
      </c>
      <c r="BW5" s="1">
        <v>3.2</v>
      </c>
      <c r="BX5" s="1">
        <f t="shared" si="4"/>
        <v>0</v>
      </c>
      <c r="BY5" s="19">
        <v>0.95699999999999996</v>
      </c>
      <c r="BZ5" s="1">
        <f t="shared" si="1"/>
        <v>-6.550602194357368</v>
      </c>
      <c r="CA5" s="1">
        <f t="shared" si="5"/>
        <v>-6.550602194357368</v>
      </c>
    </row>
    <row r="6" spans="1:79" ht="68" x14ac:dyDescent="0.2">
      <c r="A6" s="3">
        <v>4</v>
      </c>
      <c r="B6" s="2" t="s">
        <v>78</v>
      </c>
      <c r="C6" s="3" t="s">
        <v>74</v>
      </c>
      <c r="D6" s="5" t="s">
        <v>79</v>
      </c>
      <c r="E6" s="2" t="s">
        <v>82</v>
      </c>
      <c r="F6" s="3" t="s">
        <v>0</v>
      </c>
      <c r="G6" s="3" t="s">
        <v>1</v>
      </c>
      <c r="H6" s="3" t="s">
        <v>1</v>
      </c>
      <c r="I6" s="3" t="s">
        <v>1</v>
      </c>
      <c r="J6" s="3" t="s">
        <v>1</v>
      </c>
      <c r="K6" s="3" t="s">
        <v>0</v>
      </c>
      <c r="L6" s="3" t="s">
        <v>0</v>
      </c>
      <c r="M6" s="3" t="s">
        <v>2</v>
      </c>
      <c r="N6" s="3" t="s">
        <v>2</v>
      </c>
      <c r="O6" s="19">
        <v>0.95699999999999996</v>
      </c>
      <c r="P6" s="19">
        <v>0</v>
      </c>
      <c r="Q6" s="19">
        <f>0.576</f>
        <v>0.57599999999999996</v>
      </c>
      <c r="R6" s="19"/>
      <c r="S6" s="19"/>
      <c r="T6" s="19"/>
      <c r="U6" s="19"/>
      <c r="V6" s="19"/>
      <c r="W6" s="19"/>
      <c r="X6" s="19"/>
      <c r="Y6" s="19"/>
      <c r="Z6" s="19">
        <v>3.1</v>
      </c>
      <c r="AA6" s="19"/>
      <c r="AB6" s="19"/>
      <c r="AC6" s="19"/>
      <c r="AD6" s="19"/>
      <c r="AE6" s="19">
        <v>14.9</v>
      </c>
      <c r="AF6" s="19"/>
      <c r="AG6" s="19"/>
      <c r="AH6" s="19"/>
      <c r="AI6" s="19"/>
      <c r="AJ6" s="19"/>
      <c r="AK6" s="19"/>
      <c r="AL6" s="19"/>
      <c r="AM6" s="19"/>
      <c r="AN6" s="19">
        <v>0</v>
      </c>
      <c r="AO6" s="19">
        <v>0</v>
      </c>
      <c r="AP6" s="19">
        <v>0</v>
      </c>
      <c r="AQ6" s="19">
        <v>0</v>
      </c>
      <c r="AR6" s="19"/>
      <c r="AS6" s="19"/>
      <c r="AT6" s="21">
        <f>0.001</f>
        <v>1E-3</v>
      </c>
      <c r="AU6" s="28">
        <f>0.355</f>
        <v>0.35499999999999998</v>
      </c>
      <c r="AV6" s="28"/>
      <c r="AW6" s="28"/>
      <c r="AX6" s="28"/>
      <c r="AY6" s="28"/>
      <c r="AZ6" s="28"/>
      <c r="BA6" s="28"/>
      <c r="BB6" s="28"/>
      <c r="BC6" s="28"/>
      <c r="BD6" s="21">
        <v>0</v>
      </c>
      <c r="BE6" s="20"/>
      <c r="BF6" s="21"/>
      <c r="BG6" s="23">
        <f>0.18</f>
        <v>0.18</v>
      </c>
      <c r="BH6" s="25"/>
      <c r="BI6" s="29">
        <f>0.0007</f>
        <v>6.9999999999999999E-4</v>
      </c>
      <c r="BJ6" s="29"/>
      <c r="BK6" s="25">
        <v>0</v>
      </c>
      <c r="BL6" s="25">
        <v>0</v>
      </c>
      <c r="BM6" s="25">
        <v>0</v>
      </c>
      <c r="BN6" s="25">
        <v>0</v>
      </c>
      <c r="BO6" s="25">
        <v>0</v>
      </c>
      <c r="BP6" s="27"/>
      <c r="BQ6" s="27"/>
      <c r="BR6" s="25"/>
      <c r="BS6" s="27"/>
      <c r="BT6" s="1">
        <f t="shared" si="0"/>
        <v>3.5222255999999996</v>
      </c>
      <c r="BU6" s="1">
        <f t="shared" si="2"/>
        <v>0.22804699999999997</v>
      </c>
      <c r="BV6" s="1">
        <f t="shared" si="3"/>
        <v>2.8000000000000003E-4</v>
      </c>
      <c r="BW6" s="1">
        <v>3.2</v>
      </c>
      <c r="BX6" s="1">
        <f t="shared" si="4"/>
        <v>0</v>
      </c>
      <c r="BY6" s="19">
        <v>0.95699999999999996</v>
      </c>
      <c r="BZ6" s="1">
        <f t="shared" si="1"/>
        <v>-9.8702821316613731E-2</v>
      </c>
      <c r="CA6" s="1">
        <f t="shared" si="5"/>
        <v>-9.8702821316613787E-2</v>
      </c>
    </row>
    <row r="7" spans="1:79" ht="85" x14ac:dyDescent="0.2">
      <c r="A7" s="3">
        <v>5</v>
      </c>
      <c r="B7" s="2" t="s">
        <v>83</v>
      </c>
      <c r="C7" s="3" t="s">
        <v>74</v>
      </c>
      <c r="D7" s="5" t="s">
        <v>79</v>
      </c>
      <c r="E7" s="2" t="s">
        <v>84</v>
      </c>
      <c r="F7" s="3" t="s">
        <v>0</v>
      </c>
      <c r="G7" s="3" t="s">
        <v>1</v>
      </c>
      <c r="H7" s="3" t="s">
        <v>1</v>
      </c>
      <c r="I7" s="3" t="s">
        <v>1</v>
      </c>
      <c r="J7" s="3" t="s">
        <v>1</v>
      </c>
      <c r="K7" s="3" t="s">
        <v>0</v>
      </c>
      <c r="L7" s="3" t="s">
        <v>0</v>
      </c>
      <c r="M7" s="3" t="s">
        <v>2</v>
      </c>
      <c r="N7" s="3" t="s">
        <v>2</v>
      </c>
      <c r="O7" s="30">
        <f>0.978/1.02</f>
        <v>0.95882352941176463</v>
      </c>
      <c r="P7" s="30"/>
      <c r="Q7" s="30">
        <f>(0.198+0.504)/1.02</f>
        <v>0.68823529411764706</v>
      </c>
      <c r="R7" s="30">
        <f>105/1.02</f>
        <v>102.94117647058823</v>
      </c>
      <c r="S7" s="30"/>
      <c r="T7" s="30"/>
      <c r="U7" s="30"/>
      <c r="V7" s="30"/>
      <c r="W7" s="30"/>
      <c r="X7" s="30"/>
      <c r="Y7" s="30"/>
      <c r="Z7" s="30">
        <f>(8.89+0.003+0.032+0.044+0.037)/1.02</f>
        <v>8.8294117647058847</v>
      </c>
      <c r="AA7" s="30"/>
      <c r="AB7" s="30"/>
      <c r="AC7" s="31">
        <v>9.5049019607843146</v>
      </c>
      <c r="AD7" s="31"/>
      <c r="AE7" s="30"/>
      <c r="AF7" s="30"/>
      <c r="AG7" s="30"/>
      <c r="AH7" s="30"/>
      <c r="AI7" s="30"/>
      <c r="AJ7" s="30"/>
      <c r="AK7" s="30"/>
      <c r="AL7" s="30"/>
      <c r="AM7" s="30"/>
      <c r="AN7" s="19">
        <v>0</v>
      </c>
      <c r="AO7" s="19">
        <v>0</v>
      </c>
      <c r="AP7" s="19">
        <v>0</v>
      </c>
      <c r="AQ7" s="19">
        <v>0</v>
      </c>
      <c r="AR7" s="19"/>
      <c r="AS7" s="19"/>
      <c r="AT7" s="32">
        <f>0.009/1.02</f>
        <v>8.8235294117647058E-3</v>
      </c>
      <c r="AU7" s="32">
        <f>0.448/1.02</f>
        <v>0.4392156862745098</v>
      </c>
      <c r="AV7" s="21"/>
      <c r="AW7" s="21"/>
      <c r="AX7" s="21"/>
      <c r="AY7" s="21"/>
      <c r="AZ7" s="21"/>
      <c r="BA7" s="21"/>
      <c r="BB7" s="21"/>
      <c r="BC7" s="21"/>
      <c r="BD7" s="21">
        <v>0</v>
      </c>
      <c r="BE7" s="20"/>
      <c r="BF7" s="21"/>
      <c r="BG7" s="23"/>
      <c r="BH7" s="33"/>
      <c r="BI7" s="25"/>
      <c r="BJ7" s="25"/>
      <c r="BK7" s="25">
        <v>0</v>
      </c>
      <c r="BL7" s="25">
        <v>0</v>
      </c>
      <c r="BM7" s="25">
        <v>0</v>
      </c>
      <c r="BN7" s="25">
        <v>0</v>
      </c>
      <c r="BO7" s="25">
        <v>0</v>
      </c>
      <c r="BP7" s="27"/>
      <c r="BQ7" s="27"/>
      <c r="BR7" s="25"/>
      <c r="BS7" s="27"/>
      <c r="BT7" s="1">
        <f t="shared" si="0"/>
        <v>8.6065570588235314</v>
      </c>
      <c r="BU7" s="1">
        <f t="shared" si="2"/>
        <v>0.36983529411764704</v>
      </c>
      <c r="BV7" s="1">
        <f t="shared" si="3"/>
        <v>0</v>
      </c>
      <c r="BW7" s="1">
        <v>3.2</v>
      </c>
      <c r="BX7" s="1">
        <f t="shared" si="4"/>
        <v>0</v>
      </c>
      <c r="BY7" s="30">
        <f>0.978/1.02</f>
        <v>0.95882352941176463</v>
      </c>
      <c r="BZ7" s="1">
        <f t="shared" si="1"/>
        <v>-5.2530226993865057</v>
      </c>
      <c r="CA7" s="1">
        <f t="shared" si="5"/>
        <v>-5.2530226993865057</v>
      </c>
    </row>
    <row r="8" spans="1:79" ht="85" x14ac:dyDescent="0.2">
      <c r="A8" s="3">
        <v>6</v>
      </c>
      <c r="B8" s="2" t="s">
        <v>83</v>
      </c>
      <c r="C8" s="3" t="s">
        <v>74</v>
      </c>
      <c r="D8" s="5" t="s">
        <v>79</v>
      </c>
      <c r="E8" s="2" t="s">
        <v>85</v>
      </c>
      <c r="F8" s="3" t="s">
        <v>0</v>
      </c>
      <c r="G8" s="3" t="s">
        <v>1</v>
      </c>
      <c r="H8" s="3" t="s">
        <v>1</v>
      </c>
      <c r="I8" s="3" t="s">
        <v>1</v>
      </c>
      <c r="J8" s="3" t="s">
        <v>1</v>
      </c>
      <c r="K8" s="3" t="s">
        <v>0</v>
      </c>
      <c r="L8" s="3" t="s">
        <v>0</v>
      </c>
      <c r="M8" s="3" t="s">
        <v>2</v>
      </c>
      <c r="N8" s="3" t="s">
        <v>2</v>
      </c>
      <c r="O8" s="30">
        <f>1.73/0.158</f>
        <v>10.949367088607595</v>
      </c>
      <c r="P8" s="19"/>
      <c r="Q8" s="30">
        <f>(0.384+0.355)/0.158</f>
        <v>4.6772151898734178</v>
      </c>
      <c r="R8" s="30">
        <f>362/0.158</f>
        <v>2291.1392405063293</v>
      </c>
      <c r="S8" s="30">
        <f>1.575/0.158</f>
        <v>9.9683544303797458</v>
      </c>
      <c r="T8" s="30"/>
      <c r="U8" s="30"/>
      <c r="V8" s="30"/>
      <c r="W8" s="30"/>
      <c r="X8" s="30"/>
      <c r="Y8" s="30"/>
      <c r="Z8" s="30">
        <f>(6.36+0.005+0.048+0.031+0.027)/0.158</f>
        <v>40.955696202531648</v>
      </c>
      <c r="AA8" s="30"/>
      <c r="AB8" s="30"/>
      <c r="AC8" s="30">
        <v>212.13291139240508</v>
      </c>
      <c r="AD8" s="30"/>
      <c r="AE8" s="30"/>
      <c r="AF8" s="30"/>
      <c r="AG8" s="30"/>
      <c r="AH8" s="30"/>
      <c r="AI8" s="30"/>
      <c r="AJ8" s="30"/>
      <c r="AK8" s="30"/>
      <c r="AL8" s="30"/>
      <c r="AM8" s="30"/>
      <c r="AN8" s="19">
        <v>0</v>
      </c>
      <c r="AO8" s="19">
        <v>0</v>
      </c>
      <c r="AP8" s="19">
        <v>0</v>
      </c>
      <c r="AQ8" s="19">
        <v>0</v>
      </c>
      <c r="AR8" s="19"/>
      <c r="AS8" s="19"/>
      <c r="AT8" s="32">
        <f>0.007/0.158</f>
        <v>4.4303797468354431E-2</v>
      </c>
      <c r="AU8" s="32">
        <f>0.316/0.158</f>
        <v>2</v>
      </c>
      <c r="AV8" s="32"/>
      <c r="AW8" s="32"/>
      <c r="AX8" s="32"/>
      <c r="AY8" s="32"/>
      <c r="AZ8" s="32"/>
      <c r="BA8" s="32">
        <f>1.28/0.158</f>
        <v>8.1012658227848107</v>
      </c>
      <c r="BB8" s="32"/>
      <c r="BC8" s="32"/>
      <c r="BD8" s="21">
        <v>0</v>
      </c>
      <c r="BE8" s="20"/>
      <c r="BF8" s="21"/>
      <c r="BG8" s="23"/>
      <c r="BH8" s="33"/>
      <c r="BI8" s="33"/>
      <c r="BJ8" s="33"/>
      <c r="BK8" s="25">
        <v>0</v>
      </c>
      <c r="BL8" s="25">
        <v>0</v>
      </c>
      <c r="BM8" s="25">
        <v>0</v>
      </c>
      <c r="BN8" s="25">
        <v>0</v>
      </c>
      <c r="BO8" s="25">
        <v>0</v>
      </c>
      <c r="BP8" s="27"/>
      <c r="BQ8" s="27"/>
      <c r="BR8" s="25"/>
      <c r="BS8" s="27"/>
      <c r="BT8" s="1">
        <f t="shared" si="0"/>
        <v>128.35259556962026</v>
      </c>
      <c r="BU8" s="1">
        <f t="shared" si="2"/>
        <v>18.50154430379747</v>
      </c>
      <c r="BV8" s="1">
        <f t="shared" si="3"/>
        <v>0</v>
      </c>
      <c r="BW8" s="1">
        <v>3.2</v>
      </c>
      <c r="BX8" s="1">
        <f t="shared" si="4"/>
        <v>0</v>
      </c>
      <c r="BY8" s="30">
        <f>1.73/0.158</f>
        <v>10.949367088607595</v>
      </c>
      <c r="BZ8" s="1">
        <f t="shared" si="1"/>
        <v>-9.7403850289017342</v>
      </c>
      <c r="CA8" s="1">
        <f t="shared" si="5"/>
        <v>-9.7403850289017342</v>
      </c>
    </row>
    <row r="9" spans="1:79" ht="85" x14ac:dyDescent="0.2">
      <c r="A9" s="3">
        <v>7</v>
      </c>
      <c r="B9" s="2" t="s">
        <v>83</v>
      </c>
      <c r="C9" s="3" t="s">
        <v>74</v>
      </c>
      <c r="D9" s="5" t="s">
        <v>79</v>
      </c>
      <c r="E9" s="2" t="s">
        <v>86</v>
      </c>
      <c r="F9" s="3" t="s">
        <v>0</v>
      </c>
      <c r="G9" s="3" t="s">
        <v>1</v>
      </c>
      <c r="H9" s="3" t="s">
        <v>1</v>
      </c>
      <c r="I9" s="3" t="s">
        <v>1</v>
      </c>
      <c r="J9" s="3" t="s">
        <v>1</v>
      </c>
      <c r="K9" s="3" t="s">
        <v>0</v>
      </c>
      <c r="L9" s="3" t="s">
        <v>0</v>
      </c>
      <c r="M9" s="3" t="s">
        <v>2</v>
      </c>
      <c r="N9" s="3" t="s">
        <v>2</v>
      </c>
      <c r="O9" s="30">
        <f>293/1.02</f>
        <v>287.25490196078431</v>
      </c>
      <c r="P9" s="30"/>
      <c r="Q9" s="30">
        <f>(71.9+0.517)/1.02</f>
        <v>70.997058823529414</v>
      </c>
      <c r="R9" s="30">
        <f>15461/1.02</f>
        <v>15157.843137254902</v>
      </c>
      <c r="S9" s="30">
        <f>1.86/1.02</f>
        <v>1.8235294117647058</v>
      </c>
      <c r="T9" s="30">
        <f>1.697/1.02</f>
        <v>1.6637254901960785</v>
      </c>
      <c r="U9" s="30"/>
      <c r="V9" s="30"/>
      <c r="W9" s="30"/>
      <c r="X9" s="30"/>
      <c r="Y9" s="30"/>
      <c r="Z9" s="30">
        <f>(5.33+1.46+8.71+0.045+0.978)/1.02</f>
        <v>16.199019607843137</v>
      </c>
      <c r="AA9" s="30"/>
      <c r="AB9" s="30"/>
      <c r="AC9" s="30">
        <v>1403.7382352941177</v>
      </c>
      <c r="AD9" s="30"/>
      <c r="AE9" s="30"/>
      <c r="AF9" s="30"/>
      <c r="AG9" s="30"/>
      <c r="AH9" s="30"/>
      <c r="AI9" s="30"/>
      <c r="AJ9" s="30"/>
      <c r="AK9" s="30"/>
      <c r="AL9" s="30"/>
      <c r="AM9" s="30"/>
      <c r="AN9" s="19">
        <v>0</v>
      </c>
      <c r="AO9" s="19">
        <v>0</v>
      </c>
      <c r="AP9" s="19">
        <v>0</v>
      </c>
      <c r="AQ9" s="19">
        <v>0</v>
      </c>
      <c r="AR9" s="19"/>
      <c r="AS9" s="19"/>
      <c r="AT9" s="32">
        <f>0.008/1.02</f>
        <v>7.8431372549019607E-3</v>
      </c>
      <c r="AU9" s="32">
        <f>0.46/1.02</f>
        <v>0.45098039215686275</v>
      </c>
      <c r="AV9" s="32"/>
      <c r="AW9" s="32"/>
      <c r="AX9" s="32"/>
      <c r="AY9" s="32"/>
      <c r="AZ9" s="32"/>
      <c r="BA9" s="32"/>
      <c r="BB9" s="32">
        <f>2.47/1.02</f>
        <v>2.4215686274509807</v>
      </c>
      <c r="BC9" s="32"/>
      <c r="BD9" s="21">
        <v>0</v>
      </c>
      <c r="BE9" s="20"/>
      <c r="BF9" s="21"/>
      <c r="BG9" s="23"/>
      <c r="BH9" s="33"/>
      <c r="BI9" s="33"/>
      <c r="BJ9" s="33"/>
      <c r="BK9" s="25">
        <v>0</v>
      </c>
      <c r="BL9" s="25">
        <v>0</v>
      </c>
      <c r="BM9" s="25">
        <v>0</v>
      </c>
      <c r="BN9" s="25">
        <v>0</v>
      </c>
      <c r="BO9" s="25">
        <v>0</v>
      </c>
      <c r="BP9" s="27"/>
      <c r="BQ9" s="27"/>
      <c r="BR9" s="25"/>
      <c r="BS9" s="27"/>
      <c r="BT9" s="1">
        <f t="shared" si="0"/>
        <v>716.08536421568624</v>
      </c>
      <c r="BU9" s="1">
        <f t="shared" si="2"/>
        <v>2.6176862745098042</v>
      </c>
      <c r="BV9" s="1">
        <f t="shared" si="3"/>
        <v>0</v>
      </c>
      <c r="BW9" s="1">
        <v>3.2</v>
      </c>
      <c r="BX9" s="1">
        <f t="shared" si="4"/>
        <v>0</v>
      </c>
      <c r="BY9" s="30">
        <f>293/1.02</f>
        <v>287.25490196078431</v>
      </c>
      <c r="BZ9" s="1">
        <f t="shared" si="1"/>
        <v>-2.4726042030716724</v>
      </c>
      <c r="CA9" s="1">
        <f t="shared" si="5"/>
        <v>-2.4726042030716724</v>
      </c>
    </row>
    <row r="10" spans="1:79" ht="85" x14ac:dyDescent="0.2">
      <c r="A10" s="3">
        <v>8</v>
      </c>
      <c r="B10" s="2" t="s">
        <v>83</v>
      </c>
      <c r="C10" s="3" t="s">
        <v>74</v>
      </c>
      <c r="D10" s="5" t="s">
        <v>79</v>
      </c>
      <c r="E10" s="2" t="s">
        <v>87</v>
      </c>
      <c r="F10" s="3" t="s">
        <v>0</v>
      </c>
      <c r="G10" s="3" t="s">
        <v>1</v>
      </c>
      <c r="H10" s="3" t="s">
        <v>1</v>
      </c>
      <c r="I10" s="3" t="s">
        <v>1</v>
      </c>
      <c r="J10" s="3" t="s">
        <v>1</v>
      </c>
      <c r="K10" s="3" t="s">
        <v>0</v>
      </c>
      <c r="L10" s="3" t="s">
        <v>0</v>
      </c>
      <c r="M10" s="3" t="s">
        <v>2</v>
      </c>
      <c r="N10" s="3" t="s">
        <v>2</v>
      </c>
      <c r="O10" s="30">
        <f>293/1.02</f>
        <v>287.25490196078431</v>
      </c>
      <c r="P10" s="19"/>
      <c r="Q10" s="30">
        <f>(71.9+0.517)/1.02</f>
        <v>70.997058823529414</v>
      </c>
      <c r="R10" s="30">
        <f>15461/1.02</f>
        <v>15157.843137254902</v>
      </c>
      <c r="S10" s="19"/>
      <c r="T10" s="34">
        <f>0.002/1.02</f>
        <v>1.9607843137254902E-3</v>
      </c>
      <c r="U10" s="34">
        <f>0.002/1.02</f>
        <v>1.9607843137254902E-3</v>
      </c>
      <c r="V10" s="34"/>
      <c r="W10" s="34"/>
      <c r="X10" s="30"/>
      <c r="Y10" s="34"/>
      <c r="Z10" s="19">
        <f>(7.09+1.46+8.71+0.045+1.3)/1.02</f>
        <v>18.240196078431374</v>
      </c>
      <c r="AA10" s="19"/>
      <c r="AB10" s="19"/>
      <c r="AC10" s="19">
        <v>1403.7382352941177</v>
      </c>
      <c r="AD10" s="19"/>
      <c r="AE10" s="30"/>
      <c r="AF10" s="30"/>
      <c r="AG10" s="30"/>
      <c r="AH10" s="30"/>
      <c r="AI10" s="30"/>
      <c r="AJ10" s="30"/>
      <c r="AK10" s="30"/>
      <c r="AL10" s="30"/>
      <c r="AM10" s="30"/>
      <c r="AN10" s="19">
        <v>0</v>
      </c>
      <c r="AO10" s="19">
        <v>0</v>
      </c>
      <c r="AP10" s="19">
        <v>0</v>
      </c>
      <c r="AQ10" s="19">
        <v>0</v>
      </c>
      <c r="AR10" s="19"/>
      <c r="AS10" s="19"/>
      <c r="AT10" s="32">
        <f>0.008/1.02</f>
        <v>7.8431372549019607E-3</v>
      </c>
      <c r="AU10" s="32">
        <f>0.46/1.02</f>
        <v>0.45098039215686275</v>
      </c>
      <c r="AV10" s="21"/>
      <c r="AW10" s="21"/>
      <c r="AX10" s="21"/>
      <c r="AY10" s="21"/>
      <c r="AZ10" s="21"/>
      <c r="BA10" s="21"/>
      <c r="BB10" s="21"/>
      <c r="BC10" s="21">
        <f>0.002/1.02</f>
        <v>1.9607843137254902E-3</v>
      </c>
      <c r="BD10" s="21">
        <v>0</v>
      </c>
      <c r="BE10" s="20"/>
      <c r="BF10" s="21"/>
      <c r="BG10" s="23"/>
      <c r="BH10" s="25"/>
      <c r="BI10" s="25"/>
      <c r="BJ10" s="25"/>
      <c r="BK10" s="25">
        <v>0</v>
      </c>
      <c r="BL10" s="25">
        <v>0</v>
      </c>
      <c r="BM10" s="25">
        <v>0</v>
      </c>
      <c r="BN10" s="25">
        <v>0</v>
      </c>
      <c r="BO10" s="25">
        <v>0</v>
      </c>
      <c r="BP10" s="27"/>
      <c r="BQ10" s="27"/>
      <c r="BR10" s="25"/>
      <c r="BS10" s="27"/>
      <c r="BT10" s="1">
        <f t="shared" si="0"/>
        <v>711.69035833333339</v>
      </c>
      <c r="BU10" s="1">
        <f t="shared" si="2"/>
        <v>0.36762745098039218</v>
      </c>
      <c r="BV10" s="1">
        <f t="shared" si="3"/>
        <v>0</v>
      </c>
      <c r="BW10" s="1">
        <v>3.2</v>
      </c>
      <c r="BX10" s="1">
        <f t="shared" si="4"/>
        <v>0</v>
      </c>
      <c r="BY10" s="30">
        <f>293/1.02</f>
        <v>287.25490196078431</v>
      </c>
      <c r="BZ10" s="1">
        <f t="shared" si="1"/>
        <v>-2.4651371518771334</v>
      </c>
      <c r="CA10" s="1">
        <f t="shared" si="5"/>
        <v>-2.4651371518771334</v>
      </c>
    </row>
    <row r="11" spans="1:79" ht="68" x14ac:dyDescent="0.2">
      <c r="A11" s="3">
        <v>9</v>
      </c>
      <c r="B11" s="2" t="s">
        <v>88</v>
      </c>
      <c r="C11" s="3" t="s">
        <v>74</v>
      </c>
      <c r="D11" s="5" t="s">
        <v>79</v>
      </c>
      <c r="E11" s="2" t="s">
        <v>89</v>
      </c>
      <c r="F11" s="3" t="s">
        <v>0</v>
      </c>
      <c r="G11" s="3" t="s">
        <v>1</v>
      </c>
      <c r="H11" s="3" t="s">
        <v>1</v>
      </c>
      <c r="I11" s="3" t="s">
        <v>1</v>
      </c>
      <c r="J11" s="3" t="s">
        <v>1</v>
      </c>
      <c r="K11" s="3" t="s">
        <v>0</v>
      </c>
      <c r="L11" s="3" t="s">
        <v>0</v>
      </c>
      <c r="M11" s="3" t="s">
        <v>2</v>
      </c>
      <c r="N11" s="3" t="s">
        <v>2</v>
      </c>
      <c r="O11" s="19">
        <v>0.95</v>
      </c>
      <c r="P11" s="19"/>
      <c r="Q11" s="19">
        <v>1.1000000000000001</v>
      </c>
      <c r="R11" s="19"/>
      <c r="S11" s="19"/>
      <c r="T11" s="19"/>
      <c r="U11" s="19"/>
      <c r="V11" s="19"/>
      <c r="W11" s="19"/>
      <c r="X11" s="19"/>
      <c r="Y11" s="19"/>
      <c r="Z11" s="19">
        <f>11.8+0.0075+0.15</f>
        <v>11.957500000000001</v>
      </c>
      <c r="AA11" s="19"/>
      <c r="AB11" s="19"/>
      <c r="AC11" s="19"/>
      <c r="AD11" s="19"/>
      <c r="AE11" s="19">
        <v>401</v>
      </c>
      <c r="AF11" s="19"/>
      <c r="AG11" s="19"/>
      <c r="AH11" s="19"/>
      <c r="AI11" s="19"/>
      <c r="AJ11" s="19"/>
      <c r="AK11" s="19"/>
      <c r="AL11" s="19"/>
      <c r="AM11" s="19"/>
      <c r="AN11" s="19">
        <v>0</v>
      </c>
      <c r="AO11" s="19">
        <v>0</v>
      </c>
      <c r="AP11" s="19">
        <v>0</v>
      </c>
      <c r="AQ11" s="19">
        <v>0</v>
      </c>
      <c r="AR11" s="19"/>
      <c r="AS11" s="19"/>
      <c r="AT11" s="21">
        <v>5.8999999999999997E-2</v>
      </c>
      <c r="AU11" s="21">
        <v>0.82</v>
      </c>
      <c r="AV11" s="21"/>
      <c r="AW11" s="21"/>
      <c r="AX11" s="21"/>
      <c r="AY11" s="21"/>
      <c r="AZ11" s="21"/>
      <c r="BA11" s="21"/>
      <c r="BB11" s="21"/>
      <c r="BC11" s="21"/>
      <c r="BD11" s="21">
        <v>0</v>
      </c>
      <c r="BE11" s="20"/>
      <c r="BF11" s="21"/>
      <c r="BG11" s="23">
        <v>0.18</v>
      </c>
      <c r="BH11" s="25"/>
      <c r="BI11" s="25"/>
      <c r="BJ11" s="25"/>
      <c r="BK11" s="25">
        <v>0</v>
      </c>
      <c r="BL11" s="25">
        <v>0</v>
      </c>
      <c r="BM11" s="25">
        <v>0</v>
      </c>
      <c r="BN11" s="25">
        <v>0</v>
      </c>
      <c r="BO11" s="25">
        <v>0</v>
      </c>
      <c r="BP11" s="27"/>
      <c r="BQ11" s="27"/>
      <c r="BR11" s="25"/>
      <c r="BS11" s="27"/>
      <c r="BT11" s="1">
        <f t="shared" si="0"/>
        <v>52.498435000000001</v>
      </c>
      <c r="BU11" s="1">
        <f t="shared" si="2"/>
        <v>1.1840319999999998</v>
      </c>
      <c r="BV11" s="1">
        <f t="shared" si="3"/>
        <v>0</v>
      </c>
      <c r="BW11" s="1">
        <v>3.2</v>
      </c>
      <c r="BX11" s="1">
        <f t="shared" si="4"/>
        <v>0</v>
      </c>
      <c r="BY11" s="19">
        <v>0.95</v>
      </c>
      <c r="BZ11" s="1">
        <f t="shared" si="1"/>
        <v>-50.646740000000008</v>
      </c>
      <c r="CA11" s="1">
        <f t="shared" si="5"/>
        <v>-50.646740000000008</v>
      </c>
    </row>
    <row r="12" spans="1:79" ht="68" x14ac:dyDescent="0.2">
      <c r="A12" s="3">
        <v>10</v>
      </c>
      <c r="B12" s="2" t="s">
        <v>88</v>
      </c>
      <c r="C12" s="3" t="s">
        <v>74</v>
      </c>
      <c r="D12" s="5" t="s">
        <v>79</v>
      </c>
      <c r="E12" s="2" t="s">
        <v>90</v>
      </c>
      <c r="F12" s="3" t="s">
        <v>0</v>
      </c>
      <c r="G12" s="3" t="s">
        <v>1</v>
      </c>
      <c r="H12" s="3" t="s">
        <v>1</v>
      </c>
      <c r="I12" s="3" t="s">
        <v>1</v>
      </c>
      <c r="J12" s="3" t="s">
        <v>1</v>
      </c>
      <c r="K12" s="3" t="s">
        <v>0</v>
      </c>
      <c r="L12" s="3" t="s">
        <v>0</v>
      </c>
      <c r="M12" s="3" t="s">
        <v>2</v>
      </c>
      <c r="N12" s="3" t="s">
        <v>2</v>
      </c>
      <c r="O12" s="19">
        <v>0.96</v>
      </c>
      <c r="P12" s="19"/>
      <c r="Q12" s="19">
        <v>0.59</v>
      </c>
      <c r="R12" s="19"/>
      <c r="S12" s="19"/>
      <c r="T12" s="19"/>
      <c r="U12" s="19"/>
      <c r="V12" s="19"/>
      <c r="W12" s="19"/>
      <c r="X12" s="19"/>
      <c r="Y12" s="19"/>
      <c r="Z12" s="19">
        <f>4.59+0.00124+0.04</f>
        <v>4.63124</v>
      </c>
      <c r="AA12" s="19"/>
      <c r="AB12" s="19"/>
      <c r="AC12" s="19"/>
      <c r="AD12" s="19"/>
      <c r="AE12" s="19">
        <v>65.180000000000007</v>
      </c>
      <c r="AF12" s="19"/>
      <c r="AG12" s="19"/>
      <c r="AH12" s="19"/>
      <c r="AI12" s="19"/>
      <c r="AJ12" s="19"/>
      <c r="AK12" s="19"/>
      <c r="AL12" s="19"/>
      <c r="AM12" s="19"/>
      <c r="AN12" s="19">
        <v>0</v>
      </c>
      <c r="AO12" s="19">
        <v>0</v>
      </c>
      <c r="AP12" s="19">
        <v>0</v>
      </c>
      <c r="AQ12" s="19">
        <v>0</v>
      </c>
      <c r="AR12" s="19"/>
      <c r="AS12" s="19"/>
      <c r="AT12" s="21">
        <f>0.003</f>
        <v>3.0000000000000001E-3</v>
      </c>
      <c r="AU12" s="21">
        <v>0.37</v>
      </c>
      <c r="AV12" s="21"/>
      <c r="AW12" s="21"/>
      <c r="AX12" s="21"/>
      <c r="AY12" s="21"/>
      <c r="AZ12" s="21"/>
      <c r="BA12" s="21"/>
      <c r="BB12" s="21"/>
      <c r="BC12" s="21"/>
      <c r="BD12" s="21">
        <v>0</v>
      </c>
      <c r="BE12" s="20"/>
      <c r="BF12" s="21"/>
      <c r="BG12" s="23">
        <v>0.18</v>
      </c>
      <c r="BH12" s="25"/>
      <c r="BI12" s="25"/>
      <c r="BJ12" s="25"/>
      <c r="BK12" s="25">
        <v>0</v>
      </c>
      <c r="BL12" s="25">
        <v>0</v>
      </c>
      <c r="BM12" s="25">
        <v>0</v>
      </c>
      <c r="BN12" s="25">
        <v>0</v>
      </c>
      <c r="BO12" s="25">
        <v>0</v>
      </c>
      <c r="BP12" s="27"/>
      <c r="BQ12" s="27"/>
      <c r="BR12" s="25"/>
      <c r="BS12" s="27"/>
      <c r="BT12" s="1">
        <f t="shared" si="0"/>
        <v>10.0760918</v>
      </c>
      <c r="BU12" s="1">
        <f t="shared" si="2"/>
        <v>0.26038199999999995</v>
      </c>
      <c r="BV12" s="1">
        <f t="shared" si="3"/>
        <v>0</v>
      </c>
      <c r="BW12" s="1">
        <v>3.2</v>
      </c>
      <c r="BX12" s="1">
        <f t="shared" si="4"/>
        <v>0</v>
      </c>
      <c r="BY12" s="19">
        <v>0.96</v>
      </c>
      <c r="BZ12" s="1">
        <f t="shared" si="1"/>
        <v>-6.8913643750000002</v>
      </c>
      <c r="CA12" s="1">
        <f t="shared" si="5"/>
        <v>-6.8913643750000002</v>
      </c>
    </row>
    <row r="13" spans="1:79" ht="68" x14ac:dyDescent="0.2">
      <c r="A13" s="3">
        <v>11</v>
      </c>
      <c r="B13" s="2" t="s">
        <v>88</v>
      </c>
      <c r="C13" s="3" t="s">
        <v>74</v>
      </c>
      <c r="D13" s="5" t="s">
        <v>79</v>
      </c>
      <c r="E13" s="2" t="s">
        <v>91</v>
      </c>
      <c r="F13" s="3" t="s">
        <v>0</v>
      </c>
      <c r="G13" s="3" t="s">
        <v>1</v>
      </c>
      <c r="H13" s="3" t="s">
        <v>1</v>
      </c>
      <c r="I13" s="3" t="s">
        <v>1</v>
      </c>
      <c r="J13" s="3" t="s">
        <v>1</v>
      </c>
      <c r="K13" s="3" t="s">
        <v>0</v>
      </c>
      <c r="L13" s="3" t="s">
        <v>0</v>
      </c>
      <c r="M13" s="3" t="s">
        <v>2</v>
      </c>
      <c r="N13" s="3" t="s">
        <v>2</v>
      </c>
      <c r="O13" s="19">
        <v>0.96</v>
      </c>
      <c r="P13" s="19"/>
      <c r="Q13" s="19">
        <v>1.41</v>
      </c>
      <c r="R13" s="19"/>
      <c r="S13" s="19"/>
      <c r="T13" s="19"/>
      <c r="U13" s="19"/>
      <c r="V13" s="19"/>
      <c r="W13" s="19"/>
      <c r="X13" s="19"/>
      <c r="Y13" s="19"/>
      <c r="Z13" s="19">
        <f>11.93+0.00063+0.11</f>
        <v>12.040629999999998</v>
      </c>
      <c r="AA13" s="19"/>
      <c r="AB13" s="19"/>
      <c r="AC13" s="19"/>
      <c r="AD13" s="19"/>
      <c r="AE13" s="19">
        <v>25.67</v>
      </c>
      <c r="AF13" s="19"/>
      <c r="AG13" s="19"/>
      <c r="AH13" s="19"/>
      <c r="AI13" s="19"/>
      <c r="AJ13" s="19"/>
      <c r="AK13" s="19"/>
      <c r="AL13" s="19"/>
      <c r="AM13" s="19"/>
      <c r="AN13" s="19">
        <v>0</v>
      </c>
      <c r="AO13" s="19">
        <v>0</v>
      </c>
      <c r="AP13" s="19">
        <v>0</v>
      </c>
      <c r="AQ13" s="19">
        <v>0</v>
      </c>
      <c r="AR13" s="19"/>
      <c r="AS13" s="19"/>
      <c r="AT13" s="21">
        <f>0.092</f>
        <v>9.1999999999999998E-2</v>
      </c>
      <c r="AU13" s="21">
        <v>1.0900000000000001</v>
      </c>
      <c r="AV13" s="21"/>
      <c r="AW13" s="21"/>
      <c r="AX13" s="21"/>
      <c r="AY13" s="21"/>
      <c r="AZ13" s="21"/>
      <c r="BA13" s="21"/>
      <c r="BB13" s="21"/>
      <c r="BC13" s="21"/>
      <c r="BD13" s="21">
        <v>0</v>
      </c>
      <c r="BE13" s="20"/>
      <c r="BF13" s="21"/>
      <c r="BG13" s="23">
        <v>0.18</v>
      </c>
      <c r="BH13" s="25"/>
      <c r="BI13" s="25"/>
      <c r="BJ13" s="25"/>
      <c r="BK13" s="25">
        <v>0</v>
      </c>
      <c r="BL13" s="25">
        <v>0</v>
      </c>
      <c r="BM13" s="25">
        <v>0</v>
      </c>
      <c r="BN13" s="25">
        <v>0</v>
      </c>
      <c r="BO13" s="25">
        <v>0</v>
      </c>
      <c r="BP13" s="27"/>
      <c r="BQ13" s="27"/>
      <c r="BR13" s="25"/>
      <c r="BS13" s="27"/>
      <c r="BT13" s="1">
        <f t="shared" si="0"/>
        <v>9.0188870999999988</v>
      </c>
      <c r="BU13" s="1">
        <f t="shared" si="2"/>
        <v>1.7312619999999999</v>
      </c>
      <c r="BV13" s="1">
        <f t="shared" si="3"/>
        <v>0</v>
      </c>
      <c r="BW13" s="1">
        <v>3.2</v>
      </c>
      <c r="BX13" s="1">
        <f t="shared" si="4"/>
        <v>0</v>
      </c>
      <c r="BY13" s="19">
        <v>0.96</v>
      </c>
      <c r="BZ13" s="1">
        <f t="shared" si="1"/>
        <v>-4.2579428124999987</v>
      </c>
      <c r="CA13" s="1">
        <f t="shared" si="5"/>
        <v>-4.2579428124999987</v>
      </c>
    </row>
    <row r="14" spans="1:79" ht="231" hidden="1" customHeight="1" x14ac:dyDescent="0.2">
      <c r="A14" s="3">
        <v>12</v>
      </c>
      <c r="B14" s="2" t="s">
        <v>88</v>
      </c>
      <c r="C14" s="3" t="s">
        <v>74</v>
      </c>
      <c r="D14" s="5" t="s">
        <v>75</v>
      </c>
      <c r="E14" s="2" t="s">
        <v>92</v>
      </c>
      <c r="F14" s="3" t="s">
        <v>77</v>
      </c>
      <c r="G14" s="3" t="s">
        <v>77</v>
      </c>
      <c r="H14" s="3" t="s">
        <v>77</v>
      </c>
      <c r="I14" s="3" t="s">
        <v>2</v>
      </c>
      <c r="J14" s="3" t="s">
        <v>2</v>
      </c>
      <c r="K14" s="3" t="s">
        <v>0</v>
      </c>
      <c r="L14" s="3" t="s">
        <v>0</v>
      </c>
      <c r="M14" s="3" t="s">
        <v>2</v>
      </c>
      <c r="N14" s="3" t="s">
        <v>2</v>
      </c>
      <c r="O14" s="19">
        <v>0.83</v>
      </c>
      <c r="P14" s="19">
        <v>0</v>
      </c>
      <c r="Q14" s="19">
        <v>0.56000000000000005</v>
      </c>
      <c r="R14" s="19"/>
      <c r="S14" s="19"/>
      <c r="T14" s="19"/>
      <c r="U14" s="19"/>
      <c r="V14" s="19"/>
      <c r="W14" s="19"/>
      <c r="X14" s="19"/>
      <c r="Y14" s="19">
        <v>4.05</v>
      </c>
      <c r="Z14" s="19">
        <f>4.07-4.05</f>
        <v>2.0000000000000462E-2</v>
      </c>
      <c r="AA14" s="19"/>
      <c r="AB14" s="19"/>
      <c r="AC14" s="19"/>
      <c r="AD14" s="19"/>
      <c r="AE14" s="19">
        <v>10.029999999999999</v>
      </c>
      <c r="AF14" s="19"/>
      <c r="AG14" s="19"/>
      <c r="AH14" s="19"/>
      <c r="AI14" s="19"/>
      <c r="AJ14" s="19"/>
      <c r="AK14" s="19"/>
      <c r="AL14" s="19"/>
      <c r="AM14" s="19"/>
      <c r="AN14" s="19">
        <v>0</v>
      </c>
      <c r="AO14" s="19">
        <v>0</v>
      </c>
      <c r="AP14" s="19">
        <v>0</v>
      </c>
      <c r="AQ14" s="19">
        <v>0</v>
      </c>
      <c r="AR14" s="19"/>
      <c r="AS14" s="19"/>
      <c r="AT14" s="21"/>
      <c r="AU14" s="21">
        <v>0.48</v>
      </c>
      <c r="AV14" s="21"/>
      <c r="AW14" s="21"/>
      <c r="AX14" s="21"/>
      <c r="AY14" s="21"/>
      <c r="AZ14" s="21"/>
      <c r="BA14" s="21"/>
      <c r="BB14" s="21"/>
      <c r="BC14" s="21"/>
      <c r="BD14" s="21">
        <v>0</v>
      </c>
      <c r="BE14" s="20"/>
      <c r="BF14" s="21"/>
      <c r="BG14" s="23">
        <v>0.06</v>
      </c>
      <c r="BH14" s="25"/>
      <c r="BI14" s="25"/>
      <c r="BJ14" s="25"/>
      <c r="BK14" s="25">
        <v>0</v>
      </c>
      <c r="BL14" s="25">
        <v>0</v>
      </c>
      <c r="BM14" s="25">
        <v>0</v>
      </c>
      <c r="BN14" s="25">
        <v>0</v>
      </c>
      <c r="BO14" s="25">
        <v>0</v>
      </c>
      <c r="BP14" s="27"/>
      <c r="BQ14" s="27"/>
      <c r="BR14" s="25"/>
      <c r="BS14" s="27"/>
      <c r="BT14" s="1">
        <f t="shared" si="0"/>
        <v>1.5812110000000004</v>
      </c>
      <c r="BU14" s="1">
        <f t="shared" si="2"/>
        <v>0.29240399999999994</v>
      </c>
      <c r="BV14" s="1">
        <f t="shared" si="3"/>
        <v>0</v>
      </c>
      <c r="BW14" s="1">
        <v>3.2</v>
      </c>
      <c r="BX14" s="1">
        <f t="shared" si="4"/>
        <v>0</v>
      </c>
      <c r="BY14" s="19">
        <v>0.83</v>
      </c>
      <c r="BZ14" s="1">
        <f t="shared" si="1"/>
        <v>2.3026421686746987</v>
      </c>
      <c r="CA14" s="1">
        <f t="shared" si="5"/>
        <v>2.3026421686746987</v>
      </c>
    </row>
    <row r="15" spans="1:79" ht="102" x14ac:dyDescent="0.2">
      <c r="A15" s="3">
        <v>13</v>
      </c>
      <c r="B15" s="2" t="s">
        <v>93</v>
      </c>
      <c r="C15" s="3" t="s">
        <v>74</v>
      </c>
      <c r="D15" s="5" t="s">
        <v>79</v>
      </c>
      <c r="E15" s="35" t="s">
        <v>94</v>
      </c>
      <c r="F15" s="3" t="s">
        <v>0</v>
      </c>
      <c r="G15" s="3" t="s">
        <v>1</v>
      </c>
      <c r="H15" s="3" t="s">
        <v>1</v>
      </c>
      <c r="I15" s="3" t="s">
        <v>1</v>
      </c>
      <c r="J15" s="3" t="s">
        <v>1</v>
      </c>
      <c r="K15" s="3" t="s">
        <v>0</v>
      </c>
      <c r="L15" s="3" t="s">
        <v>0</v>
      </c>
      <c r="M15" s="3" t="s">
        <v>2</v>
      </c>
      <c r="N15" s="3" t="s">
        <v>2</v>
      </c>
      <c r="O15" s="19">
        <v>0.95699999999999996</v>
      </c>
      <c r="P15" s="19"/>
      <c r="Q15" s="19">
        <v>1.1000000000000001</v>
      </c>
      <c r="R15" s="19"/>
      <c r="S15" s="19"/>
      <c r="T15" s="19"/>
      <c r="U15" s="19"/>
      <c r="V15" s="19"/>
      <c r="W15" s="19"/>
      <c r="X15" s="19"/>
      <c r="Y15" s="19"/>
      <c r="Z15" s="19">
        <v>12</v>
      </c>
      <c r="AA15" s="19"/>
      <c r="AB15" s="19"/>
      <c r="AC15" s="19"/>
      <c r="AD15" s="19"/>
      <c r="AE15" s="19">
        <v>17.079999999999998</v>
      </c>
      <c r="AF15" s="19"/>
      <c r="AG15" s="19"/>
      <c r="AH15" s="19"/>
      <c r="AI15" s="19"/>
      <c r="AJ15" s="19"/>
      <c r="AK15" s="19"/>
      <c r="AL15" s="19"/>
      <c r="AM15" s="19"/>
      <c r="AN15" s="19">
        <v>0</v>
      </c>
      <c r="AO15" s="19">
        <v>0</v>
      </c>
      <c r="AP15" s="19">
        <v>0</v>
      </c>
      <c r="AQ15" s="19">
        <v>0</v>
      </c>
      <c r="AR15" s="19"/>
      <c r="AS15" s="19"/>
      <c r="AT15" s="21">
        <v>5.0000000000000001E-3</v>
      </c>
      <c r="AU15" s="21">
        <v>0.38600000000000001</v>
      </c>
      <c r="AV15" s="21"/>
      <c r="AW15" s="21"/>
      <c r="AX15" s="21"/>
      <c r="AY15" s="21"/>
      <c r="AZ15" s="21"/>
      <c r="BA15" s="21"/>
      <c r="BB15" s="21"/>
      <c r="BC15" s="21"/>
      <c r="BD15" s="21">
        <v>0</v>
      </c>
      <c r="BE15" s="20"/>
      <c r="BF15" s="21"/>
      <c r="BG15" s="23"/>
      <c r="BH15" s="25"/>
      <c r="BI15" s="25"/>
      <c r="BJ15" s="25"/>
      <c r="BK15" s="25">
        <v>0</v>
      </c>
      <c r="BL15" s="25">
        <v>0</v>
      </c>
      <c r="BM15" s="25">
        <v>0</v>
      </c>
      <c r="BN15" s="25">
        <v>0</v>
      </c>
      <c r="BO15" s="25">
        <v>0</v>
      </c>
      <c r="BP15" s="27"/>
      <c r="BQ15" s="27"/>
      <c r="BR15" s="25"/>
      <c r="BS15" s="27"/>
      <c r="BT15" s="1">
        <f t="shared" si="0"/>
        <v>7.9859299999999998</v>
      </c>
      <c r="BU15" s="1">
        <f t="shared" si="2"/>
        <v>0.293074</v>
      </c>
      <c r="BV15" s="1">
        <f t="shared" si="3"/>
        <v>0</v>
      </c>
      <c r="BW15" s="1">
        <v>3.2</v>
      </c>
      <c r="BX15" s="1">
        <f t="shared" si="4"/>
        <v>0</v>
      </c>
      <c r="BY15" s="19">
        <v>0.95699999999999996</v>
      </c>
      <c r="BZ15" s="1">
        <f t="shared" si="1"/>
        <v>-4.6947293625914313</v>
      </c>
      <c r="CA15" s="1">
        <f t="shared" si="5"/>
        <v>-4.6947293625914313</v>
      </c>
    </row>
    <row r="16" spans="1:79" ht="102" x14ac:dyDescent="0.2">
      <c r="A16" s="3">
        <v>14</v>
      </c>
      <c r="B16" s="2" t="s">
        <v>93</v>
      </c>
      <c r="C16" s="3" t="s">
        <v>74</v>
      </c>
      <c r="D16" s="5" t="s">
        <v>79</v>
      </c>
      <c r="E16" s="35" t="s">
        <v>94</v>
      </c>
      <c r="F16" s="3" t="s">
        <v>0</v>
      </c>
      <c r="G16" s="3" t="s">
        <v>1</v>
      </c>
      <c r="H16" s="3" t="s">
        <v>1</v>
      </c>
      <c r="I16" s="3" t="s">
        <v>1</v>
      </c>
      <c r="J16" s="3" t="s">
        <v>1</v>
      </c>
      <c r="K16" s="3" t="s">
        <v>0</v>
      </c>
      <c r="L16" s="3" t="s">
        <v>0</v>
      </c>
      <c r="M16" s="3" t="s">
        <v>2</v>
      </c>
      <c r="N16" s="3" t="s">
        <v>2</v>
      </c>
      <c r="O16" s="19">
        <v>0.95699999999999996</v>
      </c>
      <c r="P16" s="19"/>
      <c r="Q16" s="19">
        <v>0.61099999999999999</v>
      </c>
      <c r="R16" s="19"/>
      <c r="S16" s="19"/>
      <c r="T16" s="19"/>
      <c r="U16" s="19"/>
      <c r="V16" s="19"/>
      <c r="W16" s="19"/>
      <c r="X16" s="19"/>
      <c r="Y16" s="19"/>
      <c r="Z16" s="19">
        <v>2.63</v>
      </c>
      <c r="AA16" s="19"/>
      <c r="AB16" s="19"/>
      <c r="AC16" s="19"/>
      <c r="AD16" s="19"/>
      <c r="AE16" s="19">
        <v>17.079999999999998</v>
      </c>
      <c r="AF16" s="19"/>
      <c r="AG16" s="19"/>
      <c r="AH16" s="19"/>
      <c r="AI16" s="19"/>
      <c r="AJ16" s="19"/>
      <c r="AK16" s="19"/>
      <c r="AL16" s="19"/>
      <c r="AM16" s="19"/>
      <c r="AN16" s="19">
        <v>0</v>
      </c>
      <c r="AO16" s="19">
        <v>0</v>
      </c>
      <c r="AP16" s="19">
        <v>0</v>
      </c>
      <c r="AQ16" s="19">
        <v>0</v>
      </c>
      <c r="AR16" s="19"/>
      <c r="AS16" s="19"/>
      <c r="AT16" s="21"/>
      <c r="AU16" s="21">
        <v>0.38600000000000001</v>
      </c>
      <c r="AV16" s="21"/>
      <c r="AW16" s="21"/>
      <c r="AX16" s="21"/>
      <c r="AY16" s="21"/>
      <c r="AZ16" s="21"/>
      <c r="BA16" s="21"/>
      <c r="BB16" s="21"/>
      <c r="BC16" s="21"/>
      <c r="BD16" s="21">
        <v>0</v>
      </c>
      <c r="BE16" s="20"/>
      <c r="BF16" s="21"/>
      <c r="BG16" s="23"/>
      <c r="BH16" s="25"/>
      <c r="BI16" s="25"/>
      <c r="BJ16" s="25"/>
      <c r="BK16" s="25">
        <v>0</v>
      </c>
      <c r="BL16" s="25">
        <v>0</v>
      </c>
      <c r="BM16" s="25">
        <v>0</v>
      </c>
      <c r="BN16" s="25">
        <v>0</v>
      </c>
      <c r="BO16" s="25">
        <v>0</v>
      </c>
      <c r="BP16" s="27"/>
      <c r="BQ16" s="27"/>
      <c r="BR16" s="25"/>
      <c r="BS16" s="27"/>
      <c r="BT16" s="1">
        <f t="shared" si="0"/>
        <v>3.5560640999999995</v>
      </c>
      <c r="BU16" s="1">
        <f t="shared" si="2"/>
        <v>0.23507400000000001</v>
      </c>
      <c r="BV16" s="1">
        <f t="shared" si="3"/>
        <v>0</v>
      </c>
      <c r="BW16" s="1">
        <v>3.2</v>
      </c>
      <c r="BX16" s="1">
        <f t="shared" si="4"/>
        <v>0</v>
      </c>
      <c r="BY16" s="19">
        <v>0.95699999999999996</v>
      </c>
      <c r="BZ16" s="1">
        <f t="shared" si="1"/>
        <v>-0.1264264367816085</v>
      </c>
      <c r="CA16" s="1">
        <f t="shared" si="5"/>
        <v>-0.1264264367816085</v>
      </c>
    </row>
    <row r="17" spans="1:79" ht="119" hidden="1" x14ac:dyDescent="0.2">
      <c r="A17" s="3">
        <v>15</v>
      </c>
      <c r="B17" s="2" t="s">
        <v>95</v>
      </c>
      <c r="C17" s="3" t="s">
        <v>74</v>
      </c>
      <c r="D17" s="5" t="s">
        <v>75</v>
      </c>
      <c r="E17" s="35" t="s">
        <v>96</v>
      </c>
      <c r="F17" s="3" t="s">
        <v>77</v>
      </c>
      <c r="G17" s="3" t="s">
        <v>0</v>
      </c>
      <c r="H17" s="3" t="s">
        <v>77</v>
      </c>
      <c r="I17" s="3">
        <v>1</v>
      </c>
      <c r="J17" s="3">
        <v>105</v>
      </c>
      <c r="K17" s="3" t="s">
        <v>0</v>
      </c>
      <c r="L17" s="3" t="s">
        <v>77</v>
      </c>
      <c r="M17" s="3">
        <v>1</v>
      </c>
      <c r="N17" s="3">
        <v>105</v>
      </c>
      <c r="O17" s="19">
        <f>0.988*0.85</f>
        <v>0.83979999999999999</v>
      </c>
      <c r="P17" s="19">
        <f>0.071*0.85</f>
        <v>6.0349999999999994E-2</v>
      </c>
      <c r="Q17" s="19"/>
      <c r="R17" s="19"/>
      <c r="S17" s="19"/>
      <c r="T17" s="19"/>
      <c r="U17" s="19"/>
      <c r="V17" s="19"/>
      <c r="W17" s="19"/>
      <c r="X17" s="19"/>
      <c r="Y17" s="19"/>
      <c r="Z17" s="19">
        <f>0.48*0.85</f>
        <v>0.40799999999999997</v>
      </c>
      <c r="AA17" s="19"/>
      <c r="AB17" s="19"/>
      <c r="AC17" s="36"/>
      <c r="AD17" s="36"/>
      <c r="AE17" s="19"/>
      <c r="AF17" s="19"/>
      <c r="AG17" s="19">
        <f>3.27*0.85</f>
        <v>2.7795000000000001</v>
      </c>
      <c r="AH17" s="19"/>
      <c r="AI17" s="19"/>
      <c r="AJ17" s="19"/>
      <c r="AK17" s="19"/>
      <c r="AL17" s="19"/>
      <c r="AM17" s="19"/>
      <c r="AN17" s="19">
        <v>0</v>
      </c>
      <c r="AO17" s="19">
        <v>0</v>
      </c>
      <c r="AP17" s="19">
        <v>0</v>
      </c>
      <c r="AQ17" s="19">
        <v>0</v>
      </c>
      <c r="AR17" s="19"/>
      <c r="AS17" s="19"/>
      <c r="AT17" s="21"/>
      <c r="AU17" s="21"/>
      <c r="AV17" s="21"/>
      <c r="AW17" s="21"/>
      <c r="AX17" s="21"/>
      <c r="AY17" s="21"/>
      <c r="AZ17" s="21"/>
      <c r="BA17" s="21"/>
      <c r="BB17" s="21"/>
      <c r="BC17" s="21"/>
      <c r="BD17" s="21">
        <v>0</v>
      </c>
      <c r="BE17" s="20"/>
      <c r="BF17" s="21"/>
      <c r="BG17" s="23"/>
      <c r="BH17" s="25">
        <f>0.032*0.85</f>
        <v>2.7199999999999998E-2</v>
      </c>
      <c r="BI17" s="25"/>
      <c r="BJ17" s="25"/>
      <c r="BK17" s="25">
        <v>0</v>
      </c>
      <c r="BL17" s="25">
        <v>0</v>
      </c>
      <c r="BM17" s="25">
        <v>0</v>
      </c>
      <c r="BN17" s="25">
        <v>0</v>
      </c>
      <c r="BO17" s="25">
        <v>0</v>
      </c>
      <c r="BP17" s="27"/>
      <c r="BQ17" s="27"/>
      <c r="BR17" s="25"/>
      <c r="BS17" s="27"/>
      <c r="BT17" s="1">
        <f t="shared" si="0"/>
        <v>1.7195857000000001</v>
      </c>
      <c r="BU17" s="1">
        <f t="shared" si="2"/>
        <v>0</v>
      </c>
      <c r="BV17" s="1">
        <f t="shared" si="3"/>
        <v>2.7199999999999998E-2</v>
      </c>
      <c r="BW17" s="1">
        <v>3.2</v>
      </c>
      <c r="BX17" s="1">
        <f t="shared" si="4"/>
        <v>1.5401319999999996</v>
      </c>
      <c r="BY17" s="19">
        <f>0.988*0.85</f>
        <v>0.83979999999999999</v>
      </c>
      <c r="BZ17" s="1">
        <f t="shared" si="1"/>
        <v>1.7304290307216006</v>
      </c>
      <c r="CA17" s="1">
        <f t="shared" si="5"/>
        <v>-0.10349809478447182</v>
      </c>
    </row>
    <row r="18" spans="1:79" ht="102" hidden="1" x14ac:dyDescent="0.2">
      <c r="A18" s="3">
        <v>16</v>
      </c>
      <c r="B18" s="2" t="s">
        <v>95</v>
      </c>
      <c r="C18" s="3" t="s">
        <v>74</v>
      </c>
      <c r="D18" s="5" t="s">
        <v>75</v>
      </c>
      <c r="E18" s="35" t="s">
        <v>97</v>
      </c>
      <c r="F18" s="3" t="s">
        <v>77</v>
      </c>
      <c r="G18" s="3" t="s">
        <v>0</v>
      </c>
      <c r="H18" s="3" t="s">
        <v>77</v>
      </c>
      <c r="I18" s="3">
        <v>1</v>
      </c>
      <c r="J18" s="3">
        <v>94</v>
      </c>
      <c r="K18" s="3" t="s">
        <v>0</v>
      </c>
      <c r="L18" s="3" t="s">
        <v>77</v>
      </c>
      <c r="M18" s="3">
        <v>1</v>
      </c>
      <c r="N18" s="3">
        <v>94</v>
      </c>
      <c r="O18" s="19">
        <v>0.98499999999999999</v>
      </c>
      <c r="P18" s="19">
        <v>4.4999999999999998E-2</v>
      </c>
      <c r="Q18" s="19"/>
      <c r="R18" s="19"/>
      <c r="S18" s="19"/>
      <c r="T18" s="19"/>
      <c r="U18" s="19"/>
      <c r="V18" s="19"/>
      <c r="W18" s="19"/>
      <c r="X18" s="19"/>
      <c r="Y18" s="19"/>
      <c r="Z18" s="19">
        <v>0.53</v>
      </c>
      <c r="AA18" s="19"/>
      <c r="AB18" s="19"/>
      <c r="AC18" s="36"/>
      <c r="AD18" s="36"/>
      <c r="AE18" s="19"/>
      <c r="AF18" s="19"/>
      <c r="AG18" s="19">
        <v>2.5099999999999998</v>
      </c>
      <c r="AH18" s="19"/>
      <c r="AI18" s="19"/>
      <c r="AJ18" s="19"/>
      <c r="AK18" s="19"/>
      <c r="AL18" s="19"/>
      <c r="AM18" s="19"/>
      <c r="AN18" s="19"/>
      <c r="AO18" s="19"/>
      <c r="AP18" s="19"/>
      <c r="AQ18" s="19"/>
      <c r="AR18" s="19"/>
      <c r="AS18" s="19"/>
      <c r="AT18" s="21"/>
      <c r="AU18" s="21"/>
      <c r="AV18" s="21"/>
      <c r="AW18" s="21"/>
      <c r="AX18" s="21"/>
      <c r="AY18" s="21"/>
      <c r="AZ18" s="21"/>
      <c r="BA18" s="21"/>
      <c r="BB18" s="21"/>
      <c r="BC18" s="21"/>
      <c r="BD18" s="21"/>
      <c r="BE18" s="20"/>
      <c r="BF18" s="21"/>
      <c r="BG18" s="23"/>
      <c r="BH18" s="25">
        <v>2.9000000000000001E-2</v>
      </c>
      <c r="BI18" s="25"/>
      <c r="BJ18" s="25"/>
      <c r="BK18" s="25"/>
      <c r="BL18" s="25"/>
      <c r="BM18" s="25"/>
      <c r="BN18" s="25"/>
      <c r="BO18" s="25"/>
      <c r="BP18" s="27"/>
      <c r="BQ18" s="27"/>
      <c r="BR18" s="25"/>
      <c r="BS18" s="27"/>
      <c r="BT18" s="1">
        <f t="shared" si="0"/>
        <v>1.685826</v>
      </c>
      <c r="BU18" s="1">
        <f t="shared" si="2"/>
        <v>0</v>
      </c>
      <c r="BV18" s="1">
        <f t="shared" si="3"/>
        <v>2.9000000000000001E-2</v>
      </c>
      <c r="BW18" s="1">
        <v>3.2</v>
      </c>
      <c r="BX18" s="1">
        <f t="shared" si="4"/>
        <v>1.1483999999999999</v>
      </c>
      <c r="BY18" s="19">
        <v>0.98499999999999999</v>
      </c>
      <c r="BZ18" s="1">
        <f t="shared" si="1"/>
        <v>1.5077908629441628</v>
      </c>
      <c r="CA18" s="1">
        <f t="shared" si="5"/>
        <v>0.34190253807106613</v>
      </c>
    </row>
    <row r="19" spans="1:79" ht="119" hidden="1" x14ac:dyDescent="0.2">
      <c r="A19" s="3">
        <v>17</v>
      </c>
      <c r="B19" s="2" t="s">
        <v>98</v>
      </c>
      <c r="C19" s="3" t="s">
        <v>74</v>
      </c>
      <c r="D19" s="5" t="s">
        <v>75</v>
      </c>
      <c r="E19" s="35" t="s">
        <v>99</v>
      </c>
      <c r="F19" s="3" t="s">
        <v>77</v>
      </c>
      <c r="G19" s="3" t="s">
        <v>77</v>
      </c>
      <c r="H19" s="3" t="s">
        <v>77</v>
      </c>
      <c r="I19" s="3">
        <v>30</v>
      </c>
      <c r="J19" s="3">
        <v>105</v>
      </c>
      <c r="K19" s="3" t="s">
        <v>0</v>
      </c>
      <c r="L19" s="3" t="s">
        <v>77</v>
      </c>
      <c r="M19" s="3">
        <v>1.01</v>
      </c>
      <c r="N19" s="3">
        <v>105</v>
      </c>
      <c r="O19" s="19">
        <v>0.83399999999999996</v>
      </c>
      <c r="P19" s="19">
        <f>90/1500</f>
        <v>0.06</v>
      </c>
      <c r="Q19" s="19">
        <v>0.59499999999999997</v>
      </c>
      <c r="R19" s="19">
        <v>252</v>
      </c>
      <c r="S19" s="19"/>
      <c r="T19" s="19"/>
      <c r="U19" s="19"/>
      <c r="V19" s="19"/>
      <c r="W19" s="19"/>
      <c r="X19" s="19"/>
      <c r="Y19" s="19">
        <f>4.054-0.296</f>
        <v>3.7580000000000005</v>
      </c>
      <c r="Z19" s="19">
        <v>0.29599999999999999</v>
      </c>
      <c r="AA19" s="19"/>
      <c r="AB19" s="19"/>
      <c r="AC19" s="19">
        <f>2.78+2.96</f>
        <v>5.74</v>
      </c>
      <c r="AD19" s="19"/>
      <c r="AE19" s="19"/>
      <c r="AF19" s="19"/>
      <c r="AG19" s="19"/>
      <c r="AH19" s="19"/>
      <c r="AI19" s="19"/>
      <c r="AJ19" s="19"/>
      <c r="AK19" s="19"/>
      <c r="AL19" s="19"/>
      <c r="AM19" s="19"/>
      <c r="AN19" s="19">
        <v>0</v>
      </c>
      <c r="AO19" s="19">
        <v>0</v>
      </c>
      <c r="AP19" s="19">
        <v>0</v>
      </c>
      <c r="AQ19" s="19">
        <v>0</v>
      </c>
      <c r="AR19" s="19"/>
      <c r="AS19" s="19"/>
      <c r="AT19" s="21"/>
      <c r="AU19" s="21">
        <v>0.47699999999999998</v>
      </c>
      <c r="AV19" s="21"/>
      <c r="AW19" s="21"/>
      <c r="AX19" s="21"/>
      <c r="AY19" s="21"/>
      <c r="AZ19" s="21"/>
      <c r="BA19" s="21"/>
      <c r="BB19" s="21"/>
      <c r="BC19" s="21"/>
      <c r="BD19" s="21">
        <v>0</v>
      </c>
      <c r="BE19" s="20"/>
      <c r="BF19" s="21"/>
      <c r="BG19" s="23"/>
      <c r="BH19" s="25"/>
      <c r="BI19" s="25">
        <v>0.06</v>
      </c>
      <c r="BJ19" s="25"/>
      <c r="BK19" s="25">
        <v>0</v>
      </c>
      <c r="BL19" s="25">
        <v>0</v>
      </c>
      <c r="BM19" s="25">
        <v>0</v>
      </c>
      <c r="BN19" s="25">
        <v>0</v>
      </c>
      <c r="BO19" s="25">
        <v>0</v>
      </c>
      <c r="BP19" s="27"/>
      <c r="BQ19" s="27"/>
      <c r="BR19" s="25"/>
      <c r="BS19" s="27"/>
      <c r="BT19" s="1">
        <f t="shared" si="0"/>
        <v>3.3900667000000002</v>
      </c>
      <c r="BU19" s="1">
        <f t="shared" si="2"/>
        <v>0.290493</v>
      </c>
      <c r="BV19" s="1">
        <f t="shared" si="3"/>
        <v>2.4E-2</v>
      </c>
      <c r="BW19" s="1">
        <v>3.2</v>
      </c>
      <c r="BX19" s="1">
        <f t="shared" si="4"/>
        <v>1.5311999999999997</v>
      </c>
      <c r="BY19" s="19">
        <v>0.83399999999999996</v>
      </c>
      <c r="BZ19" s="1">
        <f t="shared" si="1"/>
        <v>9.1638249400479724E-2</v>
      </c>
      <c r="CA19" s="1">
        <f t="shared" si="5"/>
        <v>-1.7443329736211022</v>
      </c>
    </row>
    <row r="20" spans="1:79" ht="85" hidden="1" x14ac:dyDescent="0.2">
      <c r="A20" s="3">
        <v>18</v>
      </c>
      <c r="B20" s="2" t="s">
        <v>100</v>
      </c>
      <c r="C20" s="3" t="s">
        <v>74</v>
      </c>
      <c r="D20" s="5" t="s">
        <v>75</v>
      </c>
      <c r="E20" s="35" t="s">
        <v>101</v>
      </c>
      <c r="F20" s="3" t="s">
        <v>77</v>
      </c>
      <c r="G20" s="3" t="s">
        <v>77</v>
      </c>
      <c r="H20" s="3" t="s">
        <v>77</v>
      </c>
      <c r="I20" s="3">
        <v>30</v>
      </c>
      <c r="J20" s="3">
        <v>105</v>
      </c>
      <c r="K20" s="3" t="s">
        <v>0</v>
      </c>
      <c r="L20" s="3" t="s">
        <v>77</v>
      </c>
      <c r="M20" s="3">
        <v>1.01</v>
      </c>
      <c r="N20" s="3">
        <v>105</v>
      </c>
      <c r="O20" s="19">
        <v>0.83399999999999996</v>
      </c>
      <c r="P20" s="19">
        <f>90/1500</f>
        <v>0.06</v>
      </c>
      <c r="Q20" s="19">
        <v>0.59499999999999997</v>
      </c>
      <c r="R20" s="19">
        <v>252</v>
      </c>
      <c r="S20" s="19"/>
      <c r="T20" s="19"/>
      <c r="U20" s="19"/>
      <c r="V20" s="19"/>
      <c r="W20" s="19"/>
      <c r="X20" s="19"/>
      <c r="Y20" s="19">
        <f>4.054-0.296</f>
        <v>3.7580000000000005</v>
      </c>
      <c r="Z20" s="19">
        <v>0.29599999999999999</v>
      </c>
      <c r="AA20" s="19"/>
      <c r="AB20" s="19"/>
      <c r="AC20" s="19">
        <f>2.78+2.96</f>
        <v>5.74</v>
      </c>
      <c r="AD20" s="19"/>
      <c r="AE20" s="19"/>
      <c r="AF20" s="19"/>
      <c r="AG20" s="19"/>
      <c r="AH20" s="19"/>
      <c r="AI20" s="19"/>
      <c r="AJ20" s="19"/>
      <c r="AK20" s="19"/>
      <c r="AL20" s="19"/>
      <c r="AM20" s="19"/>
      <c r="AN20" s="19">
        <v>0</v>
      </c>
      <c r="AO20" s="19">
        <v>0</v>
      </c>
      <c r="AP20" s="19">
        <v>0</v>
      </c>
      <c r="AQ20" s="19">
        <v>0</v>
      </c>
      <c r="AR20" s="19"/>
      <c r="AS20" s="19"/>
      <c r="AT20" s="21"/>
      <c r="AU20" s="21">
        <v>0.47699999999999998</v>
      </c>
      <c r="AV20" s="21"/>
      <c r="AW20" s="21"/>
      <c r="AX20" s="21"/>
      <c r="AY20" s="21"/>
      <c r="AZ20" s="21"/>
      <c r="BA20" s="21"/>
      <c r="BB20" s="21"/>
      <c r="BC20" s="21"/>
      <c r="BD20" s="21">
        <v>0</v>
      </c>
      <c r="BE20" s="20"/>
      <c r="BF20" s="21"/>
      <c r="BG20" s="23"/>
      <c r="BH20" s="25"/>
      <c r="BI20" s="25">
        <v>0.06</v>
      </c>
      <c r="BJ20" s="25"/>
      <c r="BK20" s="25">
        <v>0</v>
      </c>
      <c r="BL20" s="25">
        <v>0</v>
      </c>
      <c r="BM20" s="25">
        <v>0</v>
      </c>
      <c r="BN20" s="25">
        <v>0</v>
      </c>
      <c r="BO20" s="25">
        <v>0</v>
      </c>
      <c r="BP20" s="27"/>
      <c r="BQ20" s="27"/>
      <c r="BR20" s="25"/>
      <c r="BS20" s="27"/>
      <c r="BT20" s="1">
        <f t="shared" si="0"/>
        <v>3.3900667000000002</v>
      </c>
      <c r="BU20" s="1">
        <f t="shared" si="2"/>
        <v>0.290493</v>
      </c>
      <c r="BV20" s="1">
        <f t="shared" si="3"/>
        <v>2.4E-2</v>
      </c>
      <c r="BW20" s="1">
        <v>3.2</v>
      </c>
      <c r="BX20" s="1">
        <f t="shared" si="4"/>
        <v>1.5311999999999997</v>
      </c>
      <c r="BY20" s="19">
        <v>0.83399999999999996</v>
      </c>
      <c r="BZ20" s="1">
        <f t="shared" si="1"/>
        <v>9.1638249400479724E-2</v>
      </c>
      <c r="CA20" s="1">
        <f t="shared" si="5"/>
        <v>-1.7443329736211022</v>
      </c>
    </row>
    <row r="21" spans="1:79" ht="102" x14ac:dyDescent="0.2">
      <c r="A21" s="3">
        <v>19</v>
      </c>
      <c r="B21" s="2" t="s">
        <v>102</v>
      </c>
      <c r="C21" s="3" t="s">
        <v>74</v>
      </c>
      <c r="D21" s="5" t="s">
        <v>79</v>
      </c>
      <c r="E21" s="35" t="s">
        <v>103</v>
      </c>
      <c r="F21" s="3" t="s">
        <v>0</v>
      </c>
      <c r="G21" s="3" t="s">
        <v>1</v>
      </c>
      <c r="H21" s="3" t="s">
        <v>1</v>
      </c>
      <c r="I21" s="3" t="s">
        <v>1</v>
      </c>
      <c r="J21" s="3">
        <v>3</v>
      </c>
      <c r="K21" s="3" t="s">
        <v>0</v>
      </c>
      <c r="L21" s="3" t="s">
        <v>0</v>
      </c>
      <c r="M21" s="3" t="s">
        <v>2</v>
      </c>
      <c r="N21" s="3">
        <v>3</v>
      </c>
      <c r="O21" s="19">
        <f>1/1.02</f>
        <v>0.98039215686274506</v>
      </c>
      <c r="P21" s="19"/>
      <c r="Q21" s="19">
        <f>0.71/1.02</f>
        <v>0.69607843137254899</v>
      </c>
      <c r="R21" s="19"/>
      <c r="S21" s="19"/>
      <c r="T21" s="19"/>
      <c r="U21" s="19"/>
      <c r="V21" s="19"/>
      <c r="W21" s="19"/>
      <c r="X21" s="19"/>
      <c r="Y21" s="19"/>
      <c r="Z21" s="19">
        <f>9.2/1.02</f>
        <v>9.0196078431372548</v>
      </c>
      <c r="AA21" s="19"/>
      <c r="AB21" s="19"/>
      <c r="AC21" s="19"/>
      <c r="AD21" s="19"/>
      <c r="AE21" s="19">
        <f>35.78/1.02</f>
        <v>35.078431372549019</v>
      </c>
      <c r="AF21" s="19"/>
      <c r="AG21" s="19"/>
      <c r="AH21" s="19"/>
      <c r="AI21" s="19"/>
      <c r="AJ21" s="19"/>
      <c r="AK21" s="19"/>
      <c r="AL21" s="19"/>
      <c r="AM21" s="19"/>
      <c r="AN21" s="19">
        <v>0</v>
      </c>
      <c r="AO21" s="19">
        <v>0</v>
      </c>
      <c r="AP21" s="19">
        <v>0</v>
      </c>
      <c r="AQ21" s="19">
        <v>0</v>
      </c>
      <c r="AR21" s="19"/>
      <c r="AS21" s="19"/>
      <c r="AT21" s="21"/>
      <c r="AU21" s="21"/>
      <c r="AV21" s="21"/>
      <c r="AW21" s="21"/>
      <c r="AX21" s="21"/>
      <c r="AY21" s="21"/>
      <c r="AZ21" s="21"/>
      <c r="BA21" s="21"/>
      <c r="BB21" s="21"/>
      <c r="BC21" s="21"/>
      <c r="BD21" s="21">
        <v>0</v>
      </c>
      <c r="BE21" s="20"/>
      <c r="BF21" s="21"/>
      <c r="BG21" s="23"/>
      <c r="BH21" s="25"/>
      <c r="BI21" s="25"/>
      <c r="BJ21" s="25"/>
      <c r="BK21" s="25">
        <v>0</v>
      </c>
      <c r="BL21" s="25">
        <v>0</v>
      </c>
      <c r="BM21" s="25">
        <v>0</v>
      </c>
      <c r="BN21" s="25">
        <v>0</v>
      </c>
      <c r="BO21" s="25">
        <v>0</v>
      </c>
      <c r="BP21" s="27"/>
      <c r="BQ21" s="27"/>
      <c r="BR21" s="25"/>
      <c r="BS21" s="27"/>
      <c r="BT21" s="1">
        <f t="shared" si="0"/>
        <v>8.6590009803921575</v>
      </c>
      <c r="BU21" s="1">
        <f t="shared" si="2"/>
        <v>0</v>
      </c>
      <c r="BV21" s="1">
        <f t="shared" si="3"/>
        <v>0</v>
      </c>
      <c r="BW21" s="1">
        <v>3.2</v>
      </c>
      <c r="BX21" s="1">
        <f t="shared" si="4"/>
        <v>0</v>
      </c>
      <c r="BY21" s="19">
        <f>1/1.02</f>
        <v>0.98039215686274506</v>
      </c>
      <c r="BZ21" s="1">
        <f t="shared" si="1"/>
        <v>-5.5681810000000009</v>
      </c>
      <c r="CA21" s="1">
        <f t="shared" si="5"/>
        <v>-5.5681810000000009</v>
      </c>
    </row>
    <row r="22" spans="1:79" ht="170" hidden="1" x14ac:dyDescent="0.2">
      <c r="A22" s="3">
        <v>20</v>
      </c>
      <c r="B22" s="2" t="s">
        <v>102</v>
      </c>
      <c r="C22" s="3" t="s">
        <v>74</v>
      </c>
      <c r="D22" s="5" t="s">
        <v>75</v>
      </c>
      <c r="E22" s="35" t="s">
        <v>104</v>
      </c>
      <c r="F22" s="3" t="s">
        <v>77</v>
      </c>
      <c r="G22" s="3" t="s">
        <v>0</v>
      </c>
      <c r="H22" s="3" t="s">
        <v>77</v>
      </c>
      <c r="I22" s="3" t="s">
        <v>2</v>
      </c>
      <c r="J22" s="3" t="s">
        <v>2</v>
      </c>
      <c r="K22" s="3" t="s">
        <v>0</v>
      </c>
      <c r="L22" s="3" t="s">
        <v>77</v>
      </c>
      <c r="M22" s="3" t="s">
        <v>2</v>
      </c>
      <c r="N22" s="3" t="s">
        <v>2</v>
      </c>
      <c r="O22" s="19">
        <f>1/1.01</f>
        <v>0.99009900990099009</v>
      </c>
      <c r="P22" s="19">
        <f>0.045/1.01</f>
        <v>4.4554455445544552E-2</v>
      </c>
      <c r="Q22" s="19"/>
      <c r="R22" s="19"/>
      <c r="S22" s="19"/>
      <c r="T22" s="19"/>
      <c r="U22" s="19"/>
      <c r="V22" s="19"/>
      <c r="W22" s="19"/>
      <c r="X22" s="19"/>
      <c r="Y22" s="19"/>
      <c r="Z22" s="19">
        <f>0.53/1.01</f>
        <v>0.52475247524752477</v>
      </c>
      <c r="AA22" s="19"/>
      <c r="AB22" s="19"/>
      <c r="AC22" s="19"/>
      <c r="AD22" s="19"/>
      <c r="AE22" s="19">
        <f>9.17/1.02</f>
        <v>8.9901960784313726</v>
      </c>
      <c r="AF22" s="19"/>
      <c r="AG22" s="19"/>
      <c r="AH22" s="19"/>
      <c r="AI22" s="19"/>
      <c r="AJ22" s="19"/>
      <c r="AK22" s="19"/>
      <c r="AL22" s="19"/>
      <c r="AM22" s="19"/>
      <c r="AN22" s="19">
        <v>0</v>
      </c>
      <c r="AO22" s="19">
        <v>0</v>
      </c>
      <c r="AP22" s="19">
        <v>0</v>
      </c>
      <c r="AQ22" s="19">
        <v>0</v>
      </c>
      <c r="AR22" s="19"/>
      <c r="AS22" s="19"/>
      <c r="AT22" s="21"/>
      <c r="AU22" s="21"/>
      <c r="AV22" s="21"/>
      <c r="AW22" s="21"/>
      <c r="AX22" s="21"/>
      <c r="AY22" s="21"/>
      <c r="AZ22" s="21"/>
      <c r="BA22" s="21"/>
      <c r="BB22" s="21"/>
      <c r="BC22" s="21"/>
      <c r="BD22" s="21">
        <v>0</v>
      </c>
      <c r="BE22" s="20"/>
      <c r="BF22" s="21"/>
      <c r="BG22" s="23"/>
      <c r="BH22" s="25">
        <f>0.02/1.01</f>
        <v>1.9801980198019802E-2</v>
      </c>
      <c r="BI22" s="25"/>
      <c r="BJ22" s="25"/>
      <c r="BK22" s="25">
        <v>0</v>
      </c>
      <c r="BL22" s="25">
        <v>0</v>
      </c>
      <c r="BM22" s="25">
        <v>0</v>
      </c>
      <c r="BN22" s="25">
        <v>0</v>
      </c>
      <c r="BO22" s="25">
        <v>0</v>
      </c>
      <c r="BP22" s="27"/>
      <c r="BQ22" s="27"/>
      <c r="BR22" s="25"/>
      <c r="BS22" s="27"/>
      <c r="BT22" s="1">
        <f t="shared" si="0"/>
        <v>1.6789518540089303</v>
      </c>
      <c r="BU22" s="1">
        <f t="shared" si="2"/>
        <v>0</v>
      </c>
      <c r="BV22" s="1">
        <f t="shared" si="3"/>
        <v>1.9801980198019802E-2</v>
      </c>
      <c r="BW22" s="1">
        <v>3.2</v>
      </c>
      <c r="BX22" s="1">
        <f t="shared" si="4"/>
        <v>1.1370297029702967</v>
      </c>
      <c r="BY22" s="19">
        <f>1/1.01</f>
        <v>0.99009900990099009</v>
      </c>
      <c r="BZ22" s="1">
        <f t="shared" si="1"/>
        <v>1.5162586274509806</v>
      </c>
      <c r="CA22" s="1">
        <f t="shared" si="5"/>
        <v>0.36785862745098086</v>
      </c>
    </row>
    <row r="23" spans="1:79" ht="170" hidden="1" x14ac:dyDescent="0.2">
      <c r="A23" s="3">
        <v>21</v>
      </c>
      <c r="B23" s="2" t="s">
        <v>105</v>
      </c>
      <c r="C23" s="3" t="s">
        <v>106</v>
      </c>
      <c r="D23" s="3" t="s">
        <v>219</v>
      </c>
      <c r="E23" s="2" t="s">
        <v>107</v>
      </c>
      <c r="F23" s="3" t="s">
        <v>0</v>
      </c>
      <c r="G23" s="3" t="s">
        <v>1</v>
      </c>
      <c r="H23" s="3" t="s">
        <v>1</v>
      </c>
      <c r="I23" s="3" t="s">
        <v>1</v>
      </c>
      <c r="J23" s="3" t="s">
        <v>1</v>
      </c>
      <c r="K23" s="3" t="s">
        <v>0</v>
      </c>
      <c r="L23" s="3" t="s">
        <v>0</v>
      </c>
      <c r="M23" s="3">
        <v>20</v>
      </c>
      <c r="N23" s="3">
        <v>20</v>
      </c>
      <c r="O23" s="19">
        <v>0.23</v>
      </c>
      <c r="P23" s="19">
        <v>0</v>
      </c>
      <c r="Q23" s="19">
        <v>0</v>
      </c>
      <c r="R23" s="19">
        <f>1.14+0.55</f>
        <v>1.69</v>
      </c>
      <c r="S23" s="19">
        <v>0</v>
      </c>
      <c r="T23" s="19">
        <v>0</v>
      </c>
      <c r="U23" s="19">
        <v>0</v>
      </c>
      <c r="V23" s="19"/>
      <c r="W23" s="19"/>
      <c r="X23" s="19"/>
      <c r="Y23" s="19"/>
      <c r="Z23" s="19">
        <v>0.01</v>
      </c>
      <c r="AA23" s="19"/>
      <c r="AB23" s="19"/>
      <c r="AC23" s="19">
        <v>0</v>
      </c>
      <c r="AD23" s="19"/>
      <c r="AE23" s="19">
        <v>0</v>
      </c>
      <c r="AF23" s="19">
        <v>0.05</v>
      </c>
      <c r="AG23" s="19"/>
      <c r="AH23" s="19"/>
      <c r="AI23" s="19"/>
      <c r="AJ23" s="19"/>
      <c r="AK23" s="19"/>
      <c r="AL23" s="19"/>
      <c r="AM23" s="19"/>
      <c r="AN23" s="37">
        <v>0.81</v>
      </c>
      <c r="AO23" s="19">
        <v>0.02</v>
      </c>
      <c r="AP23" s="19">
        <v>0.01</v>
      </c>
      <c r="AQ23" s="19">
        <f>0.00136</f>
        <v>1.3600000000000001E-3</v>
      </c>
      <c r="AR23" s="37"/>
      <c r="AS23" s="37"/>
      <c r="AT23" s="21">
        <v>0</v>
      </c>
      <c r="AU23" s="21">
        <v>0</v>
      </c>
      <c r="AV23" s="21"/>
      <c r="AW23" s="21"/>
      <c r="AX23" s="21"/>
      <c r="AY23" s="21"/>
      <c r="AZ23" s="21"/>
      <c r="BA23" s="21">
        <v>0</v>
      </c>
      <c r="BB23" s="21">
        <v>0</v>
      </c>
      <c r="BC23" s="21">
        <v>0</v>
      </c>
      <c r="BD23" s="21">
        <v>0</v>
      </c>
      <c r="BE23" s="20"/>
      <c r="BF23" s="28"/>
      <c r="BG23" s="23">
        <v>0</v>
      </c>
      <c r="BH23" s="25">
        <v>0</v>
      </c>
      <c r="BI23" s="25"/>
      <c r="BJ23" s="25"/>
      <c r="BK23" s="25">
        <f>0.000114</f>
        <v>1.1400000000000001E-4</v>
      </c>
      <c r="BL23" s="25">
        <v>0</v>
      </c>
      <c r="BM23" s="25">
        <v>0</v>
      </c>
      <c r="BN23" s="25">
        <v>0</v>
      </c>
      <c r="BO23" s="25">
        <v>0</v>
      </c>
      <c r="BP23" s="27"/>
      <c r="BQ23" s="27"/>
      <c r="BR23" s="25"/>
      <c r="BS23" s="27"/>
      <c r="BT23" s="1">
        <f t="shared" si="0"/>
        <v>4.3506963200000008</v>
      </c>
      <c r="BU23" s="1">
        <f t="shared" si="2"/>
        <v>0</v>
      </c>
      <c r="BV23" s="1">
        <f>SUMPRODUCT($BH$2:$BS$2,BH23:BS23)</f>
        <v>5.7000000000000005E-7</v>
      </c>
      <c r="BW23" s="1">
        <v>3.81</v>
      </c>
      <c r="BX23" s="1">
        <f t="shared" si="4"/>
        <v>0</v>
      </c>
      <c r="BY23" s="19">
        <v>0.23</v>
      </c>
      <c r="BZ23" s="1">
        <f>(BW23+BU23-BT23-BV23)/BY23</f>
        <v>-2.3508560434782639</v>
      </c>
      <c r="CA23" s="1">
        <f>((BW23+BU23)-(BT23+BV23+BX23))/BY23</f>
        <v>-2.3508560434782644</v>
      </c>
    </row>
    <row r="24" spans="1:79" ht="68" hidden="1" x14ac:dyDescent="0.2">
      <c r="A24" s="3">
        <v>22</v>
      </c>
      <c r="B24" s="2" t="s">
        <v>108</v>
      </c>
      <c r="C24" s="3" t="s">
        <v>106</v>
      </c>
      <c r="D24" s="3" t="s">
        <v>219</v>
      </c>
      <c r="E24" s="35" t="s">
        <v>109</v>
      </c>
      <c r="F24" s="3" t="s">
        <v>0</v>
      </c>
      <c r="G24" s="3" t="s">
        <v>1</v>
      </c>
      <c r="H24" s="3" t="s">
        <v>1</v>
      </c>
      <c r="I24" s="3" t="s">
        <v>1</v>
      </c>
      <c r="J24" s="3" t="s">
        <v>1</v>
      </c>
      <c r="K24" s="3" t="s">
        <v>0</v>
      </c>
      <c r="L24" s="3" t="s">
        <v>0</v>
      </c>
      <c r="M24" s="3" t="s">
        <v>2</v>
      </c>
      <c r="N24" s="3" t="s">
        <v>2</v>
      </c>
      <c r="O24" s="19">
        <v>0.42</v>
      </c>
      <c r="P24" s="19">
        <v>0</v>
      </c>
      <c r="Q24" s="19">
        <v>0</v>
      </c>
      <c r="R24" s="19">
        <v>0</v>
      </c>
      <c r="S24" s="19">
        <v>0</v>
      </c>
      <c r="T24" s="19">
        <v>0</v>
      </c>
      <c r="U24" s="19">
        <v>0</v>
      </c>
      <c r="V24" s="19"/>
      <c r="W24" s="19"/>
      <c r="X24" s="19"/>
      <c r="Y24" s="19"/>
      <c r="Z24" s="19">
        <v>0</v>
      </c>
      <c r="AA24" s="19"/>
      <c r="AB24" s="19"/>
      <c r="AC24" s="19">
        <v>0</v>
      </c>
      <c r="AD24" s="19"/>
      <c r="AE24" s="19">
        <v>0</v>
      </c>
      <c r="AF24" s="19">
        <v>0</v>
      </c>
      <c r="AG24" s="19"/>
      <c r="AH24" s="19"/>
      <c r="AI24" s="19"/>
      <c r="AJ24" s="19"/>
      <c r="AK24" s="19"/>
      <c r="AL24" s="19"/>
      <c r="AM24" s="19"/>
      <c r="AN24" s="19">
        <v>0.55400000000000005</v>
      </c>
      <c r="AO24" s="19">
        <v>2.5999999999999999E-2</v>
      </c>
      <c r="AP24" s="19">
        <v>0</v>
      </c>
      <c r="AQ24" s="19">
        <v>0</v>
      </c>
      <c r="AR24" s="19"/>
      <c r="AS24" s="19"/>
      <c r="AT24" s="21">
        <v>0</v>
      </c>
      <c r="AU24" s="21">
        <v>0</v>
      </c>
      <c r="AV24" s="21"/>
      <c r="AW24" s="21"/>
      <c r="AX24" s="21"/>
      <c r="AY24" s="21"/>
      <c r="AZ24" s="21"/>
      <c r="BA24" s="21">
        <v>0</v>
      </c>
      <c r="BB24" s="21">
        <v>0</v>
      </c>
      <c r="BC24" s="21">
        <v>0</v>
      </c>
      <c r="BD24" s="21">
        <v>0</v>
      </c>
      <c r="BE24" s="20"/>
      <c r="BF24" s="21"/>
      <c r="BG24" s="23">
        <v>0</v>
      </c>
      <c r="BH24" s="25">
        <v>0</v>
      </c>
      <c r="BI24" s="25"/>
      <c r="BJ24" s="25"/>
      <c r="BK24" s="25">
        <v>0</v>
      </c>
      <c r="BL24" s="25">
        <v>0</v>
      </c>
      <c r="BM24" s="25">
        <v>0</v>
      </c>
      <c r="BN24" s="25">
        <v>0</v>
      </c>
      <c r="BO24" s="25">
        <v>0</v>
      </c>
      <c r="BP24" s="27"/>
      <c r="BQ24" s="27"/>
      <c r="BR24" s="25"/>
      <c r="BS24" s="27"/>
      <c r="BT24" s="1">
        <f t="shared" si="0"/>
        <v>3.0538000000000003</v>
      </c>
      <c r="BU24" s="1">
        <f t="shared" si="2"/>
        <v>0</v>
      </c>
      <c r="BV24" s="1">
        <f t="shared" si="3"/>
        <v>0</v>
      </c>
      <c r="BW24" s="1">
        <v>3.81</v>
      </c>
      <c r="BX24" s="1">
        <f t="shared" si="4"/>
        <v>0</v>
      </c>
      <c r="BY24" s="19">
        <v>0.42</v>
      </c>
      <c r="BZ24" s="1">
        <f t="shared" si="1"/>
        <v>1.8004761904761899</v>
      </c>
      <c r="CA24" s="1">
        <f t="shared" si="5"/>
        <v>1.8004761904761899</v>
      </c>
    </row>
    <row r="25" spans="1:79" ht="119" hidden="1" x14ac:dyDescent="0.2">
      <c r="A25" s="3">
        <v>23</v>
      </c>
      <c r="B25" s="38" t="s">
        <v>110</v>
      </c>
      <c r="C25" s="3" t="s">
        <v>111</v>
      </c>
      <c r="D25" s="5" t="s">
        <v>112</v>
      </c>
      <c r="E25" s="35" t="s">
        <v>196</v>
      </c>
      <c r="F25" s="3" t="s">
        <v>77</v>
      </c>
      <c r="G25" s="3" t="s">
        <v>77</v>
      </c>
      <c r="H25" s="3" t="s">
        <v>77</v>
      </c>
      <c r="I25" s="3" t="s">
        <v>113</v>
      </c>
      <c r="J25" s="3" t="s">
        <v>2</v>
      </c>
      <c r="K25" s="3" t="s">
        <v>77</v>
      </c>
      <c r="L25" s="3" t="s">
        <v>77</v>
      </c>
      <c r="M25" s="3">
        <v>13.3</v>
      </c>
      <c r="N25" s="3" t="s">
        <v>2</v>
      </c>
      <c r="O25" s="19">
        <f>(1.836*80)/(0.62*80)</f>
        <v>2.9612903225806448</v>
      </c>
      <c r="P25" s="19">
        <f>(0.083*310)/(0.62*80)</f>
        <v>0.51875000000000004</v>
      </c>
      <c r="Q25" s="19">
        <f>P25*((252)/(0.083*312))</f>
        <v>5.0480769230769234</v>
      </c>
      <c r="R25" s="19">
        <v>0</v>
      </c>
      <c r="S25" s="19">
        <v>0</v>
      </c>
      <c r="T25" s="19">
        <v>0</v>
      </c>
      <c r="U25" s="19">
        <v>0</v>
      </c>
      <c r="V25" s="19"/>
      <c r="W25" s="19"/>
      <c r="X25" s="19"/>
      <c r="Y25" s="19"/>
      <c r="Z25" s="19">
        <f>((27.2*0.277)/(0.62*80))</f>
        <v>0.15190322580645163</v>
      </c>
      <c r="AA25" s="19"/>
      <c r="AB25" s="19"/>
      <c r="AC25" s="19">
        <v>0</v>
      </c>
      <c r="AD25" s="19"/>
      <c r="AE25" s="19">
        <v>0</v>
      </c>
      <c r="AF25" s="19">
        <v>0</v>
      </c>
      <c r="AG25" s="19"/>
      <c r="AH25" s="19"/>
      <c r="AI25" s="19"/>
      <c r="AJ25" s="19"/>
      <c r="AK25" s="19"/>
      <c r="AL25" s="19"/>
      <c r="AM25" s="19"/>
      <c r="AN25" s="19">
        <v>0</v>
      </c>
      <c r="AO25" s="19">
        <v>0</v>
      </c>
      <c r="AP25" s="19">
        <v>0</v>
      </c>
      <c r="AQ25" s="19">
        <v>0</v>
      </c>
      <c r="AR25" s="19"/>
      <c r="AS25" s="19"/>
      <c r="AT25" s="21">
        <v>0</v>
      </c>
      <c r="AU25" s="21"/>
      <c r="AV25" s="21"/>
      <c r="AW25" s="21"/>
      <c r="AX25" s="21"/>
      <c r="AY25" s="21">
        <f>615/(0.62*80)</f>
        <v>12.399193548387096</v>
      </c>
      <c r="AZ25" s="21"/>
      <c r="BA25" s="21">
        <v>0</v>
      </c>
      <c r="BB25" s="21">
        <v>0</v>
      </c>
      <c r="BC25" s="21">
        <v>0</v>
      </c>
      <c r="BD25" s="21">
        <v>0</v>
      </c>
      <c r="BE25" s="20"/>
      <c r="BF25" s="21"/>
      <c r="BG25" s="23">
        <v>0</v>
      </c>
      <c r="BH25" s="25">
        <v>0</v>
      </c>
      <c r="BI25" s="25"/>
      <c r="BJ25" s="25"/>
      <c r="BK25" s="25">
        <v>0</v>
      </c>
      <c r="BL25" s="25">
        <v>0</v>
      </c>
      <c r="BM25" s="25">
        <v>0</v>
      </c>
      <c r="BN25" s="25">
        <v>0</v>
      </c>
      <c r="BO25" s="25">
        <v>0</v>
      </c>
      <c r="BP25" s="25"/>
      <c r="BQ25" s="25"/>
      <c r="BR25" s="25"/>
      <c r="BS25" s="27"/>
      <c r="BT25" s="1">
        <f t="shared" si="0"/>
        <v>2.1326228039702233</v>
      </c>
      <c r="BU25" s="1">
        <f t="shared" si="2"/>
        <v>1.4383064516129032</v>
      </c>
      <c r="BV25" s="1">
        <f t="shared" si="3"/>
        <v>0</v>
      </c>
      <c r="BW25" s="1">
        <v>0.20799999999999999</v>
      </c>
      <c r="BX25" s="1">
        <f t="shared" si="4"/>
        <v>13.238499999999998</v>
      </c>
      <c r="BY25" s="19">
        <f>(1.836*80)/(0.62*80)</f>
        <v>2.9612903225806448</v>
      </c>
      <c r="BZ25" s="1">
        <f t="shared" si="1"/>
        <v>-0.16422447628624104</v>
      </c>
      <c r="CA25" s="1">
        <f t="shared" si="5"/>
        <v>-4.6347419054801406</v>
      </c>
    </row>
    <row r="26" spans="1:79" ht="102" hidden="1" x14ac:dyDescent="0.2">
      <c r="A26" s="3">
        <v>24</v>
      </c>
      <c r="B26" s="2" t="s">
        <v>110</v>
      </c>
      <c r="C26" s="3" t="s">
        <v>111</v>
      </c>
      <c r="D26" s="5" t="s">
        <v>112</v>
      </c>
      <c r="E26" s="35" t="s">
        <v>197</v>
      </c>
      <c r="F26" s="3" t="s">
        <v>77</v>
      </c>
      <c r="G26" s="3" t="s">
        <v>77</v>
      </c>
      <c r="H26" s="3" t="s">
        <v>77</v>
      </c>
      <c r="I26" s="3" t="s">
        <v>113</v>
      </c>
      <c r="J26" s="3" t="s">
        <v>2</v>
      </c>
      <c r="K26" s="3" t="s">
        <v>77</v>
      </c>
      <c r="L26" s="3" t="s">
        <v>77</v>
      </c>
      <c r="M26" s="3">
        <v>13.3</v>
      </c>
      <c r="N26" s="3" t="s">
        <v>2</v>
      </c>
      <c r="O26" s="19">
        <f>(1.836*95.1)/(0.627*98)</f>
        <v>2.8415779709012794</v>
      </c>
      <c r="P26" s="19">
        <f>(0.083*312)/(0.62*98)</f>
        <v>0.426201448321264</v>
      </c>
      <c r="Q26" s="19">
        <v>4.1474654377880187</v>
      </c>
      <c r="R26" s="19">
        <v>0</v>
      </c>
      <c r="S26" s="19">
        <v>0</v>
      </c>
      <c r="T26" s="19">
        <v>0</v>
      </c>
      <c r="U26" s="19">
        <v>0</v>
      </c>
      <c r="V26" s="19"/>
      <c r="W26" s="19"/>
      <c r="X26" s="19"/>
      <c r="Y26" s="19"/>
      <c r="Z26" s="19">
        <f>((33.3*0.277)/(0.62*80))</f>
        <v>0.18596975806451613</v>
      </c>
      <c r="AA26" s="19"/>
      <c r="AB26" s="19"/>
      <c r="AC26" s="19">
        <v>0</v>
      </c>
      <c r="AD26" s="19"/>
      <c r="AE26" s="19">
        <v>0</v>
      </c>
      <c r="AF26" s="19">
        <v>0</v>
      </c>
      <c r="AG26" s="19"/>
      <c r="AH26" s="19"/>
      <c r="AI26" s="19"/>
      <c r="AJ26" s="19"/>
      <c r="AK26" s="19"/>
      <c r="AL26" s="19"/>
      <c r="AM26" s="19"/>
      <c r="AN26" s="19">
        <v>0</v>
      </c>
      <c r="AO26" s="19">
        <v>0</v>
      </c>
      <c r="AP26" s="19">
        <v>0</v>
      </c>
      <c r="AQ26" s="19">
        <v>0</v>
      </c>
      <c r="AR26" s="19"/>
      <c r="AS26" s="19"/>
      <c r="AT26" s="21">
        <v>0</v>
      </c>
      <c r="AU26" s="21"/>
      <c r="AV26" s="21"/>
      <c r="AW26" s="21"/>
      <c r="AX26" s="21"/>
      <c r="AY26" s="21">
        <f>721/(0.62*80)</f>
        <v>14.536290322580644</v>
      </c>
      <c r="AZ26" s="21"/>
      <c r="BA26" s="21">
        <v>0</v>
      </c>
      <c r="BB26" s="21">
        <v>0</v>
      </c>
      <c r="BC26" s="21">
        <v>0</v>
      </c>
      <c r="BD26" s="21">
        <v>0</v>
      </c>
      <c r="BE26" s="20"/>
      <c r="BF26" s="21"/>
      <c r="BG26" s="23">
        <v>0</v>
      </c>
      <c r="BH26" s="25">
        <v>0</v>
      </c>
      <c r="BI26" s="25"/>
      <c r="BJ26" s="25"/>
      <c r="BK26" s="25">
        <v>0</v>
      </c>
      <c r="BL26" s="25">
        <v>0</v>
      </c>
      <c r="BM26" s="25">
        <v>0</v>
      </c>
      <c r="BN26" s="25">
        <v>0</v>
      </c>
      <c r="BO26" s="25">
        <v>0</v>
      </c>
      <c r="BP26" s="27"/>
      <c r="BQ26" s="27"/>
      <c r="BR26" s="25"/>
      <c r="BS26" s="27"/>
      <c r="BT26" s="1">
        <f t="shared" si="0"/>
        <v>1.9116495124889359</v>
      </c>
      <c r="BU26" s="1">
        <f t="shared" si="2"/>
        <v>1.6862096774193549</v>
      </c>
      <c r="BV26" s="1">
        <f t="shared" si="3"/>
        <v>0</v>
      </c>
      <c r="BW26" s="1">
        <v>0.20799999999999999</v>
      </c>
      <c r="BX26" s="1">
        <f t="shared" si="4"/>
        <v>10.876660961158656</v>
      </c>
      <c r="BY26" s="19">
        <f>(1.836*95.1)/(0.627*98)</f>
        <v>2.8415779709012794</v>
      </c>
      <c r="BZ26" s="1">
        <f t="shared" si="1"/>
        <v>-6.1373769251348506E-3</v>
      </c>
      <c r="CA26" s="1">
        <f t="shared" si="5"/>
        <v>-3.8338208234254059</v>
      </c>
    </row>
    <row r="27" spans="1:79" ht="52" hidden="1" x14ac:dyDescent="0.2">
      <c r="A27" s="3">
        <v>25</v>
      </c>
      <c r="B27" s="2" t="s">
        <v>114</v>
      </c>
      <c r="C27" s="3" t="s">
        <v>111</v>
      </c>
      <c r="D27" s="5" t="s">
        <v>112</v>
      </c>
      <c r="E27" s="2" t="s">
        <v>115</v>
      </c>
      <c r="F27" s="3" t="s">
        <v>77</v>
      </c>
      <c r="G27" s="3" t="s">
        <v>77</v>
      </c>
      <c r="H27" s="3" t="s">
        <v>77</v>
      </c>
      <c r="I27" s="3" t="s">
        <v>2</v>
      </c>
      <c r="J27" s="3" t="s">
        <v>2</v>
      </c>
      <c r="K27" s="3" t="s">
        <v>0</v>
      </c>
      <c r="L27" s="3" t="s">
        <v>77</v>
      </c>
      <c r="M27" s="3" t="s">
        <v>2</v>
      </c>
      <c r="N27" s="3" t="s">
        <v>2</v>
      </c>
      <c r="O27" s="19">
        <v>0</v>
      </c>
      <c r="P27" s="19">
        <v>0</v>
      </c>
      <c r="Q27" s="19">
        <v>4.6280000000000001</v>
      </c>
      <c r="R27" s="19">
        <v>0</v>
      </c>
      <c r="S27" s="19">
        <v>0</v>
      </c>
      <c r="T27" s="19">
        <v>0</v>
      </c>
      <c r="U27" s="19">
        <v>0</v>
      </c>
      <c r="V27" s="19"/>
      <c r="W27" s="19"/>
      <c r="X27" s="19">
        <v>0.45100000000000001</v>
      </c>
      <c r="Y27" s="19">
        <v>28.45804</v>
      </c>
      <c r="Z27" s="19">
        <v>0.33</v>
      </c>
      <c r="AA27" s="19"/>
      <c r="AB27" s="19"/>
      <c r="AC27" s="19">
        <v>0</v>
      </c>
      <c r="AD27" s="19"/>
      <c r="AE27" s="19">
        <v>0</v>
      </c>
      <c r="AF27" s="19">
        <v>0</v>
      </c>
      <c r="AG27" s="19"/>
      <c r="AH27" s="19"/>
      <c r="AI27" s="19"/>
      <c r="AJ27" s="19"/>
      <c r="AK27" s="19"/>
      <c r="AL27" s="19"/>
      <c r="AM27" s="19"/>
      <c r="AN27" s="19">
        <v>0</v>
      </c>
      <c r="AO27" s="19">
        <v>0</v>
      </c>
      <c r="AP27" s="19">
        <v>0</v>
      </c>
      <c r="AQ27" s="19">
        <v>0</v>
      </c>
      <c r="AR27" s="19"/>
      <c r="AS27" s="19"/>
      <c r="AT27" s="21">
        <v>0</v>
      </c>
      <c r="AU27" s="21">
        <v>0</v>
      </c>
      <c r="AV27" s="21"/>
      <c r="AW27" s="21"/>
      <c r="AX27" s="21"/>
      <c r="AY27" s="21">
        <v>0</v>
      </c>
      <c r="AZ27" s="21">
        <v>1.02</v>
      </c>
      <c r="BA27" s="21">
        <v>0</v>
      </c>
      <c r="BB27" s="21">
        <v>0</v>
      </c>
      <c r="BC27" s="21">
        <v>0</v>
      </c>
      <c r="BD27" s="21">
        <v>0</v>
      </c>
      <c r="BE27" s="21"/>
      <c r="BF27" s="21"/>
      <c r="BG27" s="23">
        <v>0</v>
      </c>
      <c r="BH27" s="25">
        <v>0</v>
      </c>
      <c r="BI27" s="25">
        <v>0</v>
      </c>
      <c r="BJ27" s="25"/>
      <c r="BK27" s="25">
        <v>0</v>
      </c>
      <c r="BL27" s="25">
        <v>0</v>
      </c>
      <c r="BM27" s="25">
        <v>0</v>
      </c>
      <c r="BN27" s="25">
        <v>0</v>
      </c>
      <c r="BO27" s="25">
        <v>0</v>
      </c>
      <c r="BP27" s="27"/>
      <c r="BQ27" s="27"/>
      <c r="BR27" s="25"/>
      <c r="BS27" s="27"/>
      <c r="BT27" s="1">
        <f t="shared" si="0"/>
        <v>1.491023116</v>
      </c>
      <c r="BU27" s="1">
        <f t="shared" si="2"/>
        <v>0.42595200000000005</v>
      </c>
      <c r="BV27" s="1">
        <f t="shared" si="3"/>
        <v>0</v>
      </c>
      <c r="BW27" s="1">
        <v>0.20799999999999999</v>
      </c>
      <c r="BX27" s="1">
        <f>(0.47-0.03)*Y27</f>
        <v>12.521537599999998</v>
      </c>
      <c r="BY27" s="19">
        <v>2.75</v>
      </c>
      <c r="BZ27" s="1">
        <f>(BW27+BU27-BT27-BV27)/BY27</f>
        <v>-0.31166222399999999</v>
      </c>
      <c r="CA27" s="1">
        <f t="shared" si="5"/>
        <v>-4.8649486239999993</v>
      </c>
    </row>
    <row r="28" spans="1:79" ht="221" hidden="1" x14ac:dyDescent="0.2">
      <c r="A28" s="3">
        <v>26</v>
      </c>
      <c r="B28" s="2" t="s">
        <v>116</v>
      </c>
      <c r="C28" s="3" t="s">
        <v>111</v>
      </c>
      <c r="D28" s="5" t="s">
        <v>112</v>
      </c>
      <c r="E28" s="35" t="s">
        <v>117</v>
      </c>
      <c r="F28" s="3" t="s">
        <v>77</v>
      </c>
      <c r="G28" s="3" t="s">
        <v>77</v>
      </c>
      <c r="H28" s="3" t="s">
        <v>0</v>
      </c>
      <c r="I28" s="3" t="s">
        <v>2</v>
      </c>
      <c r="J28" s="3">
        <v>7</v>
      </c>
      <c r="K28" s="3" t="s">
        <v>77</v>
      </c>
      <c r="L28" s="3" t="s">
        <v>0</v>
      </c>
      <c r="M28" s="3">
        <v>1</v>
      </c>
      <c r="N28" s="3">
        <v>7</v>
      </c>
      <c r="O28" s="19">
        <v>0</v>
      </c>
      <c r="P28" s="19">
        <v>0</v>
      </c>
      <c r="Q28" s="19">
        <f>P28*(120/1)*(0.14-0.08)</f>
        <v>0</v>
      </c>
      <c r="R28" s="19">
        <v>0</v>
      </c>
      <c r="S28" s="19">
        <f>(O28*(1/1000)*0.08)</f>
        <v>0</v>
      </c>
      <c r="T28" s="19">
        <v>0</v>
      </c>
      <c r="U28" s="19">
        <v>0</v>
      </c>
      <c r="V28" s="19">
        <f>(3700/1000)*O28</f>
        <v>0</v>
      </c>
      <c r="W28" s="19"/>
      <c r="X28" s="19">
        <v>0.18149999999999999</v>
      </c>
      <c r="Y28" s="19">
        <v>28.799999999999997</v>
      </c>
      <c r="Z28" s="19">
        <v>0</v>
      </c>
      <c r="AA28" s="19"/>
      <c r="AB28" s="19"/>
      <c r="AC28" s="19">
        <v>0</v>
      </c>
      <c r="AD28" s="19">
        <f>(O28*(1/1000)*(3700-3200))</f>
        <v>0</v>
      </c>
      <c r="AE28" s="19">
        <v>0</v>
      </c>
      <c r="AF28" s="19">
        <v>0</v>
      </c>
      <c r="AG28" s="19"/>
      <c r="AH28" s="19"/>
      <c r="AI28" s="19"/>
      <c r="AJ28" s="19"/>
      <c r="AK28" s="19"/>
      <c r="AL28" s="19"/>
      <c r="AM28" s="19"/>
      <c r="AN28" s="19">
        <v>0</v>
      </c>
      <c r="AO28" s="19">
        <v>0</v>
      </c>
      <c r="AP28" s="19">
        <v>0</v>
      </c>
      <c r="AQ28" s="19">
        <v>0</v>
      </c>
      <c r="AR28" s="19"/>
      <c r="AS28" s="19">
        <f>(O28*(1/1000)*0.045)</f>
        <v>0</v>
      </c>
      <c r="AT28" s="21">
        <v>0</v>
      </c>
      <c r="AU28" s="21">
        <v>0</v>
      </c>
      <c r="AV28" s="21"/>
      <c r="AW28" s="21"/>
      <c r="AX28" s="21"/>
      <c r="AY28" s="21">
        <f>(50*0.18)+(P28*(120/1)*0.52)</f>
        <v>9</v>
      </c>
      <c r="AZ28" s="21"/>
      <c r="BA28" s="21">
        <v>0</v>
      </c>
      <c r="BB28" s="21">
        <v>0</v>
      </c>
      <c r="BC28" s="21">
        <v>0</v>
      </c>
      <c r="BD28" s="21">
        <v>0</v>
      </c>
      <c r="BE28" s="21"/>
      <c r="BF28" s="21"/>
      <c r="BG28" s="23">
        <v>0</v>
      </c>
      <c r="BH28" s="25">
        <v>0</v>
      </c>
      <c r="BI28" s="25">
        <f>50*0.05</f>
        <v>2.5</v>
      </c>
      <c r="BJ28" s="25"/>
      <c r="BK28" s="25">
        <v>0</v>
      </c>
      <c r="BL28" s="25">
        <v>0</v>
      </c>
      <c r="BM28" s="25">
        <v>0</v>
      </c>
      <c r="BN28" s="25">
        <v>0</v>
      </c>
      <c r="BO28" s="25">
        <v>0</v>
      </c>
      <c r="BP28" s="25">
        <f>(O28*(1/1000)*0.1)</f>
        <v>0</v>
      </c>
      <c r="BQ28" s="25">
        <f>(O28*(1/1000)*2.6)</f>
        <v>0</v>
      </c>
      <c r="BR28" s="25"/>
      <c r="BS28" s="27"/>
      <c r="BT28" s="1">
        <f t="shared" si="0"/>
        <v>1.1120505000000001</v>
      </c>
      <c r="BU28" s="1">
        <f t="shared" si="2"/>
        <v>1.044</v>
      </c>
      <c r="BV28" s="1">
        <f t="shared" si="3"/>
        <v>1</v>
      </c>
      <c r="BW28" s="1">
        <v>0.20799999999999999</v>
      </c>
      <c r="BX28" s="1">
        <f>(0.47-0.03)*Y28</f>
        <v>12.671999999999997</v>
      </c>
      <c r="BY28" s="19">
        <f>50*0.06</f>
        <v>3</v>
      </c>
      <c r="BZ28" s="1">
        <f t="shared" si="1"/>
        <v>-0.28668350000000004</v>
      </c>
      <c r="CA28" s="1">
        <f t="shared" si="5"/>
        <v>-4.510683499999999</v>
      </c>
    </row>
    <row r="29" spans="1:79" ht="119" hidden="1" x14ac:dyDescent="0.2">
      <c r="A29" s="3">
        <v>27</v>
      </c>
      <c r="B29" s="2" t="s">
        <v>118</v>
      </c>
      <c r="C29" s="3" t="s">
        <v>111</v>
      </c>
      <c r="D29" s="5" t="s">
        <v>112</v>
      </c>
      <c r="E29" s="2" t="s">
        <v>119</v>
      </c>
      <c r="F29" s="3" t="s">
        <v>77</v>
      </c>
      <c r="G29" s="3" t="s">
        <v>0</v>
      </c>
      <c r="H29" s="3" t="s">
        <v>77</v>
      </c>
      <c r="I29" s="3" t="s">
        <v>2</v>
      </c>
      <c r="J29" s="3" t="s">
        <v>2</v>
      </c>
      <c r="K29" s="3" t="s">
        <v>0</v>
      </c>
      <c r="L29" s="3" t="s">
        <v>77</v>
      </c>
      <c r="M29" s="3" t="s">
        <v>2</v>
      </c>
      <c r="N29" s="3" t="s">
        <v>2</v>
      </c>
      <c r="O29" s="19">
        <v>2.9390000000000001</v>
      </c>
      <c r="P29" s="19">
        <v>0.50600000000000001</v>
      </c>
      <c r="Q29" s="19">
        <v>0</v>
      </c>
      <c r="R29" s="19">
        <v>0</v>
      </c>
      <c r="S29" s="19">
        <v>0</v>
      </c>
      <c r="T29" s="19">
        <v>0</v>
      </c>
      <c r="U29" s="19">
        <v>0</v>
      </c>
      <c r="V29" s="19"/>
      <c r="W29" s="19"/>
      <c r="X29" s="19"/>
      <c r="Y29" s="19"/>
      <c r="Z29" s="19">
        <v>0.33</v>
      </c>
      <c r="AA29" s="19"/>
      <c r="AB29" s="19"/>
      <c r="AC29" s="19">
        <v>0</v>
      </c>
      <c r="AD29" s="19"/>
      <c r="AE29" s="19">
        <v>0</v>
      </c>
      <c r="AF29" s="19">
        <v>0</v>
      </c>
      <c r="AG29" s="19"/>
      <c r="AH29" s="19"/>
      <c r="AI29" s="19"/>
      <c r="AJ29" s="19"/>
      <c r="AK29" s="19"/>
      <c r="AL29" s="19"/>
      <c r="AM29" s="19"/>
      <c r="AN29" s="19">
        <v>0</v>
      </c>
      <c r="AO29" s="19">
        <v>0</v>
      </c>
      <c r="AP29" s="19">
        <v>0</v>
      </c>
      <c r="AQ29" s="19">
        <v>0</v>
      </c>
      <c r="AR29" s="19"/>
      <c r="AS29" s="19"/>
      <c r="AT29" s="21">
        <v>8.9999999999999993E-3</v>
      </c>
      <c r="AU29" s="21">
        <v>0</v>
      </c>
      <c r="AV29" s="21"/>
      <c r="AW29" s="21"/>
      <c r="AX29" s="21"/>
      <c r="AY29" s="21">
        <v>0</v>
      </c>
      <c r="AZ29" s="21"/>
      <c r="BA29" s="21">
        <v>0</v>
      </c>
      <c r="BB29" s="21">
        <v>0</v>
      </c>
      <c r="BC29" s="21">
        <v>0</v>
      </c>
      <c r="BD29" s="21">
        <v>0</v>
      </c>
      <c r="BE29" s="21"/>
      <c r="BF29" s="21"/>
      <c r="BG29" s="23">
        <v>0</v>
      </c>
      <c r="BH29" s="25">
        <v>0.19400000000000001</v>
      </c>
      <c r="BI29" s="25">
        <v>0</v>
      </c>
      <c r="BJ29" s="25"/>
      <c r="BK29" s="25">
        <v>0</v>
      </c>
      <c r="BL29" s="25">
        <v>0</v>
      </c>
      <c r="BM29" s="25">
        <v>0</v>
      </c>
      <c r="BN29" s="25">
        <v>0</v>
      </c>
      <c r="BO29" s="25">
        <v>0</v>
      </c>
      <c r="BP29" s="27"/>
      <c r="BQ29" s="27"/>
      <c r="BR29" s="25"/>
      <c r="BS29" s="27"/>
      <c r="BT29" s="1">
        <f t="shared" si="0"/>
        <v>1.9203600000000001</v>
      </c>
      <c r="BU29" s="1">
        <f t="shared" si="2"/>
        <v>0.10439999999999999</v>
      </c>
      <c r="BV29" s="1">
        <f t="shared" si="3"/>
        <v>0.19400000000000001</v>
      </c>
      <c r="BW29" s="1">
        <v>0.20799999999999999</v>
      </c>
      <c r="BX29" s="1">
        <f t="shared" si="4"/>
        <v>12.913119999999997</v>
      </c>
      <c r="BY29" s="19">
        <v>2.9390000000000001</v>
      </c>
      <c r="BZ29" s="1">
        <f t="shared" si="1"/>
        <v>-0.61312010888057167</v>
      </c>
      <c r="CA29" s="1">
        <f t="shared" si="5"/>
        <v>-5.0068322558693419</v>
      </c>
    </row>
    <row r="30" spans="1:79" ht="187" hidden="1" x14ac:dyDescent="0.2">
      <c r="A30" s="3">
        <v>28</v>
      </c>
      <c r="B30" s="2" t="s">
        <v>120</v>
      </c>
      <c r="C30" s="3" t="s">
        <v>111</v>
      </c>
      <c r="D30" s="5" t="s">
        <v>112</v>
      </c>
      <c r="E30" s="35" t="s">
        <v>121</v>
      </c>
      <c r="F30" s="3" t="s">
        <v>77</v>
      </c>
      <c r="G30" s="3" t="s">
        <v>77</v>
      </c>
      <c r="H30" s="3" t="s">
        <v>77</v>
      </c>
      <c r="I30" s="3" t="s">
        <v>2</v>
      </c>
      <c r="J30" s="3" t="s">
        <v>2</v>
      </c>
      <c r="K30" s="3" t="s">
        <v>0</v>
      </c>
      <c r="L30" s="3" t="s">
        <v>77</v>
      </c>
      <c r="M30" s="3" t="s">
        <v>2</v>
      </c>
      <c r="N30" s="3" t="s">
        <v>2</v>
      </c>
      <c r="O30" s="19">
        <v>2.9390000000000001</v>
      </c>
      <c r="P30" s="19">
        <v>0</v>
      </c>
      <c r="Q30" s="19">
        <v>0</v>
      </c>
      <c r="R30" s="19">
        <v>0</v>
      </c>
      <c r="S30" s="19">
        <v>0</v>
      </c>
      <c r="T30" s="19">
        <v>0</v>
      </c>
      <c r="U30" s="19">
        <v>0</v>
      </c>
      <c r="V30" s="19"/>
      <c r="W30" s="19"/>
      <c r="X30" s="19"/>
      <c r="Y30" s="19">
        <v>25.3</v>
      </c>
      <c r="Z30" s="19">
        <f>0.33</f>
        <v>0.33</v>
      </c>
      <c r="AA30" s="19"/>
      <c r="AB30" s="19"/>
      <c r="AC30" s="19">
        <v>0</v>
      </c>
      <c r="AD30" s="19"/>
      <c r="AE30" s="19">
        <v>0</v>
      </c>
      <c r="AF30" s="19">
        <v>0</v>
      </c>
      <c r="AG30" s="19"/>
      <c r="AH30" s="19"/>
      <c r="AI30" s="19"/>
      <c r="AJ30" s="19"/>
      <c r="AK30" s="19"/>
      <c r="AL30" s="19"/>
      <c r="AM30" s="19"/>
      <c r="AN30" s="19">
        <v>0</v>
      </c>
      <c r="AO30" s="19">
        <v>0</v>
      </c>
      <c r="AP30" s="19">
        <v>0</v>
      </c>
      <c r="AQ30" s="19">
        <v>0</v>
      </c>
      <c r="AR30" s="19"/>
      <c r="AS30" s="19"/>
      <c r="AT30" s="21">
        <v>8.9999999999999993E-3</v>
      </c>
      <c r="AU30" s="21">
        <v>0</v>
      </c>
      <c r="AV30" s="21"/>
      <c r="AW30" s="21"/>
      <c r="AX30" s="21"/>
      <c r="AY30" s="21"/>
      <c r="AZ30" s="21">
        <v>3.008</v>
      </c>
      <c r="BA30" s="21">
        <v>0</v>
      </c>
      <c r="BB30" s="21">
        <v>0</v>
      </c>
      <c r="BC30" s="21">
        <v>0</v>
      </c>
      <c r="BD30" s="21">
        <v>0</v>
      </c>
      <c r="BE30" s="21"/>
      <c r="BF30" s="21"/>
      <c r="BG30" s="23">
        <v>0</v>
      </c>
      <c r="BH30" s="25">
        <v>0.19400000000000001</v>
      </c>
      <c r="BI30" s="25">
        <v>0</v>
      </c>
      <c r="BJ30" s="25"/>
      <c r="BK30" s="25">
        <v>0</v>
      </c>
      <c r="BL30" s="25">
        <v>0</v>
      </c>
      <c r="BM30" s="25">
        <v>0</v>
      </c>
      <c r="BN30" s="25">
        <v>0</v>
      </c>
      <c r="BO30" s="25">
        <v>0</v>
      </c>
      <c r="BP30" s="27"/>
      <c r="BQ30" s="27"/>
      <c r="BR30" s="25"/>
      <c r="BS30" s="27"/>
      <c r="BT30" s="1">
        <f t="shared" si="0"/>
        <v>1.8014500000000002</v>
      </c>
      <c r="BU30" s="1">
        <f t="shared" si="2"/>
        <v>1.3605408000000001</v>
      </c>
      <c r="BV30" s="1">
        <f t="shared" si="3"/>
        <v>0.19400000000000001</v>
      </c>
      <c r="BW30" s="1">
        <v>0.20799999999999999</v>
      </c>
      <c r="BX30" s="1">
        <f>(0.47-0.03)*Y30</f>
        <v>11.132</v>
      </c>
      <c r="BY30" s="19">
        <v>2.9390000000000001</v>
      </c>
      <c r="BZ30" s="1">
        <f t="shared" si="1"/>
        <v>-0.14525661789724401</v>
      </c>
      <c r="CA30" s="1">
        <f t="shared" si="5"/>
        <v>-3.9329395032323915</v>
      </c>
    </row>
    <row r="31" spans="1:79" ht="238" hidden="1" x14ac:dyDescent="0.2">
      <c r="A31" s="3">
        <v>29</v>
      </c>
      <c r="B31" s="6" t="s">
        <v>122</v>
      </c>
      <c r="C31" s="3" t="s">
        <v>111</v>
      </c>
      <c r="D31" s="5" t="s">
        <v>112</v>
      </c>
      <c r="E31" s="2" t="s">
        <v>123</v>
      </c>
      <c r="F31" s="3" t="s">
        <v>77</v>
      </c>
      <c r="G31" s="3" t="s">
        <v>0</v>
      </c>
      <c r="H31" s="3" t="s">
        <v>0</v>
      </c>
      <c r="I31" s="3" t="s">
        <v>2</v>
      </c>
      <c r="J31" s="3" t="s">
        <v>2</v>
      </c>
      <c r="K31" s="3" t="s">
        <v>77</v>
      </c>
      <c r="L31" s="3" t="s">
        <v>0</v>
      </c>
      <c r="M31" s="3" t="s">
        <v>2</v>
      </c>
      <c r="N31" s="3" t="s">
        <v>2</v>
      </c>
      <c r="O31" s="19">
        <v>2.89</v>
      </c>
      <c r="P31" s="19">
        <v>0.53</v>
      </c>
      <c r="Q31" s="19">
        <v>0</v>
      </c>
      <c r="R31" s="19">
        <v>0</v>
      </c>
      <c r="S31" s="19">
        <v>0</v>
      </c>
      <c r="T31" s="19">
        <v>0</v>
      </c>
      <c r="U31" s="19">
        <v>0</v>
      </c>
      <c r="V31" s="19">
        <f>((2280/1000)*0.277)*O31</f>
        <v>1.8252084000000002</v>
      </c>
      <c r="W31" s="19"/>
      <c r="X31" s="19">
        <f>((695/1000)*0.277)*O31</f>
        <v>0.55636834999999996</v>
      </c>
      <c r="Y31" s="19"/>
      <c r="Z31" s="19">
        <f>(1.19*0.277)</f>
        <v>0.32963000000000003</v>
      </c>
      <c r="AA31" s="19"/>
      <c r="AB31" s="19"/>
      <c r="AC31" s="19">
        <v>0</v>
      </c>
      <c r="AD31" s="19"/>
      <c r="AE31" s="19">
        <v>0</v>
      </c>
      <c r="AF31" s="19">
        <v>0</v>
      </c>
      <c r="AG31" s="19"/>
      <c r="AH31" s="19"/>
      <c r="AI31" s="19"/>
      <c r="AJ31" s="19"/>
      <c r="AK31" s="19"/>
      <c r="AL31" s="19"/>
      <c r="AM31" s="19"/>
      <c r="AN31" s="19">
        <v>0</v>
      </c>
      <c r="AO31" s="19">
        <v>0</v>
      </c>
      <c r="AP31" s="19">
        <v>0</v>
      </c>
      <c r="AQ31" s="19">
        <v>0</v>
      </c>
      <c r="AR31" s="19"/>
      <c r="AS31" s="19"/>
      <c r="AT31" s="21"/>
      <c r="AU31" s="21">
        <v>0</v>
      </c>
      <c r="AV31" s="21"/>
      <c r="AW31" s="21"/>
      <c r="AX31" s="21"/>
      <c r="AY31" s="21">
        <f>10.53</f>
        <v>10.53</v>
      </c>
      <c r="AZ31" s="21"/>
      <c r="BA31" s="21">
        <v>0</v>
      </c>
      <c r="BB31" s="21">
        <v>0</v>
      </c>
      <c r="BC31" s="21">
        <v>0</v>
      </c>
      <c r="BD31" s="21">
        <v>0</v>
      </c>
      <c r="BE31" s="24"/>
      <c r="BF31" s="21"/>
      <c r="BG31" s="23">
        <v>2.25</v>
      </c>
      <c r="BH31" s="25">
        <v>0.14000000000000001</v>
      </c>
      <c r="BI31" s="25">
        <v>0</v>
      </c>
      <c r="BJ31" s="25"/>
      <c r="BK31" s="25">
        <v>0</v>
      </c>
      <c r="BL31" s="25">
        <v>0</v>
      </c>
      <c r="BM31" s="25">
        <v>0</v>
      </c>
      <c r="BN31" s="25">
        <v>0</v>
      </c>
      <c r="BO31" s="25">
        <v>0</v>
      </c>
      <c r="BP31" s="27"/>
      <c r="BQ31" s="27"/>
      <c r="BR31" s="25"/>
      <c r="BS31" s="27"/>
      <c r="BT31" s="1">
        <f t="shared" si="0"/>
        <v>2.0173001887691999</v>
      </c>
      <c r="BU31" s="1">
        <f t="shared" si="2"/>
        <v>1.2246299999999999</v>
      </c>
      <c r="BV31" s="1">
        <f t="shared" si="3"/>
        <v>0.14000000000000001</v>
      </c>
      <c r="BW31" s="1">
        <v>0.20799999999999999</v>
      </c>
      <c r="BX31" s="1">
        <f t="shared" si="4"/>
        <v>13.525599999999999</v>
      </c>
      <c r="BY31" s="19">
        <v>2.89</v>
      </c>
      <c r="BZ31" s="1">
        <f t="shared" si="1"/>
        <v>-0.25075093036996543</v>
      </c>
      <c r="CA31" s="1">
        <f t="shared" si="5"/>
        <v>-4.9308893386744632</v>
      </c>
    </row>
    <row r="32" spans="1:79" ht="306" hidden="1" x14ac:dyDescent="0.2">
      <c r="A32" s="3">
        <v>30</v>
      </c>
      <c r="B32" s="6" t="s">
        <v>124</v>
      </c>
      <c r="C32" s="3" t="s">
        <v>111</v>
      </c>
      <c r="D32" s="5" t="s">
        <v>112</v>
      </c>
      <c r="E32" s="2" t="s">
        <v>125</v>
      </c>
      <c r="F32" s="3" t="s">
        <v>77</v>
      </c>
      <c r="G32" s="3" t="s">
        <v>0</v>
      </c>
      <c r="H32" s="3" t="s">
        <v>0</v>
      </c>
      <c r="I32" s="3" t="s">
        <v>2</v>
      </c>
      <c r="J32" s="3" t="s">
        <v>2</v>
      </c>
      <c r="K32" s="3" t="s">
        <v>0</v>
      </c>
      <c r="L32" s="3" t="s">
        <v>0</v>
      </c>
      <c r="M32" s="3" t="s">
        <v>2</v>
      </c>
      <c r="N32" s="3" t="s">
        <v>2</v>
      </c>
      <c r="O32" s="19">
        <f>1.84/0.7168</f>
        <v>2.566964285714286</v>
      </c>
      <c r="P32" s="19">
        <f>(4*0.08988)/0.7168</f>
        <v>0.50156250000000002</v>
      </c>
      <c r="Q32" s="19">
        <v>0</v>
      </c>
      <c r="R32" s="19">
        <v>0</v>
      </c>
      <c r="S32" s="19">
        <v>0</v>
      </c>
      <c r="T32" s="19">
        <v>0</v>
      </c>
      <c r="U32" s="19">
        <v>0</v>
      </c>
      <c r="V32" s="19"/>
      <c r="W32" s="19"/>
      <c r="X32" s="19"/>
      <c r="Y32" s="19"/>
      <c r="Z32" s="19">
        <v>0</v>
      </c>
      <c r="AA32" s="19"/>
      <c r="AB32" s="19"/>
      <c r="AC32" s="19">
        <v>0</v>
      </c>
      <c r="AD32" s="19"/>
      <c r="AE32" s="19">
        <v>0</v>
      </c>
      <c r="AF32" s="19">
        <v>0</v>
      </c>
      <c r="AG32" s="19"/>
      <c r="AH32" s="19"/>
      <c r="AI32" s="19"/>
      <c r="AJ32" s="19"/>
      <c r="AK32" s="19"/>
      <c r="AL32" s="19"/>
      <c r="AM32" s="19"/>
      <c r="AN32" s="19">
        <v>0</v>
      </c>
      <c r="AO32" s="19">
        <v>0</v>
      </c>
      <c r="AP32" s="19">
        <v>0</v>
      </c>
      <c r="AQ32" s="19">
        <v>0</v>
      </c>
      <c r="AR32" s="19"/>
      <c r="AS32" s="19"/>
      <c r="AT32" s="21">
        <v>0</v>
      </c>
      <c r="AU32" s="21"/>
      <c r="AV32" s="21"/>
      <c r="AW32" s="21"/>
      <c r="AX32" s="21"/>
      <c r="AY32" s="21">
        <f>10.56/0.7168</f>
        <v>14.732142857142858</v>
      </c>
      <c r="AZ32" s="21"/>
      <c r="BA32" s="21">
        <v>0</v>
      </c>
      <c r="BB32" s="21">
        <v>0</v>
      </c>
      <c r="BC32" s="21">
        <v>0</v>
      </c>
      <c r="BD32" s="21">
        <v>0</v>
      </c>
      <c r="BE32" s="24"/>
      <c r="BF32" s="21"/>
      <c r="BG32" s="23">
        <f>1.5/0.7168</f>
        <v>2.0926339285714284</v>
      </c>
      <c r="BH32" s="25">
        <v>0</v>
      </c>
      <c r="BI32" s="25">
        <v>0</v>
      </c>
      <c r="BJ32" s="25"/>
      <c r="BK32" s="25">
        <v>0</v>
      </c>
      <c r="BL32" s="25">
        <v>0</v>
      </c>
      <c r="BM32" s="25">
        <v>0</v>
      </c>
      <c r="BN32" s="25">
        <v>0</v>
      </c>
      <c r="BO32" s="25">
        <v>0</v>
      </c>
      <c r="BP32" s="27"/>
      <c r="BQ32" s="27"/>
      <c r="BR32" s="25"/>
      <c r="BS32" s="27"/>
      <c r="BT32" s="1">
        <f t="shared" si="0"/>
        <v>1.6389754464285715</v>
      </c>
      <c r="BU32" s="1">
        <f t="shared" si="2"/>
        <v>1.7118582589285716</v>
      </c>
      <c r="BV32" s="1">
        <f t="shared" si="3"/>
        <v>0</v>
      </c>
      <c r="BW32" s="1">
        <v>0.20799999999999999</v>
      </c>
      <c r="BX32" s="1">
        <f>(0.47-0.029)*58.3*P32</f>
        <v>12.895322343749999</v>
      </c>
      <c r="BY32" s="19">
        <f>1.84/0.7168</f>
        <v>2.566964285714286</v>
      </c>
      <c r="BZ32" s="1">
        <f t="shared" si="1"/>
        <v>0.10942217391304347</v>
      </c>
      <c r="CA32" s="1">
        <f t="shared" si="5"/>
        <v>-4.914146878260869</v>
      </c>
    </row>
    <row r="33" spans="1:79" ht="102" hidden="1" x14ac:dyDescent="0.2">
      <c r="A33" s="39">
        <v>31</v>
      </c>
      <c r="B33" s="7" t="s">
        <v>126</v>
      </c>
      <c r="C33" s="39" t="s">
        <v>127</v>
      </c>
      <c r="D33" s="40" t="s">
        <v>128</v>
      </c>
      <c r="E33" s="41" t="s">
        <v>129</v>
      </c>
      <c r="F33" s="3" t="s">
        <v>0</v>
      </c>
      <c r="G33" s="3" t="s">
        <v>1</v>
      </c>
      <c r="H33" s="3" t="s">
        <v>1</v>
      </c>
      <c r="I33" s="3" t="s">
        <v>1</v>
      </c>
      <c r="J33" s="3" t="s">
        <v>1</v>
      </c>
      <c r="K33" s="3" t="s">
        <v>0</v>
      </c>
      <c r="L33" s="3" t="s">
        <v>1</v>
      </c>
      <c r="M33" s="3" t="s">
        <v>1</v>
      </c>
      <c r="N33" s="3" t="s">
        <v>1</v>
      </c>
      <c r="O33" s="19">
        <v>0.49</v>
      </c>
      <c r="P33" s="19">
        <v>0</v>
      </c>
      <c r="Q33" s="19">
        <v>0</v>
      </c>
      <c r="R33" s="19">
        <v>9000</v>
      </c>
      <c r="S33" s="19">
        <v>0</v>
      </c>
      <c r="T33" s="19">
        <v>0</v>
      </c>
      <c r="U33" s="19">
        <v>0</v>
      </c>
      <c r="V33" s="19"/>
      <c r="W33" s="19"/>
      <c r="X33" s="19"/>
      <c r="Y33" s="19"/>
      <c r="Z33" s="19">
        <f>(497+477+19.6)*0.277</f>
        <v>275.22720000000004</v>
      </c>
      <c r="AA33" s="19"/>
      <c r="AB33" s="19"/>
      <c r="AC33" s="19">
        <v>0</v>
      </c>
      <c r="AD33" s="19"/>
      <c r="AE33" s="19">
        <v>827</v>
      </c>
      <c r="AF33" s="19">
        <v>0</v>
      </c>
      <c r="AG33" s="19"/>
      <c r="AH33" s="19">
        <v>0.71</v>
      </c>
      <c r="AI33" s="19"/>
      <c r="AJ33" s="19"/>
      <c r="AK33" s="19">
        <f>0.000000031</f>
        <v>3.1E-8</v>
      </c>
      <c r="AL33" s="19">
        <f>0.000000031</f>
        <v>3.1E-8</v>
      </c>
      <c r="AM33" s="19">
        <f>0.0003</f>
        <v>2.9999999999999997E-4</v>
      </c>
      <c r="AN33" s="19">
        <v>0</v>
      </c>
      <c r="AO33" s="19">
        <v>0</v>
      </c>
      <c r="AP33" s="19">
        <v>0</v>
      </c>
      <c r="AQ33" s="19">
        <v>0</v>
      </c>
      <c r="AR33" s="19"/>
      <c r="AS33" s="19"/>
      <c r="AT33" s="21">
        <v>0</v>
      </c>
      <c r="AU33" s="21">
        <v>0</v>
      </c>
      <c r="AV33" s="21"/>
      <c r="AW33" s="21"/>
      <c r="AX33" s="21"/>
      <c r="AY33" s="21">
        <v>0</v>
      </c>
      <c r="AZ33" s="21"/>
      <c r="BA33" s="21">
        <v>0</v>
      </c>
      <c r="BB33" s="21">
        <v>0</v>
      </c>
      <c r="BC33" s="21">
        <v>0</v>
      </c>
      <c r="BD33" s="21">
        <v>0</v>
      </c>
      <c r="BE33" s="24"/>
      <c r="BF33" s="21"/>
      <c r="BG33" s="23">
        <v>0</v>
      </c>
      <c r="BH33" s="25">
        <v>0</v>
      </c>
      <c r="BI33" s="25">
        <v>0.20100000000000001</v>
      </c>
      <c r="BJ33" s="25"/>
      <c r="BK33" s="25">
        <v>0</v>
      </c>
      <c r="BL33" s="25">
        <v>1.4E-3</v>
      </c>
      <c r="BM33" s="25">
        <v>0</v>
      </c>
      <c r="BN33" s="25">
        <v>0</v>
      </c>
      <c r="BO33" s="25">
        <v>0</v>
      </c>
      <c r="BP33" s="27"/>
      <c r="BQ33" s="27"/>
      <c r="BR33" s="25">
        <f>0.0003</f>
        <v>2.9999999999999997E-4</v>
      </c>
      <c r="BS33" s="27"/>
      <c r="BT33" s="1">
        <f t="shared" si="0"/>
        <v>238.47194778749997</v>
      </c>
      <c r="BU33" s="1">
        <f t="shared" si="2"/>
        <v>0</v>
      </c>
      <c r="BV33" s="1">
        <f t="shared" si="3"/>
        <v>8.0400000000000013E-2</v>
      </c>
      <c r="BW33" s="1">
        <v>3.2</v>
      </c>
      <c r="BX33" s="1">
        <f t="shared" si="4"/>
        <v>0</v>
      </c>
      <c r="BY33" s="19">
        <v>0.49</v>
      </c>
      <c r="BZ33" s="1">
        <f t="shared" si="1"/>
        <v>-480.31091385204081</v>
      </c>
      <c r="CA33" s="1">
        <f t="shared" si="5"/>
        <v>-480.31091385204081</v>
      </c>
    </row>
    <row r="34" spans="1:79" ht="102" hidden="1" x14ac:dyDescent="0.2">
      <c r="A34" s="3">
        <v>32</v>
      </c>
      <c r="B34" s="2" t="s">
        <v>126</v>
      </c>
      <c r="C34" s="3" t="s">
        <v>127</v>
      </c>
      <c r="D34" s="5" t="s">
        <v>128</v>
      </c>
      <c r="E34" s="35" t="s">
        <v>130</v>
      </c>
      <c r="F34" s="3" t="s">
        <v>0</v>
      </c>
      <c r="G34" s="3" t="s">
        <v>1</v>
      </c>
      <c r="H34" s="3" t="s">
        <v>1</v>
      </c>
      <c r="I34" s="3" t="s">
        <v>1</v>
      </c>
      <c r="J34" s="3" t="s">
        <v>1</v>
      </c>
      <c r="K34" s="3" t="s">
        <v>0</v>
      </c>
      <c r="L34" s="3" t="s">
        <v>1</v>
      </c>
      <c r="M34" s="3" t="s">
        <v>1</v>
      </c>
      <c r="N34" s="3" t="s">
        <v>1</v>
      </c>
      <c r="O34" s="19">
        <v>0.49</v>
      </c>
      <c r="P34" s="19">
        <v>0</v>
      </c>
      <c r="Q34" s="19">
        <v>0</v>
      </c>
      <c r="R34" s="19">
        <v>5000</v>
      </c>
      <c r="S34" s="19">
        <v>0</v>
      </c>
      <c r="T34" s="19">
        <v>0</v>
      </c>
      <c r="U34" s="19">
        <v>0</v>
      </c>
      <c r="V34" s="19"/>
      <c r="W34" s="19"/>
      <c r="X34" s="19"/>
      <c r="Y34" s="19"/>
      <c r="Z34" s="19">
        <f>(497+477+19.6)*0.277</f>
        <v>275.22720000000004</v>
      </c>
      <c r="AA34" s="19"/>
      <c r="AB34" s="19"/>
      <c r="AC34" s="19">
        <v>0</v>
      </c>
      <c r="AD34" s="19"/>
      <c r="AE34" s="19">
        <v>471</v>
      </c>
      <c r="AF34" s="19">
        <v>0</v>
      </c>
      <c r="AG34" s="19"/>
      <c r="AH34" s="19">
        <v>0.71</v>
      </c>
      <c r="AI34" s="19"/>
      <c r="AJ34" s="19"/>
      <c r="AK34" s="19">
        <f>0.00000048</f>
        <v>4.7999999999999996E-7</v>
      </c>
      <c r="AL34" s="19">
        <f>0.00000048</f>
        <v>4.7999999999999996E-7</v>
      </c>
      <c r="AM34" s="19"/>
      <c r="AN34" s="19">
        <v>0</v>
      </c>
      <c r="AO34" s="19">
        <v>0</v>
      </c>
      <c r="AP34" s="19">
        <v>0</v>
      </c>
      <c r="AQ34" s="19">
        <v>0</v>
      </c>
      <c r="AR34" s="19"/>
      <c r="AS34" s="19"/>
      <c r="AT34" s="21">
        <v>0</v>
      </c>
      <c r="AU34" s="21">
        <v>0</v>
      </c>
      <c r="AV34" s="21"/>
      <c r="AW34" s="21"/>
      <c r="AX34" s="21"/>
      <c r="AY34" s="21">
        <v>0</v>
      </c>
      <c r="AZ34" s="21"/>
      <c r="BA34" s="21">
        <v>0</v>
      </c>
      <c r="BB34" s="21">
        <v>0</v>
      </c>
      <c r="BC34" s="21">
        <v>0</v>
      </c>
      <c r="BD34" s="21">
        <v>0</v>
      </c>
      <c r="BE34" s="24"/>
      <c r="BF34" s="21"/>
      <c r="BG34" s="23">
        <v>0</v>
      </c>
      <c r="BH34" s="25">
        <v>0</v>
      </c>
      <c r="BI34" s="25">
        <v>0.2</v>
      </c>
      <c r="BJ34" s="25"/>
      <c r="BK34" s="25">
        <v>0</v>
      </c>
      <c r="BL34" s="25">
        <v>5.4999999999999997E-3</v>
      </c>
      <c r="BM34" s="25">
        <v>0</v>
      </c>
      <c r="BN34" s="25">
        <v>0</v>
      </c>
      <c r="BO34" s="25">
        <v>0</v>
      </c>
      <c r="BP34" s="27"/>
      <c r="BQ34" s="27"/>
      <c r="BR34" s="25"/>
      <c r="BS34" s="27"/>
      <c r="BT34" s="1">
        <f t="shared" si="0"/>
        <v>191.586612</v>
      </c>
      <c r="BU34" s="1">
        <f t="shared" si="2"/>
        <v>0</v>
      </c>
      <c r="BV34" s="1">
        <f t="shared" si="3"/>
        <v>8.0000000000000016E-2</v>
      </c>
      <c r="BW34" s="1">
        <v>3.2</v>
      </c>
      <c r="BX34" s="1">
        <f t="shared" si="4"/>
        <v>0</v>
      </c>
      <c r="BY34" s="19">
        <v>0.49</v>
      </c>
      <c r="BZ34" s="1">
        <f t="shared" si="1"/>
        <v>-384.62573877551029</v>
      </c>
      <c r="CA34" s="1">
        <f t="shared" si="5"/>
        <v>-384.62573877551029</v>
      </c>
    </row>
    <row r="35" spans="1:79" ht="306" hidden="1" x14ac:dyDescent="0.2">
      <c r="A35" s="3">
        <v>33</v>
      </c>
      <c r="B35" s="2" t="s">
        <v>131</v>
      </c>
      <c r="C35" s="3" t="s">
        <v>127</v>
      </c>
      <c r="D35" s="5" t="s">
        <v>132</v>
      </c>
      <c r="E35" s="35" t="s">
        <v>133</v>
      </c>
      <c r="F35" s="3" t="s">
        <v>0</v>
      </c>
      <c r="G35" s="3" t="s">
        <v>1</v>
      </c>
      <c r="H35" s="3" t="s">
        <v>1</v>
      </c>
      <c r="I35" s="3" t="s">
        <v>1</v>
      </c>
      <c r="J35" s="3" t="s">
        <v>1</v>
      </c>
      <c r="K35" s="3" t="s">
        <v>0</v>
      </c>
      <c r="L35" s="3" t="s">
        <v>0</v>
      </c>
      <c r="M35" s="3" t="s">
        <v>1</v>
      </c>
      <c r="N35" s="3" t="s">
        <v>1</v>
      </c>
      <c r="O35" s="19">
        <f>(7921)/3969</f>
        <v>1.9957168052406147</v>
      </c>
      <c r="P35" s="19">
        <v>0</v>
      </c>
      <c r="Q35" s="19">
        <v>0</v>
      </c>
      <c r="R35" s="19">
        <v>0</v>
      </c>
      <c r="S35" s="19">
        <v>0</v>
      </c>
      <c r="T35" s="19">
        <v>0</v>
      </c>
      <c r="U35" s="19">
        <v>0</v>
      </c>
      <c r="V35" s="19"/>
      <c r="W35" s="19"/>
      <c r="X35" s="19"/>
      <c r="Y35" s="19"/>
      <c r="Z35" s="19">
        <v>0</v>
      </c>
      <c r="AA35" s="19"/>
      <c r="AB35" s="19"/>
      <c r="AC35" s="19">
        <v>0</v>
      </c>
      <c r="AD35" s="19"/>
      <c r="AE35" s="19">
        <f>(116516/3969)</f>
        <v>29.356512975560594</v>
      </c>
      <c r="AF35" s="19">
        <v>0</v>
      </c>
      <c r="AG35" s="19"/>
      <c r="AH35" s="19">
        <f>(4806-1795)/3969</f>
        <v>0.75862937767699667</v>
      </c>
      <c r="AI35" s="19">
        <v>0</v>
      </c>
      <c r="AJ35" s="19">
        <f>3348/3969</f>
        <v>0.84353741496598644</v>
      </c>
      <c r="AK35" s="19">
        <v>0</v>
      </c>
      <c r="AL35" s="19">
        <v>0</v>
      </c>
      <c r="AM35" s="19"/>
      <c r="AN35" s="19">
        <v>0</v>
      </c>
      <c r="AO35" s="19">
        <v>0</v>
      </c>
      <c r="AP35" s="19">
        <v>0</v>
      </c>
      <c r="AQ35" s="19">
        <v>0</v>
      </c>
      <c r="AR35" s="19"/>
      <c r="AS35" s="19"/>
      <c r="AT35" s="21">
        <v>0</v>
      </c>
      <c r="AU35" s="21">
        <v>0</v>
      </c>
      <c r="AV35" s="21"/>
      <c r="AW35" s="21"/>
      <c r="AX35" s="21"/>
      <c r="AY35" s="21">
        <v>0</v>
      </c>
      <c r="AZ35" s="21"/>
      <c r="BA35" s="21">
        <v>0</v>
      </c>
      <c r="BB35" s="21">
        <v>0</v>
      </c>
      <c r="BC35" s="21">
        <v>0</v>
      </c>
      <c r="BD35" s="21">
        <f>2731/3969</f>
        <v>0.6880826404635928</v>
      </c>
      <c r="BE35" s="21">
        <f>1602/3969</f>
        <v>0.40362811791383219</v>
      </c>
      <c r="BF35" s="21"/>
      <c r="BG35" s="23">
        <v>0</v>
      </c>
      <c r="BH35" s="25">
        <f>0.452</f>
        <v>0.45200000000000001</v>
      </c>
      <c r="BI35" s="25">
        <v>0</v>
      </c>
      <c r="BJ35" s="25"/>
      <c r="BK35" s="25">
        <v>0</v>
      </c>
      <c r="BL35" s="25">
        <v>0</v>
      </c>
      <c r="BM35" s="25">
        <v>0</v>
      </c>
      <c r="BN35" s="25">
        <v>0</v>
      </c>
      <c r="BO35" s="25">
        <v>0</v>
      </c>
      <c r="BP35" s="27"/>
      <c r="BQ35" s="27"/>
      <c r="BR35" s="25"/>
      <c r="BS35" s="27"/>
      <c r="BT35" s="1">
        <f t="shared" ref="BT35:BT67" si="6">SUMPRODUCT($O$2:$AS$2,O35:AS35)+(0.1*BY35)</f>
        <v>6.2008321995464852</v>
      </c>
      <c r="BU35" s="1">
        <f t="shared" si="2"/>
        <v>1.9094935752078608</v>
      </c>
      <c r="BV35" s="1">
        <f t="shared" si="3"/>
        <v>0.45200000000000001</v>
      </c>
      <c r="BW35" s="1">
        <v>3.2</v>
      </c>
      <c r="BX35" s="1">
        <f t="shared" si="4"/>
        <v>0</v>
      </c>
      <c r="BY35" s="19">
        <f>(7921)/3969</f>
        <v>1.9957168052406147</v>
      </c>
      <c r="BZ35" s="1">
        <f t="shared" si="1"/>
        <v>-0.77332546395657131</v>
      </c>
      <c r="CA35" s="1">
        <f t="shared" si="5"/>
        <v>-0.77332546395657131</v>
      </c>
    </row>
    <row r="36" spans="1:79" ht="323" hidden="1" x14ac:dyDescent="0.2">
      <c r="A36" s="3">
        <v>34</v>
      </c>
      <c r="B36" s="2" t="s">
        <v>131</v>
      </c>
      <c r="C36" s="3" t="s">
        <v>127</v>
      </c>
      <c r="D36" s="5" t="s">
        <v>134</v>
      </c>
      <c r="E36" s="35" t="s">
        <v>135</v>
      </c>
      <c r="F36" s="3" t="s">
        <v>0</v>
      </c>
      <c r="G36" s="3" t="s">
        <v>1</v>
      </c>
      <c r="H36" s="3" t="s">
        <v>1</v>
      </c>
      <c r="I36" s="3" t="s">
        <v>1</v>
      </c>
      <c r="J36" s="3" t="s">
        <v>1</v>
      </c>
      <c r="K36" s="3" t="s">
        <v>0</v>
      </c>
      <c r="L36" s="3" t="s">
        <v>0</v>
      </c>
      <c r="M36" s="3" t="s">
        <v>1</v>
      </c>
      <c r="N36" s="3" t="s">
        <v>1</v>
      </c>
      <c r="O36" s="19">
        <f>3520/3773</f>
        <v>0.93294460641399413</v>
      </c>
      <c r="P36" s="19">
        <v>0</v>
      </c>
      <c r="Q36" s="19">
        <v>0</v>
      </c>
      <c r="R36" s="19">
        <v>0</v>
      </c>
      <c r="S36" s="19">
        <v>0</v>
      </c>
      <c r="T36" s="19">
        <v>0</v>
      </c>
      <c r="U36" s="19">
        <v>0</v>
      </c>
      <c r="V36" s="19"/>
      <c r="W36" s="19"/>
      <c r="X36" s="19"/>
      <c r="Y36" s="19"/>
      <c r="Z36" s="19">
        <v>0</v>
      </c>
      <c r="AA36" s="19"/>
      <c r="AB36" s="19"/>
      <c r="AC36" s="19">
        <v>0</v>
      </c>
      <c r="AD36" s="19"/>
      <c r="AE36" s="19">
        <f>272282/3773</f>
        <v>72.165915716936127</v>
      </c>
      <c r="AF36" s="19">
        <v>0</v>
      </c>
      <c r="AG36" s="19"/>
      <c r="AH36" s="19">
        <f>(16405-12279-679-152)/3773</f>
        <v>0.87331036310628152</v>
      </c>
      <c r="AI36" s="19">
        <f>(5790-1510-142)/3773</f>
        <v>1.0967399946991783</v>
      </c>
      <c r="AJ36" s="19">
        <v>0</v>
      </c>
      <c r="AK36" s="19">
        <v>0</v>
      </c>
      <c r="AL36" s="19">
        <v>0</v>
      </c>
      <c r="AM36" s="19"/>
      <c r="AN36" s="19">
        <v>0</v>
      </c>
      <c r="AO36" s="19">
        <v>0</v>
      </c>
      <c r="AP36" s="19">
        <v>0</v>
      </c>
      <c r="AQ36" s="19">
        <v>0</v>
      </c>
      <c r="AR36" s="19"/>
      <c r="AS36" s="19"/>
      <c r="AT36" s="21">
        <v>0</v>
      </c>
      <c r="AU36" s="21">
        <v>0</v>
      </c>
      <c r="AV36" s="21"/>
      <c r="AW36" s="21"/>
      <c r="AX36" s="21"/>
      <c r="AY36" s="21">
        <v>0</v>
      </c>
      <c r="AZ36" s="21"/>
      <c r="BA36" s="21">
        <v>0</v>
      </c>
      <c r="BB36" s="21">
        <v>0</v>
      </c>
      <c r="BC36" s="21">
        <v>0</v>
      </c>
      <c r="BD36" s="21">
        <v>0</v>
      </c>
      <c r="BE36" s="21">
        <v>0</v>
      </c>
      <c r="BF36" s="21"/>
      <c r="BG36" s="23">
        <v>0</v>
      </c>
      <c r="BH36" s="25">
        <v>2.9380000000000002</v>
      </c>
      <c r="BI36" s="25">
        <f>1153/3773</f>
        <v>0.30559236681685659</v>
      </c>
      <c r="BJ36" s="25"/>
      <c r="BK36" s="25">
        <v>0</v>
      </c>
      <c r="BL36" s="25">
        <v>0</v>
      </c>
      <c r="BM36" s="25">
        <v>0</v>
      </c>
      <c r="BN36" s="25">
        <v>0</v>
      </c>
      <c r="BO36" s="25">
        <v>0</v>
      </c>
      <c r="BP36" s="27"/>
      <c r="BQ36" s="27"/>
      <c r="BR36" s="25"/>
      <c r="BS36" s="27"/>
      <c r="BT36" s="1">
        <f t="shared" si="6"/>
        <v>11.428504373177844</v>
      </c>
      <c r="BU36" s="1">
        <f t="shared" si="2"/>
        <v>0</v>
      </c>
      <c r="BV36" s="1">
        <f t="shared" si="3"/>
        <v>3.060236946726743</v>
      </c>
      <c r="BW36" s="1">
        <v>3.2</v>
      </c>
      <c r="BX36" s="1">
        <f t="shared" si="4"/>
        <v>0</v>
      </c>
      <c r="BY36" s="19">
        <f>3520/3773</f>
        <v>0.93294460641399413</v>
      </c>
      <c r="BZ36" s="1">
        <f t="shared" si="1"/>
        <v>-12.100119602272731</v>
      </c>
      <c r="CA36" s="1">
        <f t="shared" si="5"/>
        <v>-12.100119602272731</v>
      </c>
    </row>
    <row r="37" spans="1:79" ht="136" hidden="1" x14ac:dyDescent="0.2">
      <c r="A37" s="3">
        <v>35</v>
      </c>
      <c r="B37" s="2" t="s">
        <v>120</v>
      </c>
      <c r="C37" s="3" t="s">
        <v>136</v>
      </c>
      <c r="D37" s="5" t="s">
        <v>137</v>
      </c>
      <c r="E37" s="2" t="s">
        <v>138</v>
      </c>
      <c r="F37" s="3" t="s">
        <v>77</v>
      </c>
      <c r="G37" s="3" t="s">
        <v>0</v>
      </c>
      <c r="H37" s="3" t="s">
        <v>0</v>
      </c>
      <c r="I37" s="3" t="s">
        <v>2</v>
      </c>
      <c r="J37" s="3" t="s">
        <v>2</v>
      </c>
      <c r="K37" s="3" t="s">
        <v>0</v>
      </c>
      <c r="L37" s="3" t="s">
        <v>0</v>
      </c>
      <c r="M37" s="3" t="s">
        <v>2</v>
      </c>
      <c r="N37" s="3" t="s">
        <v>2</v>
      </c>
      <c r="O37" s="19">
        <v>1.581</v>
      </c>
      <c r="P37" s="19">
        <v>7.1999999999999995E-2</v>
      </c>
      <c r="Q37" s="19"/>
      <c r="R37" s="19"/>
      <c r="S37" s="19"/>
      <c r="T37" s="19"/>
      <c r="U37" s="19"/>
      <c r="V37" s="19"/>
      <c r="W37" s="19"/>
      <c r="X37" s="19"/>
      <c r="Y37" s="19"/>
      <c r="Z37" s="19">
        <v>1.34</v>
      </c>
      <c r="AA37" s="19"/>
      <c r="AB37" s="19"/>
      <c r="AC37" s="19">
        <f>0.61</f>
        <v>0.61</v>
      </c>
      <c r="AD37" s="19"/>
      <c r="AE37" s="19"/>
      <c r="AF37" s="19"/>
      <c r="AG37" s="19"/>
      <c r="AH37" s="19"/>
      <c r="AI37" s="19"/>
      <c r="AJ37" s="19"/>
      <c r="AK37" s="19"/>
      <c r="AL37" s="19"/>
      <c r="AM37" s="19"/>
      <c r="AN37" s="19"/>
      <c r="AO37" s="19"/>
      <c r="AP37" s="19"/>
      <c r="AQ37" s="19"/>
      <c r="AR37" s="19"/>
      <c r="AS37" s="19"/>
      <c r="AT37" s="21"/>
      <c r="AU37" s="21"/>
      <c r="AV37" s="21"/>
      <c r="AW37" s="21"/>
      <c r="AX37" s="21"/>
      <c r="AY37" s="21"/>
      <c r="AZ37" s="21">
        <v>1.6E-2</v>
      </c>
      <c r="BA37" s="21"/>
      <c r="BB37" s="21"/>
      <c r="BC37" s="21"/>
      <c r="BD37" s="21">
        <v>0</v>
      </c>
      <c r="BE37" s="21">
        <v>0</v>
      </c>
      <c r="BF37" s="21"/>
      <c r="BG37" s="23"/>
      <c r="BH37" s="25"/>
      <c r="BI37" s="25"/>
      <c r="BJ37" s="25"/>
      <c r="BK37" s="25">
        <v>0</v>
      </c>
      <c r="BL37" s="25">
        <v>0</v>
      </c>
      <c r="BM37" s="25">
        <v>0</v>
      </c>
      <c r="BN37" s="25">
        <v>0</v>
      </c>
      <c r="BO37" s="25">
        <v>0</v>
      </c>
      <c r="BP37" s="27"/>
      <c r="BQ37" s="27"/>
      <c r="BR37" s="25"/>
      <c r="BS37" s="27"/>
      <c r="BT37" s="1">
        <f t="shared" si="6"/>
        <v>1.507816</v>
      </c>
      <c r="BU37" s="1">
        <f t="shared" si="2"/>
        <v>6.6816000000000002E-3</v>
      </c>
      <c r="BV37" s="1">
        <f t="shared" si="3"/>
        <v>0</v>
      </c>
      <c r="BW37" s="1">
        <v>2.1</v>
      </c>
      <c r="BX37" s="1">
        <f t="shared" si="4"/>
        <v>1.8374399999999995</v>
      </c>
      <c r="BY37" s="19">
        <v>1.581</v>
      </c>
      <c r="BZ37" s="1">
        <f t="shared" si="1"/>
        <v>0.37878912080961413</v>
      </c>
      <c r="CA37" s="1">
        <f t="shared" si="5"/>
        <v>-0.78341201771030977</v>
      </c>
    </row>
    <row r="38" spans="1:79" ht="68" hidden="1" x14ac:dyDescent="0.2">
      <c r="A38" s="3">
        <v>36</v>
      </c>
      <c r="B38" s="2" t="s">
        <v>120</v>
      </c>
      <c r="C38" s="3" t="s">
        <v>136</v>
      </c>
      <c r="D38" s="5" t="s">
        <v>139</v>
      </c>
      <c r="E38" s="2" t="s">
        <v>140</v>
      </c>
      <c r="F38" s="3" t="s">
        <v>0</v>
      </c>
      <c r="G38" s="3" t="s">
        <v>1</v>
      </c>
      <c r="H38" s="3" t="s">
        <v>1</v>
      </c>
      <c r="I38" s="3" t="s">
        <v>1</v>
      </c>
      <c r="J38" s="3" t="s">
        <v>1</v>
      </c>
      <c r="K38" s="3" t="s">
        <v>0</v>
      </c>
      <c r="L38" s="3" t="s">
        <v>0</v>
      </c>
      <c r="M38" s="3" t="s">
        <v>2</v>
      </c>
      <c r="N38" s="3" t="s">
        <v>2</v>
      </c>
      <c r="O38" s="19">
        <v>0.91</v>
      </c>
      <c r="P38" s="19"/>
      <c r="Q38" s="19"/>
      <c r="R38" s="19"/>
      <c r="S38" s="19"/>
      <c r="T38" s="19"/>
      <c r="U38" s="19"/>
      <c r="V38" s="19"/>
      <c r="W38" s="19"/>
      <c r="X38" s="19"/>
      <c r="Y38" s="19"/>
      <c r="Z38" s="19">
        <v>1.98</v>
      </c>
      <c r="AA38" s="19">
        <v>0.26</v>
      </c>
      <c r="AB38" s="19"/>
      <c r="AC38" s="19"/>
      <c r="AD38" s="19"/>
      <c r="AE38" s="19"/>
      <c r="AF38" s="19"/>
      <c r="AG38" s="19"/>
      <c r="AH38" s="19"/>
      <c r="AI38" s="19"/>
      <c r="AJ38" s="19"/>
      <c r="AK38" s="19"/>
      <c r="AL38" s="19"/>
      <c r="AM38" s="19"/>
      <c r="AN38" s="19"/>
      <c r="AO38" s="19"/>
      <c r="AP38" s="19"/>
      <c r="AQ38" s="19"/>
      <c r="AR38" s="19"/>
      <c r="AS38" s="19"/>
      <c r="AT38" s="21">
        <v>0.05</v>
      </c>
      <c r="AU38" s="21"/>
      <c r="AV38" s="21">
        <v>0.20100000000000001</v>
      </c>
      <c r="AW38" s="21"/>
      <c r="AX38" s="21"/>
      <c r="AY38" s="21"/>
      <c r="AZ38" s="21">
        <v>0.33600000000000002</v>
      </c>
      <c r="BA38" s="21"/>
      <c r="BB38" s="21"/>
      <c r="BC38" s="21"/>
      <c r="BD38" s="21">
        <v>0</v>
      </c>
      <c r="BE38" s="21">
        <v>0</v>
      </c>
      <c r="BF38" s="21"/>
      <c r="BG38" s="23"/>
      <c r="BH38" s="25"/>
      <c r="BI38" s="25"/>
      <c r="BJ38" s="25"/>
      <c r="BK38" s="25">
        <v>0</v>
      </c>
      <c r="BL38" s="25">
        <v>0</v>
      </c>
      <c r="BM38" s="25">
        <v>0</v>
      </c>
      <c r="BN38" s="25">
        <v>0</v>
      </c>
      <c r="BO38" s="25">
        <v>0</v>
      </c>
      <c r="BP38" s="27"/>
      <c r="BQ38" s="27"/>
      <c r="BR38" s="25"/>
      <c r="BS38" s="27"/>
      <c r="BT38" s="1">
        <f t="shared" si="6"/>
        <v>1.3320399999999999</v>
      </c>
      <c r="BU38" s="1">
        <f t="shared" si="2"/>
        <v>0.76734760000000002</v>
      </c>
      <c r="BV38" s="1">
        <f t="shared" si="3"/>
        <v>0</v>
      </c>
      <c r="BW38" s="1">
        <v>2.1</v>
      </c>
      <c r="BX38" s="1">
        <f t="shared" si="4"/>
        <v>0</v>
      </c>
      <c r="BY38" s="19">
        <v>0.91</v>
      </c>
      <c r="BZ38" s="1">
        <f t="shared" si="1"/>
        <v>1.6871512087912088</v>
      </c>
      <c r="CA38" s="1">
        <f t="shared" si="5"/>
        <v>1.6871512087912088</v>
      </c>
    </row>
    <row r="39" spans="1:79" ht="119" hidden="1" x14ac:dyDescent="0.2">
      <c r="A39" s="3">
        <v>37</v>
      </c>
      <c r="B39" s="2" t="s">
        <v>141</v>
      </c>
      <c r="C39" s="3" t="s">
        <v>136</v>
      </c>
      <c r="D39" s="5" t="s">
        <v>137</v>
      </c>
      <c r="E39" s="35" t="s">
        <v>142</v>
      </c>
      <c r="F39" s="3" t="s">
        <v>77</v>
      </c>
      <c r="G39" s="3" t="s">
        <v>0</v>
      </c>
      <c r="H39" s="3" t="s">
        <v>77</v>
      </c>
      <c r="I39" s="3">
        <v>1</v>
      </c>
      <c r="J39" s="3">
        <v>12</v>
      </c>
      <c r="K39" s="3" t="s">
        <v>0</v>
      </c>
      <c r="L39" s="3" t="s">
        <v>77</v>
      </c>
      <c r="M39" s="3">
        <v>1</v>
      </c>
      <c r="N39" s="3">
        <v>12</v>
      </c>
      <c r="O39" s="19">
        <v>1.581</v>
      </c>
      <c r="P39" s="19">
        <v>7.1999999999999995E-2</v>
      </c>
      <c r="Q39" s="19"/>
      <c r="R39" s="19"/>
      <c r="S39" s="19"/>
      <c r="T39" s="19"/>
      <c r="U39" s="19"/>
      <c r="V39" s="19"/>
      <c r="W39" s="19"/>
      <c r="X39" s="19"/>
      <c r="Y39" s="19"/>
      <c r="Z39" s="19">
        <v>1.54</v>
      </c>
      <c r="AA39" s="19"/>
      <c r="AB39" s="19"/>
      <c r="AC39" s="19"/>
      <c r="AD39" s="19"/>
      <c r="AE39" s="19"/>
      <c r="AF39" s="19"/>
      <c r="AG39" s="19">
        <v>0.71</v>
      </c>
      <c r="AH39" s="19"/>
      <c r="AI39" s="19"/>
      <c r="AJ39" s="19"/>
      <c r="AK39" s="19"/>
      <c r="AL39" s="19"/>
      <c r="AM39" s="19"/>
      <c r="AN39" s="19"/>
      <c r="AO39" s="19"/>
      <c r="AP39" s="19"/>
      <c r="AQ39" s="19"/>
      <c r="AR39" s="19"/>
      <c r="AS39" s="19"/>
      <c r="AT39" s="21"/>
      <c r="AU39" s="21"/>
      <c r="AV39" s="21"/>
      <c r="AW39" s="21"/>
      <c r="AX39" s="21"/>
      <c r="AY39" s="21"/>
      <c r="AZ39" s="21"/>
      <c r="BA39" s="21"/>
      <c r="BB39" s="21"/>
      <c r="BC39" s="21"/>
      <c r="BD39" s="21">
        <v>0</v>
      </c>
      <c r="BE39" s="21">
        <v>0</v>
      </c>
      <c r="BF39" s="21"/>
      <c r="BG39" s="23"/>
      <c r="BH39" s="25">
        <v>0.01</v>
      </c>
      <c r="BI39" s="25"/>
      <c r="BJ39" s="25"/>
      <c r="BK39" s="25">
        <v>0</v>
      </c>
      <c r="BL39" s="25">
        <v>0</v>
      </c>
      <c r="BM39" s="25">
        <v>0</v>
      </c>
      <c r="BN39" s="25">
        <v>0</v>
      </c>
      <c r="BO39" s="25">
        <v>0</v>
      </c>
      <c r="BP39" s="27"/>
      <c r="BQ39" s="27"/>
      <c r="BR39" s="25"/>
      <c r="BS39" s="27"/>
      <c r="BT39" s="1">
        <f t="shared" si="6"/>
        <v>1.6435759999999999</v>
      </c>
      <c r="BU39" s="1">
        <f t="shared" si="2"/>
        <v>0</v>
      </c>
      <c r="BV39" s="1">
        <f t="shared" si="3"/>
        <v>0.01</v>
      </c>
      <c r="BW39" s="1">
        <v>2.1</v>
      </c>
      <c r="BX39" s="1">
        <f t="shared" si="4"/>
        <v>1.8374399999999995</v>
      </c>
      <c r="BY39" s="19">
        <v>1.581</v>
      </c>
      <c r="BZ39" s="1">
        <f t="shared" si="1"/>
        <v>0.28236812144212536</v>
      </c>
      <c r="CA39" s="1">
        <f t="shared" si="5"/>
        <v>-0.87983301707779837</v>
      </c>
    </row>
    <row r="40" spans="1:79" ht="119" hidden="1" x14ac:dyDescent="0.2">
      <c r="A40" s="3">
        <v>38</v>
      </c>
      <c r="B40" s="2" t="s">
        <v>141</v>
      </c>
      <c r="C40" s="3" t="s">
        <v>136</v>
      </c>
      <c r="D40" s="5" t="s">
        <v>137</v>
      </c>
      <c r="E40" s="35" t="s">
        <v>143</v>
      </c>
      <c r="F40" s="3" t="s">
        <v>77</v>
      </c>
      <c r="G40" s="3" t="s">
        <v>0</v>
      </c>
      <c r="H40" s="3" t="s">
        <v>77</v>
      </c>
      <c r="I40" s="3">
        <v>1</v>
      </c>
      <c r="J40" s="3">
        <v>12</v>
      </c>
      <c r="K40" s="3" t="s">
        <v>0</v>
      </c>
      <c r="L40" s="3" t="s">
        <v>77</v>
      </c>
      <c r="M40" s="3">
        <v>1</v>
      </c>
      <c r="N40" s="3">
        <v>12</v>
      </c>
      <c r="O40" s="19">
        <v>1.581</v>
      </c>
      <c r="P40" s="19">
        <v>7.1999999999999995E-2</v>
      </c>
      <c r="Q40" s="19"/>
      <c r="R40" s="19"/>
      <c r="S40" s="19"/>
      <c r="T40" s="19"/>
      <c r="U40" s="19"/>
      <c r="V40" s="19"/>
      <c r="W40" s="19"/>
      <c r="X40" s="19"/>
      <c r="Y40" s="19"/>
      <c r="Z40" s="19">
        <v>1.1299999999999999</v>
      </c>
      <c r="AA40" s="19"/>
      <c r="AB40" s="19"/>
      <c r="AC40" s="19"/>
      <c r="AD40" s="19"/>
      <c r="AE40" s="19"/>
      <c r="AF40" s="19"/>
      <c r="AG40" s="19">
        <v>1.1100000000000001</v>
      </c>
      <c r="AH40" s="19"/>
      <c r="AI40" s="19"/>
      <c r="AJ40" s="19"/>
      <c r="AK40" s="19"/>
      <c r="AL40" s="19"/>
      <c r="AM40" s="19"/>
      <c r="AN40" s="19"/>
      <c r="AO40" s="19"/>
      <c r="AP40" s="19"/>
      <c r="AQ40" s="19"/>
      <c r="AR40" s="19"/>
      <c r="AS40" s="19"/>
      <c r="AT40" s="21"/>
      <c r="AU40" s="21"/>
      <c r="AV40" s="21"/>
      <c r="AW40" s="21"/>
      <c r="AX40" s="21"/>
      <c r="AY40" s="21"/>
      <c r="AZ40" s="21"/>
      <c r="BA40" s="21"/>
      <c r="BB40" s="21"/>
      <c r="BC40" s="21"/>
      <c r="BD40" s="21">
        <v>0</v>
      </c>
      <c r="BE40" s="21">
        <v>0</v>
      </c>
      <c r="BF40" s="21"/>
      <c r="BG40" s="23"/>
      <c r="BH40" s="25">
        <v>0.01</v>
      </c>
      <c r="BI40" s="25"/>
      <c r="BJ40" s="25"/>
      <c r="BK40" s="25">
        <v>0</v>
      </c>
      <c r="BL40" s="25">
        <v>0</v>
      </c>
      <c r="BM40" s="25">
        <v>0</v>
      </c>
      <c r="BN40" s="25">
        <v>0</v>
      </c>
      <c r="BO40" s="25">
        <v>0</v>
      </c>
      <c r="BP40" s="27"/>
      <c r="BQ40" s="27"/>
      <c r="BR40" s="25"/>
      <c r="BS40" s="27"/>
      <c r="BT40" s="1">
        <f t="shared" si="6"/>
        <v>1.6179160000000001</v>
      </c>
      <c r="BU40" s="1">
        <f t="shared" si="2"/>
        <v>0</v>
      </c>
      <c r="BV40" s="1">
        <f t="shared" si="3"/>
        <v>0.01</v>
      </c>
      <c r="BW40" s="1">
        <v>2.1</v>
      </c>
      <c r="BX40" s="1">
        <f t="shared" si="4"/>
        <v>1.8374399999999995</v>
      </c>
      <c r="BY40" s="19">
        <v>1.581</v>
      </c>
      <c r="BZ40" s="1">
        <f t="shared" si="1"/>
        <v>0.29859835547122071</v>
      </c>
      <c r="CA40" s="1">
        <f t="shared" si="5"/>
        <v>-0.86360278304870319</v>
      </c>
    </row>
    <row r="41" spans="1:79" ht="190" hidden="1" customHeight="1" x14ac:dyDescent="0.2">
      <c r="A41" s="3">
        <v>39</v>
      </c>
      <c r="B41" s="2" t="s">
        <v>141</v>
      </c>
      <c r="C41" s="3" t="s">
        <v>136</v>
      </c>
      <c r="D41" s="5" t="s">
        <v>139</v>
      </c>
      <c r="E41" s="35" t="s">
        <v>144</v>
      </c>
      <c r="F41" s="3" t="s">
        <v>77</v>
      </c>
      <c r="G41" s="3" t="s">
        <v>0</v>
      </c>
      <c r="H41" s="3" t="s">
        <v>77</v>
      </c>
      <c r="I41" s="3">
        <v>1</v>
      </c>
      <c r="J41" s="3">
        <v>4</v>
      </c>
      <c r="K41" s="3" t="s">
        <v>0</v>
      </c>
      <c r="L41" s="3" t="s">
        <v>77</v>
      </c>
      <c r="M41" s="3">
        <v>1</v>
      </c>
      <c r="N41" s="3">
        <v>4</v>
      </c>
      <c r="O41" s="19">
        <v>0.91</v>
      </c>
      <c r="P41" s="19"/>
      <c r="Q41" s="19"/>
      <c r="R41" s="19"/>
      <c r="S41" s="19"/>
      <c r="T41" s="19"/>
      <c r="U41" s="19"/>
      <c r="V41" s="19"/>
      <c r="W41" s="19"/>
      <c r="X41" s="19"/>
      <c r="Y41" s="19"/>
      <c r="Z41" s="19">
        <v>1.98</v>
      </c>
      <c r="AA41" s="19">
        <f>13.02/45</f>
        <v>0.28933333333333333</v>
      </c>
      <c r="AB41" s="19"/>
      <c r="AC41" s="19"/>
      <c r="AD41" s="19"/>
      <c r="AE41" s="19"/>
      <c r="AF41" s="19"/>
      <c r="AG41" s="19"/>
      <c r="AH41" s="19"/>
      <c r="AI41" s="19"/>
      <c r="AJ41" s="19"/>
      <c r="AK41" s="19"/>
      <c r="AL41" s="19"/>
      <c r="AM41" s="19"/>
      <c r="AN41" s="19"/>
      <c r="AO41" s="19"/>
      <c r="AP41" s="19"/>
      <c r="AQ41" s="19"/>
      <c r="AR41" s="19"/>
      <c r="AS41" s="19"/>
      <c r="AT41" s="21">
        <v>0.05</v>
      </c>
      <c r="AU41" s="21"/>
      <c r="AV41" s="21"/>
      <c r="AW41" s="21"/>
      <c r="AX41" s="21"/>
      <c r="AY41" s="21"/>
      <c r="AZ41" s="21"/>
      <c r="BA41" s="21"/>
      <c r="BB41" s="21"/>
      <c r="BC41" s="21"/>
      <c r="BD41" s="21">
        <v>0</v>
      </c>
      <c r="BE41" s="21">
        <v>0</v>
      </c>
      <c r="BF41" s="21"/>
      <c r="BG41" s="23"/>
      <c r="BH41" s="25">
        <v>5.2999999999999999E-2</v>
      </c>
      <c r="BI41" s="25"/>
      <c r="BJ41" s="25"/>
      <c r="BK41" s="25">
        <v>0</v>
      </c>
      <c r="BL41" s="25">
        <v>0</v>
      </c>
      <c r="BM41" s="25">
        <v>0</v>
      </c>
      <c r="BN41" s="25">
        <v>0</v>
      </c>
      <c r="BO41" s="25">
        <v>0</v>
      </c>
      <c r="BP41" s="27"/>
      <c r="BQ41" s="27"/>
      <c r="BR41" s="25"/>
      <c r="BS41" s="27"/>
      <c r="BT41" s="1">
        <f t="shared" si="6"/>
        <v>1.3444773333333333</v>
      </c>
      <c r="BU41" s="1">
        <f t="shared" si="2"/>
        <v>0.57999999999999996</v>
      </c>
      <c r="BV41" s="1">
        <f t="shared" si="3"/>
        <v>5.2999999999999999E-2</v>
      </c>
      <c r="BW41" s="1">
        <v>2.1</v>
      </c>
      <c r="BX41" s="1">
        <f t="shared" si="4"/>
        <v>0</v>
      </c>
      <c r="BY41" s="19">
        <v>0.91</v>
      </c>
      <c r="BZ41" s="1">
        <f t="shared" si="1"/>
        <v>1.4093655677655681</v>
      </c>
      <c r="CA41" s="1">
        <f t="shared" si="5"/>
        <v>1.4093655677655681</v>
      </c>
    </row>
    <row r="42" spans="1:79" ht="191" hidden="1" customHeight="1" x14ac:dyDescent="0.2">
      <c r="A42" s="3">
        <v>40</v>
      </c>
      <c r="B42" s="2" t="s">
        <v>141</v>
      </c>
      <c r="C42" s="3" t="s">
        <v>136</v>
      </c>
      <c r="D42" s="5" t="s">
        <v>139</v>
      </c>
      <c r="E42" s="35" t="s">
        <v>145</v>
      </c>
      <c r="F42" s="3" t="s">
        <v>77</v>
      </c>
      <c r="G42" s="3" t="s">
        <v>0</v>
      </c>
      <c r="H42" s="3" t="s">
        <v>77</v>
      </c>
      <c r="I42" s="3">
        <v>1</v>
      </c>
      <c r="J42" s="3">
        <v>4</v>
      </c>
      <c r="K42" s="3" t="s">
        <v>0</v>
      </c>
      <c r="L42" s="3" t="s">
        <v>77</v>
      </c>
      <c r="M42" s="3">
        <v>1</v>
      </c>
      <c r="N42" s="3">
        <v>4</v>
      </c>
      <c r="O42" s="19">
        <v>0.91</v>
      </c>
      <c r="P42" s="19"/>
      <c r="Q42" s="19"/>
      <c r="R42" s="19"/>
      <c r="S42" s="19"/>
      <c r="T42" s="19"/>
      <c r="U42" s="19"/>
      <c r="V42" s="19"/>
      <c r="W42" s="19"/>
      <c r="X42" s="19"/>
      <c r="Y42" s="19"/>
      <c r="Z42" s="19">
        <v>0.76</v>
      </c>
      <c r="AA42" s="19">
        <f>13.02/45</f>
        <v>0.28933333333333333</v>
      </c>
      <c r="AB42" s="19"/>
      <c r="AC42" s="19"/>
      <c r="AD42" s="19"/>
      <c r="AE42" s="19"/>
      <c r="AF42" s="19"/>
      <c r="AG42" s="19">
        <v>1.22</v>
      </c>
      <c r="AH42" s="19"/>
      <c r="AI42" s="19"/>
      <c r="AJ42" s="19"/>
      <c r="AK42" s="19"/>
      <c r="AL42" s="19"/>
      <c r="AM42" s="19"/>
      <c r="AN42" s="19"/>
      <c r="AO42" s="19"/>
      <c r="AP42" s="19"/>
      <c r="AQ42" s="19"/>
      <c r="AR42" s="19"/>
      <c r="AS42" s="19"/>
      <c r="AT42" s="21">
        <v>0.05</v>
      </c>
      <c r="AU42" s="21"/>
      <c r="AV42" s="21"/>
      <c r="AW42" s="21"/>
      <c r="AX42" s="21"/>
      <c r="AY42" s="21"/>
      <c r="AZ42" s="21"/>
      <c r="BA42" s="21"/>
      <c r="BB42" s="21"/>
      <c r="BC42" s="21"/>
      <c r="BD42" s="21">
        <v>0</v>
      </c>
      <c r="BE42" s="21">
        <v>0</v>
      </c>
      <c r="BF42" s="21"/>
      <c r="BG42" s="23"/>
      <c r="BH42" s="25">
        <v>5.2999999999999999E-2</v>
      </c>
      <c r="BI42" s="25"/>
      <c r="BJ42" s="25"/>
      <c r="BK42" s="25">
        <v>0</v>
      </c>
      <c r="BL42" s="25">
        <v>0</v>
      </c>
      <c r="BM42" s="25">
        <v>0</v>
      </c>
      <c r="BN42" s="25">
        <v>0</v>
      </c>
      <c r="BO42" s="25">
        <v>0</v>
      </c>
      <c r="BP42" s="27"/>
      <c r="BQ42" s="27"/>
      <c r="BR42" s="25"/>
      <c r="BS42" s="27"/>
      <c r="BT42" s="1">
        <f t="shared" si="6"/>
        <v>1.2805493333333333</v>
      </c>
      <c r="BU42" s="1">
        <f t="shared" si="2"/>
        <v>0.57999999999999996</v>
      </c>
      <c r="BV42" s="1">
        <f t="shared" si="3"/>
        <v>5.2999999999999999E-2</v>
      </c>
      <c r="BW42" s="1">
        <v>2.1</v>
      </c>
      <c r="BX42" s="1">
        <f t="shared" si="4"/>
        <v>0</v>
      </c>
      <c r="BY42" s="19">
        <v>0.91</v>
      </c>
      <c r="BZ42" s="1">
        <f t="shared" si="1"/>
        <v>1.4796161172161175</v>
      </c>
      <c r="CA42" s="1">
        <f t="shared" si="5"/>
        <v>1.4796161172161175</v>
      </c>
    </row>
    <row r="43" spans="1:79" ht="204" hidden="1" x14ac:dyDescent="0.2">
      <c r="A43" s="3">
        <v>41</v>
      </c>
      <c r="B43" s="2" t="s">
        <v>102</v>
      </c>
      <c r="C43" s="3" t="s">
        <v>136</v>
      </c>
      <c r="D43" s="5" t="s">
        <v>137</v>
      </c>
      <c r="E43" s="35" t="s">
        <v>146</v>
      </c>
      <c r="F43" s="3" t="s">
        <v>77</v>
      </c>
      <c r="G43" s="3" t="s">
        <v>0</v>
      </c>
      <c r="H43" s="3" t="s">
        <v>0</v>
      </c>
      <c r="I43" s="3" t="s">
        <v>2</v>
      </c>
      <c r="J43" s="3" t="s">
        <v>2</v>
      </c>
      <c r="K43" s="3" t="s">
        <v>0</v>
      </c>
      <c r="L43" s="3" t="s">
        <v>0</v>
      </c>
      <c r="M43" s="3" t="s">
        <v>2</v>
      </c>
      <c r="N43" s="3" t="s">
        <v>2</v>
      </c>
      <c r="O43" s="19">
        <f>1/0.63</f>
        <v>1.5873015873015872</v>
      </c>
      <c r="P43" s="19">
        <f>0.045/0.63</f>
        <v>7.1428571428571425E-2</v>
      </c>
      <c r="Q43" s="19"/>
      <c r="R43" s="19"/>
      <c r="S43" s="19"/>
      <c r="T43" s="19"/>
      <c r="U43" s="19"/>
      <c r="V43" s="19"/>
      <c r="W43" s="19"/>
      <c r="X43" s="19"/>
      <c r="Y43" s="19"/>
      <c r="Z43" s="42">
        <f>0.974067046173308/0.63</f>
        <v>1.5461381685290603</v>
      </c>
      <c r="AA43" s="19"/>
      <c r="AB43" s="19"/>
      <c r="AC43" s="43"/>
      <c r="AD43" s="43"/>
      <c r="AE43" s="42">
        <f>1.61669829222011/0.63</f>
        <v>2.5661877654287459</v>
      </c>
      <c r="AF43" s="19"/>
      <c r="AG43" s="19"/>
      <c r="AH43" s="19"/>
      <c r="AI43" s="19"/>
      <c r="AJ43" s="19"/>
      <c r="AK43" s="19"/>
      <c r="AL43" s="19"/>
      <c r="AM43" s="19"/>
      <c r="AN43" s="19"/>
      <c r="AO43" s="19"/>
      <c r="AP43" s="19"/>
      <c r="AQ43" s="19"/>
      <c r="AR43" s="19"/>
      <c r="AS43" s="19"/>
      <c r="AT43" s="24"/>
      <c r="AU43" s="24"/>
      <c r="AV43" s="24"/>
      <c r="AW43" s="24"/>
      <c r="AX43" s="24"/>
      <c r="AY43" s="24"/>
      <c r="AZ43" s="24"/>
      <c r="BA43" s="24"/>
      <c r="BB43" s="24"/>
      <c r="BC43" s="24"/>
      <c r="BD43" s="21">
        <v>0</v>
      </c>
      <c r="BE43" s="21">
        <v>0</v>
      </c>
      <c r="BF43" s="21"/>
      <c r="BG43" s="23"/>
      <c r="BH43" s="25">
        <f>0.006/0.63</f>
        <v>9.5238095238095247E-3</v>
      </c>
      <c r="BI43" s="27"/>
      <c r="BJ43" s="27"/>
      <c r="BK43" s="25">
        <v>0</v>
      </c>
      <c r="BL43" s="25">
        <v>0</v>
      </c>
      <c r="BM43" s="25">
        <v>0</v>
      </c>
      <c r="BN43" s="25">
        <v>0</v>
      </c>
      <c r="BO43" s="25">
        <v>0</v>
      </c>
      <c r="BP43" s="27"/>
      <c r="BQ43" s="27"/>
      <c r="BR43" s="25"/>
      <c r="BS43" s="27"/>
      <c r="BT43" s="1">
        <f t="shared" si="6"/>
        <v>1.6487277993634724</v>
      </c>
      <c r="BU43" s="1">
        <f t="shared" si="2"/>
        <v>0</v>
      </c>
      <c r="BV43" s="1">
        <f t="shared" si="3"/>
        <v>9.5238095238095247E-3</v>
      </c>
      <c r="BW43" s="1">
        <v>2.1</v>
      </c>
      <c r="BX43" s="1">
        <f t="shared" si="4"/>
        <v>1.8228571428571425</v>
      </c>
      <c r="BY43" s="19">
        <f>1/0.63</f>
        <v>1.5873015873015872</v>
      </c>
      <c r="BZ43" s="1">
        <f t="shared" si="1"/>
        <v>0.27830148640101249</v>
      </c>
      <c r="CA43" s="1">
        <f t="shared" si="5"/>
        <v>-0.87009851359898738</v>
      </c>
    </row>
    <row r="44" spans="1:79" ht="136" hidden="1" x14ac:dyDescent="0.2">
      <c r="A44" s="3">
        <v>42</v>
      </c>
      <c r="B44" s="2" t="s">
        <v>147</v>
      </c>
      <c r="C44" s="3" t="s">
        <v>148</v>
      </c>
      <c r="D44" s="3" t="s">
        <v>1</v>
      </c>
      <c r="E44" s="6" t="s">
        <v>149</v>
      </c>
      <c r="F44" s="3" t="s">
        <v>0</v>
      </c>
      <c r="G44" s="3" t="s">
        <v>1</v>
      </c>
      <c r="H44" s="3" t="s">
        <v>1</v>
      </c>
      <c r="I44" s="3" t="s">
        <v>1</v>
      </c>
      <c r="J44" s="3" t="s">
        <v>1</v>
      </c>
      <c r="K44" s="3" t="s">
        <v>0</v>
      </c>
      <c r="L44" s="3" t="s">
        <v>0</v>
      </c>
      <c r="M44" s="3" t="s">
        <v>2</v>
      </c>
      <c r="N44" s="3">
        <v>2</v>
      </c>
      <c r="O44" s="19">
        <f>337/192</f>
        <v>1.7552083333333333</v>
      </c>
      <c r="P44" s="19"/>
      <c r="Q44" s="19"/>
      <c r="R44" s="19">
        <f>14700/192</f>
        <v>76.5625</v>
      </c>
      <c r="S44" s="19"/>
      <c r="T44" s="19"/>
      <c r="U44" s="19"/>
      <c r="V44" s="19"/>
      <c r="W44" s="19"/>
      <c r="X44" s="19"/>
      <c r="Y44" s="19"/>
      <c r="Z44" s="19">
        <f>155000000/192000000</f>
        <v>0.80729166666666663</v>
      </c>
      <c r="AA44" s="19">
        <f>123/192</f>
        <v>0.640625</v>
      </c>
      <c r="AB44" s="19"/>
      <c r="AC44" s="19"/>
      <c r="AD44" s="19"/>
      <c r="AE44" s="19"/>
      <c r="AF44" s="19">
        <f>14/192</f>
        <v>7.2916666666666671E-2</v>
      </c>
      <c r="AG44" s="19"/>
      <c r="AH44" s="19"/>
      <c r="AI44" s="19"/>
      <c r="AJ44" s="19"/>
      <c r="AK44" s="19"/>
      <c r="AL44" s="19"/>
      <c r="AM44" s="19"/>
      <c r="AN44" s="19"/>
      <c r="AO44" s="19"/>
      <c r="AP44" s="19"/>
      <c r="AQ44" s="19"/>
      <c r="AR44" s="19">
        <f>0.000016/192</f>
        <v>8.3333333333333325E-8</v>
      </c>
      <c r="AS44" s="19"/>
      <c r="AT44" s="21"/>
      <c r="AU44" s="21"/>
      <c r="AV44" s="21"/>
      <c r="AW44" s="21"/>
      <c r="AX44" s="21"/>
      <c r="AY44" s="21"/>
      <c r="AZ44" s="21"/>
      <c r="BA44" s="21"/>
      <c r="BB44" s="21"/>
      <c r="BC44" s="21"/>
      <c r="BD44" s="24"/>
      <c r="BE44" s="24"/>
      <c r="BF44" s="21"/>
      <c r="BG44" s="23"/>
      <c r="BH44" s="25">
        <f>308/192</f>
        <v>1.6041666666666667</v>
      </c>
      <c r="BI44" s="25">
        <f>4.91/192</f>
        <v>2.5572916666666667E-2</v>
      </c>
      <c r="BJ44" s="25"/>
      <c r="BK44" s="25"/>
      <c r="BL44" s="25"/>
      <c r="BM44" s="25">
        <f>4.27/192</f>
        <v>2.223958333333333E-2</v>
      </c>
      <c r="BN44" s="25">
        <f>316/192</f>
        <v>1.6458333333333333</v>
      </c>
      <c r="BO44" s="25">
        <f>46.7/192</f>
        <v>0.24322916666666669</v>
      </c>
      <c r="BP44" s="27"/>
      <c r="BQ44" s="27"/>
      <c r="BR44" s="25"/>
      <c r="BS44" s="27"/>
      <c r="BT44" s="1">
        <f t="shared" si="6"/>
        <v>1.3199146666666668</v>
      </c>
      <c r="BU44" s="1">
        <f t="shared" si="2"/>
        <v>0</v>
      </c>
      <c r="BV44" s="1">
        <f t="shared" si="3"/>
        <v>1.6143958333333335</v>
      </c>
      <c r="BW44" s="1">
        <v>1.31</v>
      </c>
      <c r="BX44" s="1">
        <f t="shared" si="4"/>
        <v>0</v>
      </c>
      <c r="BY44" s="19">
        <f>337/192</f>
        <v>1.7552083333333333</v>
      </c>
      <c r="BZ44" s="1">
        <f t="shared" si="1"/>
        <v>-0.92542319287833841</v>
      </c>
      <c r="CA44" s="1">
        <f t="shared" si="5"/>
        <v>-0.92542319287833852</v>
      </c>
    </row>
    <row r="45" spans="1:79" ht="102" hidden="1" x14ac:dyDescent="0.2">
      <c r="A45" s="3">
        <v>43</v>
      </c>
      <c r="B45" s="2" t="s">
        <v>147</v>
      </c>
      <c r="C45" s="3" t="s">
        <v>106</v>
      </c>
      <c r="D45" s="3" t="s">
        <v>219</v>
      </c>
      <c r="E45" s="6" t="s">
        <v>150</v>
      </c>
      <c r="F45" s="3" t="s">
        <v>0</v>
      </c>
      <c r="G45" s="3" t="s">
        <v>1</v>
      </c>
      <c r="H45" s="3" t="s">
        <v>1</v>
      </c>
      <c r="I45" s="3" t="s">
        <v>1</v>
      </c>
      <c r="J45" s="3" t="s">
        <v>1</v>
      </c>
      <c r="K45" s="3" t="s">
        <v>0</v>
      </c>
      <c r="L45" s="3" t="s">
        <v>0</v>
      </c>
      <c r="M45" s="3" t="s">
        <v>2</v>
      </c>
      <c r="N45" s="3">
        <v>20</v>
      </c>
      <c r="O45" s="19">
        <f>57.7/250</f>
        <v>0.23080000000000001</v>
      </c>
      <c r="P45" s="19"/>
      <c r="Q45" s="19"/>
      <c r="R45" s="19">
        <f>(285+137)/250</f>
        <v>1.6879999999999999</v>
      </c>
      <c r="S45" s="19"/>
      <c r="T45" s="19"/>
      <c r="U45" s="19"/>
      <c r="V45" s="19"/>
      <c r="W45" s="19"/>
      <c r="X45" s="19"/>
      <c r="Y45" s="19"/>
      <c r="Z45" s="19">
        <f>3379000/250000000</f>
        <v>1.3516E-2</v>
      </c>
      <c r="AA45" s="19"/>
      <c r="AB45" s="19"/>
      <c r="AC45" s="19"/>
      <c r="AD45" s="19"/>
      <c r="AE45" s="19"/>
      <c r="AF45" s="19">
        <f>12.92/250</f>
        <v>5.1679999999999997E-2</v>
      </c>
      <c r="AG45" s="19"/>
      <c r="AH45" s="19"/>
      <c r="AI45" s="19"/>
      <c r="AJ45" s="19"/>
      <c r="AK45" s="19"/>
      <c r="AL45" s="19"/>
      <c r="AM45" s="19"/>
      <c r="AN45" s="19">
        <f>202/250</f>
        <v>0.80800000000000005</v>
      </c>
      <c r="AO45" s="19">
        <f>4.54/250</f>
        <v>1.8159999999999999E-2</v>
      </c>
      <c r="AP45" s="19">
        <f>1.5/250</f>
        <v>6.0000000000000001E-3</v>
      </c>
      <c r="AQ45" s="19"/>
      <c r="AR45" s="19"/>
      <c r="AS45" s="19"/>
      <c r="AT45" s="21"/>
      <c r="AU45" s="21"/>
      <c r="AV45" s="21"/>
      <c r="AW45" s="21"/>
      <c r="AX45" s="21"/>
      <c r="AY45" s="21"/>
      <c r="AZ45" s="21"/>
      <c r="BA45" s="21"/>
      <c r="BB45" s="21"/>
      <c r="BC45" s="21"/>
      <c r="BD45" s="21"/>
      <c r="BE45" s="21"/>
      <c r="BF45" s="21"/>
      <c r="BG45" s="23"/>
      <c r="BH45" s="25"/>
      <c r="BI45" s="25"/>
      <c r="BJ45" s="25"/>
      <c r="BK45" s="25"/>
      <c r="BL45" s="25"/>
      <c r="BM45" s="25"/>
      <c r="BN45" s="25"/>
      <c r="BO45" s="25"/>
      <c r="BP45" s="27"/>
      <c r="BQ45" s="27"/>
      <c r="BR45" s="25"/>
      <c r="BS45" s="27"/>
      <c r="BT45" s="1">
        <f t="shared" si="6"/>
        <v>4.3181597200000006</v>
      </c>
      <c r="BU45" s="1">
        <f t="shared" si="2"/>
        <v>0</v>
      </c>
      <c r="BV45" s="1">
        <f t="shared" si="3"/>
        <v>0</v>
      </c>
      <c r="BW45" s="1">
        <v>3.81</v>
      </c>
      <c r="BX45" s="1">
        <f t="shared" si="4"/>
        <v>0</v>
      </c>
      <c r="BY45" s="19">
        <f>57.7/250</f>
        <v>0.23080000000000001</v>
      </c>
      <c r="BZ45" s="1">
        <f t="shared" si="1"/>
        <v>-2.2017318890814579</v>
      </c>
      <c r="CA45" s="1">
        <f t="shared" si="5"/>
        <v>-2.2017318890814579</v>
      </c>
    </row>
    <row r="46" spans="1:79" ht="102" hidden="1" x14ac:dyDescent="0.2">
      <c r="A46" s="3">
        <v>44</v>
      </c>
      <c r="B46" s="2" t="s">
        <v>151</v>
      </c>
      <c r="C46" s="3" t="s">
        <v>148</v>
      </c>
      <c r="D46" s="3" t="s">
        <v>1</v>
      </c>
      <c r="E46" s="35" t="s">
        <v>152</v>
      </c>
      <c r="F46" s="3" t="s">
        <v>0</v>
      </c>
      <c r="G46" s="3" t="s">
        <v>1</v>
      </c>
      <c r="H46" s="3" t="s">
        <v>1</v>
      </c>
      <c r="I46" s="3" t="s">
        <v>1</v>
      </c>
      <c r="J46" s="3" t="s">
        <v>1</v>
      </c>
      <c r="K46" s="3" t="s">
        <v>0</v>
      </c>
      <c r="L46" s="3" t="s">
        <v>0</v>
      </c>
      <c r="M46" s="3" t="s">
        <v>2</v>
      </c>
      <c r="N46" s="3" t="s">
        <v>2</v>
      </c>
      <c r="O46" s="19">
        <f>60.8/34.6</f>
        <v>1.7572254335260113</v>
      </c>
      <c r="P46" s="19"/>
      <c r="Q46" s="19"/>
      <c r="R46" s="19">
        <f>(2.7*1000)/34.6</f>
        <v>78.034682080924853</v>
      </c>
      <c r="S46" s="19"/>
      <c r="T46" s="19"/>
      <c r="U46" s="19"/>
      <c r="V46" s="19"/>
      <c r="W46" s="19"/>
      <c r="X46" s="19"/>
      <c r="Y46" s="19"/>
      <c r="Z46" s="19">
        <f>28/34.6</f>
        <v>0.80924855491329473</v>
      </c>
      <c r="AA46" s="19">
        <f>22.2/34.6</f>
        <v>0.64161849710982655</v>
      </c>
      <c r="AB46" s="19"/>
      <c r="AC46" s="19"/>
      <c r="AD46" s="19"/>
      <c r="AE46" s="19"/>
      <c r="AF46" s="19"/>
      <c r="AG46" s="19"/>
      <c r="AH46" s="19"/>
      <c r="AI46" s="19"/>
      <c r="AJ46" s="19"/>
      <c r="AK46" s="19"/>
      <c r="AL46" s="19"/>
      <c r="AM46" s="19"/>
      <c r="AN46" s="19"/>
      <c r="AO46" s="19"/>
      <c r="AP46" s="19"/>
      <c r="AQ46" s="19"/>
      <c r="AR46" s="19">
        <f>0.0000031/34.6</f>
        <v>8.959537572254335E-8</v>
      </c>
      <c r="AS46" s="19"/>
      <c r="AT46" s="21"/>
      <c r="AU46" s="21"/>
      <c r="AV46" s="21"/>
      <c r="AW46" s="21"/>
      <c r="AX46" s="21"/>
      <c r="AY46" s="21">
        <f>700/34.6</f>
        <v>20.23121387283237</v>
      </c>
      <c r="AZ46" s="21"/>
      <c r="BA46" s="21"/>
      <c r="BB46" s="21"/>
      <c r="BC46" s="21"/>
      <c r="BD46" s="21"/>
      <c r="BE46" s="21"/>
      <c r="BF46" s="21"/>
      <c r="BG46" s="23"/>
      <c r="BH46" s="25">
        <f>55.5/34.6</f>
        <v>1.6040462427745663</v>
      </c>
      <c r="BI46" s="25"/>
      <c r="BJ46" s="25"/>
      <c r="BK46" s="25"/>
      <c r="BL46" s="25"/>
      <c r="BM46" s="25"/>
      <c r="BN46" s="25"/>
      <c r="BO46" s="25"/>
      <c r="BP46" s="27"/>
      <c r="BQ46" s="27"/>
      <c r="BR46" s="25"/>
      <c r="BS46" s="27"/>
      <c r="BT46" s="1">
        <f t="shared" si="6"/>
        <v>1.3239628063583815</v>
      </c>
      <c r="BU46" s="1">
        <f t="shared" si="2"/>
        <v>2.346820809248555</v>
      </c>
      <c r="BV46" s="1">
        <f t="shared" si="3"/>
        <v>1.6040462427745663</v>
      </c>
      <c r="BW46" s="1">
        <v>1.31</v>
      </c>
      <c r="BX46" s="1">
        <f t="shared" si="4"/>
        <v>0</v>
      </c>
      <c r="BY46" s="19">
        <f>60.8/34.6</f>
        <v>1.7572254335260113</v>
      </c>
      <c r="BZ46" s="1">
        <f t="shared" si="1"/>
        <v>0.41475142927631586</v>
      </c>
      <c r="CA46" s="1">
        <f t="shared" si="5"/>
        <v>0.41475142927631597</v>
      </c>
    </row>
    <row r="47" spans="1:79" ht="85" hidden="1" x14ac:dyDescent="0.2">
      <c r="A47" s="3">
        <v>45</v>
      </c>
      <c r="B47" s="2" t="s">
        <v>102</v>
      </c>
      <c r="C47" s="3" t="s">
        <v>148</v>
      </c>
      <c r="D47" s="3" t="s">
        <v>1</v>
      </c>
      <c r="E47" s="35" t="s">
        <v>153</v>
      </c>
      <c r="F47" s="3" t="s">
        <v>0</v>
      </c>
      <c r="G47" s="3" t="s">
        <v>1</v>
      </c>
      <c r="H47" s="3" t="s">
        <v>1</v>
      </c>
      <c r="I47" s="3" t="s">
        <v>1</v>
      </c>
      <c r="J47" s="3" t="s">
        <v>1</v>
      </c>
      <c r="K47" s="3" t="s">
        <v>0</v>
      </c>
      <c r="L47" s="3" t="s">
        <v>0</v>
      </c>
      <c r="M47" s="3" t="s">
        <v>2</v>
      </c>
      <c r="N47" s="3" t="s">
        <v>2</v>
      </c>
      <c r="O47" s="19">
        <f>1/0.569</f>
        <v>1.7574692442882252</v>
      </c>
      <c r="P47" s="19"/>
      <c r="Q47" s="19"/>
      <c r="R47" s="19">
        <f>43.62/0.569</f>
        <v>76.660808435852374</v>
      </c>
      <c r="S47" s="19"/>
      <c r="T47" s="19"/>
      <c r="U47" s="19"/>
      <c r="V47" s="19"/>
      <c r="W47" s="19"/>
      <c r="X47" s="19"/>
      <c r="Y47" s="19"/>
      <c r="Z47" s="19">
        <f>0.459/0.569</f>
        <v>0.80667838312829532</v>
      </c>
      <c r="AA47" s="19"/>
      <c r="AB47" s="19">
        <f>0.434/0.569</f>
        <v>0.76274165202108968</v>
      </c>
      <c r="AC47" s="19"/>
      <c r="AD47" s="19"/>
      <c r="AE47" s="19"/>
      <c r="AF47" s="19">
        <f>0.0415/0.569</f>
        <v>7.2934973637961351E-2</v>
      </c>
      <c r="AG47" s="19"/>
      <c r="AH47" s="19"/>
      <c r="AI47" s="19"/>
      <c r="AJ47" s="19"/>
      <c r="AK47" s="19"/>
      <c r="AL47" s="19"/>
      <c r="AM47" s="19"/>
      <c r="AN47" s="19"/>
      <c r="AO47" s="19"/>
      <c r="AP47" s="19"/>
      <c r="AQ47" s="19"/>
      <c r="AR47" s="19"/>
      <c r="AS47" s="19"/>
      <c r="AT47" s="21"/>
      <c r="AU47" s="21"/>
      <c r="AV47" s="21"/>
      <c r="AW47" s="21"/>
      <c r="AX47" s="21"/>
      <c r="AY47" s="21"/>
      <c r="AZ47" s="21"/>
      <c r="BA47" s="21"/>
      <c r="BB47" s="21"/>
      <c r="BC47" s="21"/>
      <c r="BD47" s="24"/>
      <c r="BE47" s="24"/>
      <c r="BF47" s="21"/>
      <c r="BG47" s="23"/>
      <c r="BH47" s="25">
        <f>0.913/0.569</f>
        <v>1.6045694200351497</v>
      </c>
      <c r="BI47" s="25">
        <f>0.0145/0.569</f>
        <v>2.5483304042179265E-2</v>
      </c>
      <c r="BJ47" s="25"/>
      <c r="BK47" s="27"/>
      <c r="BL47" s="27"/>
      <c r="BM47" s="27"/>
      <c r="BN47" s="27"/>
      <c r="BO47" s="27"/>
      <c r="BP47" s="27"/>
      <c r="BQ47" s="27"/>
      <c r="BR47" s="25"/>
      <c r="BS47" s="27"/>
      <c r="BT47" s="1">
        <f t="shared" si="6"/>
        <v>1.2075043936731109</v>
      </c>
      <c r="BU47" s="1">
        <f t="shared" si="2"/>
        <v>0</v>
      </c>
      <c r="BV47" s="1">
        <f t="shared" si="3"/>
        <v>1.6147627416520214</v>
      </c>
      <c r="BW47" s="1">
        <v>1.31</v>
      </c>
      <c r="BX47" s="1">
        <f t="shared" si="4"/>
        <v>0</v>
      </c>
      <c r="BY47" s="19">
        <f>1/0.569</f>
        <v>1.7574692442882252</v>
      </c>
      <c r="BZ47" s="1">
        <f t="shared" si="1"/>
        <v>-0.86048000000000013</v>
      </c>
      <c r="CA47" s="1">
        <f t="shared" si="5"/>
        <v>-0.86048000000000024</v>
      </c>
    </row>
    <row r="48" spans="1:79" ht="102" hidden="1" x14ac:dyDescent="0.2">
      <c r="A48" s="3">
        <v>46</v>
      </c>
      <c r="B48" s="2" t="s">
        <v>154</v>
      </c>
      <c r="C48" s="3" t="s">
        <v>155</v>
      </c>
      <c r="D48" s="44"/>
      <c r="E48" s="2" t="s">
        <v>156</v>
      </c>
      <c r="F48" s="3" t="s">
        <v>0</v>
      </c>
      <c r="G48" s="3" t="s">
        <v>1</v>
      </c>
      <c r="H48" s="3" t="s">
        <v>1</v>
      </c>
      <c r="I48" s="3" t="s">
        <v>1</v>
      </c>
      <c r="J48" s="3" t="s">
        <v>1</v>
      </c>
      <c r="K48" s="3" t="s">
        <v>0</v>
      </c>
      <c r="L48" s="3" t="s">
        <v>0</v>
      </c>
      <c r="M48" s="3" t="s">
        <v>2</v>
      </c>
      <c r="N48" s="3" t="s">
        <v>2</v>
      </c>
      <c r="O48" s="19">
        <f>5.6/0.8</f>
        <v>6.9999999999999991</v>
      </c>
      <c r="P48" s="19"/>
      <c r="Q48" s="19">
        <f>13.4/0.8</f>
        <v>16.75</v>
      </c>
      <c r="R48" s="19"/>
      <c r="S48" s="19"/>
      <c r="T48" s="19"/>
      <c r="U48" s="19"/>
      <c r="V48" s="19"/>
      <c r="W48" s="19"/>
      <c r="X48" s="19"/>
      <c r="Y48" s="19"/>
      <c r="Z48" s="19">
        <f>((33.8+2.3+1.9+0.3)/3.6)/0.8</f>
        <v>13.298611111111107</v>
      </c>
      <c r="AA48" s="19"/>
      <c r="AB48" s="19"/>
      <c r="AC48" s="19"/>
      <c r="AD48" s="19"/>
      <c r="AE48" s="19">
        <f>(494.2+1.9)/0.8</f>
        <v>620.12499999999989</v>
      </c>
      <c r="AF48" s="19"/>
      <c r="AG48" s="19"/>
      <c r="AH48" s="19"/>
      <c r="AI48" s="19"/>
      <c r="AJ48" s="19"/>
      <c r="AK48" s="19"/>
      <c r="AL48" s="19"/>
      <c r="AM48" s="19"/>
      <c r="AN48" s="19"/>
      <c r="AO48" s="19"/>
      <c r="AP48" s="19"/>
      <c r="AQ48" s="19"/>
      <c r="AR48" s="19"/>
      <c r="AS48" s="19"/>
      <c r="AT48" s="21"/>
      <c r="AU48" s="21"/>
      <c r="AV48" s="21"/>
      <c r="AW48" s="21"/>
      <c r="AX48" s="21"/>
      <c r="AY48" s="21"/>
      <c r="AZ48" s="21"/>
      <c r="BA48" s="21"/>
      <c r="BB48" s="21"/>
      <c r="BC48" s="21"/>
      <c r="BD48" s="21"/>
      <c r="BE48" s="21"/>
      <c r="BF48" s="21">
        <f>(0.87*0.74)/0.8</f>
        <v>0.80474999999999997</v>
      </c>
      <c r="BG48" s="23"/>
      <c r="BH48" s="25"/>
      <c r="BI48" s="25"/>
      <c r="BJ48" s="25"/>
      <c r="BK48" s="25"/>
      <c r="BL48" s="25"/>
      <c r="BM48" s="25"/>
      <c r="BN48" s="25"/>
      <c r="BO48" s="25"/>
      <c r="BP48" s="27"/>
      <c r="BQ48" s="27"/>
      <c r="BR48" s="25"/>
      <c r="BS48" s="27"/>
      <c r="BT48" s="1">
        <f t="shared" si="6"/>
        <v>81.314272222222215</v>
      </c>
      <c r="BU48" s="1">
        <f t="shared" si="2"/>
        <v>0.43536975</v>
      </c>
      <c r="BV48" s="1">
        <f t="shared" si="3"/>
        <v>0</v>
      </c>
      <c r="BW48" s="1">
        <v>0.57699999999999996</v>
      </c>
      <c r="BX48" s="1">
        <f t="shared" si="4"/>
        <v>0</v>
      </c>
      <c r="BY48" s="19">
        <f>5.6/0.8</f>
        <v>6.9999999999999991</v>
      </c>
      <c r="BZ48" s="1">
        <f t="shared" si="1"/>
        <v>-11.471700353174603</v>
      </c>
      <c r="CA48" s="1">
        <f t="shared" si="5"/>
        <v>-11.471700353174603</v>
      </c>
    </row>
    <row r="49" spans="1:79" ht="119" hidden="1" x14ac:dyDescent="0.2">
      <c r="A49" s="3">
        <v>47</v>
      </c>
      <c r="B49" s="2" t="s">
        <v>157</v>
      </c>
      <c r="C49" s="3" t="s">
        <v>158</v>
      </c>
      <c r="D49" s="5" t="s">
        <v>112</v>
      </c>
      <c r="E49" s="2" t="s">
        <v>159</v>
      </c>
      <c r="F49" s="3" t="s">
        <v>77</v>
      </c>
      <c r="G49" s="3" t="s">
        <v>0</v>
      </c>
      <c r="H49" s="3" t="s">
        <v>0</v>
      </c>
      <c r="I49" s="3">
        <v>25</v>
      </c>
      <c r="J49" s="3">
        <v>78</v>
      </c>
      <c r="K49" s="3" t="s">
        <v>0</v>
      </c>
      <c r="L49" s="3" t="s">
        <v>0</v>
      </c>
      <c r="M49" s="3">
        <v>1</v>
      </c>
      <c r="N49" s="3">
        <v>78</v>
      </c>
      <c r="O49" s="19">
        <v>1.37</v>
      </c>
      <c r="P49" s="19">
        <v>0.19900000000000001</v>
      </c>
      <c r="Q49" s="19"/>
      <c r="R49" s="19"/>
      <c r="S49" s="19"/>
      <c r="T49" s="19"/>
      <c r="U49" s="19"/>
      <c r="V49" s="19"/>
      <c r="W49" s="19"/>
      <c r="X49" s="19"/>
      <c r="Y49" s="19"/>
      <c r="Z49" s="19">
        <f>0.169+0.439+0.862</f>
        <v>1.47</v>
      </c>
      <c r="AA49" s="19"/>
      <c r="AB49" s="19"/>
      <c r="AC49" s="19"/>
      <c r="AD49" s="19"/>
      <c r="AE49" s="19"/>
      <c r="AF49" s="19"/>
      <c r="AG49" s="19"/>
      <c r="AH49" s="19"/>
      <c r="AI49" s="19"/>
      <c r="AJ49" s="19"/>
      <c r="AK49" s="19"/>
      <c r="AL49" s="19"/>
      <c r="AM49" s="19"/>
      <c r="AN49" s="19"/>
      <c r="AO49" s="19"/>
      <c r="AP49" s="19"/>
      <c r="AQ49" s="19"/>
      <c r="AR49" s="19"/>
      <c r="AS49" s="19"/>
      <c r="AT49" s="21"/>
      <c r="AU49" s="21"/>
      <c r="AV49" s="21"/>
      <c r="AW49" s="21"/>
      <c r="AX49" s="21">
        <v>0.68</v>
      </c>
      <c r="AY49" s="21"/>
      <c r="AZ49" s="21"/>
      <c r="BA49" s="21"/>
      <c r="BB49" s="21"/>
      <c r="BC49" s="21"/>
      <c r="BD49" s="24"/>
      <c r="BE49" s="24"/>
      <c r="BF49" s="24"/>
      <c r="BG49" s="23"/>
      <c r="BH49" s="25"/>
      <c r="BI49" s="25">
        <v>0.56899999999999995</v>
      </c>
      <c r="BJ49" s="25">
        <v>0.90500000000000003</v>
      </c>
      <c r="BK49" s="25"/>
      <c r="BL49" s="25"/>
      <c r="BM49" s="25"/>
      <c r="BN49" s="27"/>
      <c r="BO49" s="27"/>
      <c r="BP49" s="27"/>
      <c r="BQ49" s="27"/>
      <c r="BR49" s="25"/>
      <c r="BS49" s="27"/>
      <c r="BT49" s="1">
        <f t="shared" si="6"/>
        <v>1.4536699999999998</v>
      </c>
      <c r="BU49" s="1">
        <f t="shared" si="2"/>
        <v>0.28396800000000005</v>
      </c>
      <c r="BV49" s="1">
        <f t="shared" si="3"/>
        <v>0.2276</v>
      </c>
      <c r="BW49" s="1">
        <v>0.59699999999999998</v>
      </c>
      <c r="BX49" s="1">
        <f>(0.47-0.03)*58*P49</f>
        <v>5.0784799999999999</v>
      </c>
      <c r="BY49" s="19">
        <v>1.37</v>
      </c>
      <c r="BZ49" s="1">
        <f t="shared" si="1"/>
        <v>-0.58416204379562031</v>
      </c>
      <c r="CA49" s="1">
        <f t="shared" si="5"/>
        <v>-4.2910817518248168</v>
      </c>
    </row>
    <row r="50" spans="1:79" ht="204" hidden="1" x14ac:dyDescent="0.2">
      <c r="A50" s="3">
        <v>48</v>
      </c>
      <c r="B50" s="2" t="s">
        <v>160</v>
      </c>
      <c r="C50" s="3" t="s">
        <v>158</v>
      </c>
      <c r="D50" s="5" t="s">
        <v>112</v>
      </c>
      <c r="E50" s="2" t="s">
        <v>161</v>
      </c>
      <c r="F50" s="3" t="s">
        <v>77</v>
      </c>
      <c r="G50" s="3" t="s">
        <v>77</v>
      </c>
      <c r="H50" s="3" t="s">
        <v>77</v>
      </c>
      <c r="I50" s="3" t="s">
        <v>2</v>
      </c>
      <c r="J50" s="3">
        <v>50</v>
      </c>
      <c r="K50" s="3" t="s">
        <v>77</v>
      </c>
      <c r="L50" s="3" t="s">
        <v>77</v>
      </c>
      <c r="M50" s="3" t="s">
        <v>2</v>
      </c>
      <c r="N50" s="3">
        <v>50</v>
      </c>
      <c r="O50" s="19">
        <v>0</v>
      </c>
      <c r="P50" s="19">
        <v>0</v>
      </c>
      <c r="Q50" s="19">
        <v>1.6860689999999998</v>
      </c>
      <c r="R50" s="19"/>
      <c r="S50" s="19"/>
      <c r="T50" s="19"/>
      <c r="U50" s="19"/>
      <c r="V50" s="19"/>
      <c r="W50" s="19"/>
      <c r="X50" s="19">
        <f>0.164*O50</f>
        <v>0</v>
      </c>
      <c r="Y50" s="19">
        <v>10.342079999999999</v>
      </c>
      <c r="Z50" s="19">
        <v>1.27</v>
      </c>
      <c r="AA50" s="19"/>
      <c r="AB50" s="19"/>
      <c r="AC50" s="19"/>
      <c r="AD50" s="19"/>
      <c r="AE50" s="19"/>
      <c r="AF50" s="19"/>
      <c r="AG50" s="19"/>
      <c r="AH50" s="19"/>
      <c r="AI50" s="19"/>
      <c r="AJ50" s="19"/>
      <c r="AK50" s="19"/>
      <c r="AL50" s="19"/>
      <c r="AM50" s="19"/>
      <c r="AN50" s="19"/>
      <c r="AO50" s="19"/>
      <c r="AP50" s="19"/>
      <c r="AQ50" s="19"/>
      <c r="AR50" s="19"/>
      <c r="AS50" s="19"/>
      <c r="AT50" s="21"/>
      <c r="AU50" s="21"/>
      <c r="AV50" s="21"/>
      <c r="AW50" s="21"/>
      <c r="AX50" s="21">
        <f>0.1</f>
        <v>0.1</v>
      </c>
      <c r="AY50" s="21"/>
      <c r="AZ50" s="21"/>
      <c r="BA50" s="21"/>
      <c r="BB50" s="21"/>
      <c r="BC50" s="21"/>
      <c r="BD50" s="24"/>
      <c r="BE50" s="24"/>
      <c r="BF50" s="24"/>
      <c r="BG50" s="23"/>
      <c r="BH50" s="25"/>
      <c r="BI50" s="25"/>
      <c r="BJ50" s="25"/>
      <c r="BK50" s="25"/>
      <c r="BL50" s="25"/>
      <c r="BM50" s="25"/>
      <c r="BN50" s="27"/>
      <c r="BO50" s="27"/>
      <c r="BP50" s="27"/>
      <c r="BQ50" s="27"/>
      <c r="BR50" s="25"/>
      <c r="BS50" s="27"/>
      <c r="BT50" s="1">
        <f t="shared" si="6"/>
        <v>1.1119742959000001</v>
      </c>
      <c r="BU50" s="1">
        <f t="shared" si="2"/>
        <v>4.1760000000000005E-2</v>
      </c>
      <c r="BV50" s="1">
        <f t="shared" si="3"/>
        <v>0</v>
      </c>
      <c r="BW50" s="1">
        <v>0.59699999999999998</v>
      </c>
      <c r="BX50" s="1">
        <f>(0.47-0.03)*Y50</f>
        <v>4.5505151999999995</v>
      </c>
      <c r="BY50" s="19">
        <v>1.37</v>
      </c>
      <c r="BZ50" s="1">
        <f t="shared" si="1"/>
        <v>-0.34541189481751827</v>
      </c>
      <c r="CA50" s="1">
        <f>((BW50+BU50)-(BT50+BV50+BX50))/BY50</f>
        <v>-3.666955836423357</v>
      </c>
    </row>
    <row r="51" spans="1:79" ht="170" hidden="1" x14ac:dyDescent="0.2">
      <c r="A51" s="3">
        <v>49</v>
      </c>
      <c r="B51" s="2" t="s">
        <v>162</v>
      </c>
      <c r="C51" s="3" t="s">
        <v>158</v>
      </c>
      <c r="D51" s="5" t="s">
        <v>112</v>
      </c>
      <c r="E51" s="2" t="s">
        <v>163</v>
      </c>
      <c r="F51" s="3" t="s">
        <v>77</v>
      </c>
      <c r="G51" s="3" t="s">
        <v>77</v>
      </c>
      <c r="H51" s="3" t="s">
        <v>77</v>
      </c>
      <c r="I51" s="3">
        <v>1</v>
      </c>
      <c r="J51" s="3">
        <v>80</v>
      </c>
      <c r="K51" s="3" t="s">
        <v>0</v>
      </c>
      <c r="L51" s="3" t="s">
        <v>77</v>
      </c>
      <c r="M51" s="3">
        <v>1</v>
      </c>
      <c r="N51" s="3">
        <v>80</v>
      </c>
      <c r="O51" s="19">
        <v>0</v>
      </c>
      <c r="P51" s="19">
        <v>0</v>
      </c>
      <c r="Q51" s="19">
        <v>1.73</v>
      </c>
      <c r="R51" s="19"/>
      <c r="S51" s="19"/>
      <c r="T51" s="19"/>
      <c r="U51" s="19"/>
      <c r="V51" s="19"/>
      <c r="W51" s="19"/>
      <c r="X51" s="19">
        <f>2860/12500</f>
        <v>0.2288</v>
      </c>
      <c r="Y51" s="19">
        <f>129420/12500</f>
        <v>10.3536</v>
      </c>
      <c r="Z51" s="19">
        <f>(-2040-1760-390+640)/12500</f>
        <v>-0.28399999999999997</v>
      </c>
      <c r="AA51" s="19"/>
      <c r="AB51" s="19"/>
      <c r="AC51" s="19"/>
      <c r="AD51" s="19"/>
      <c r="AE51" s="19"/>
      <c r="AF51" s="19"/>
      <c r="AG51" s="19"/>
      <c r="AH51" s="19"/>
      <c r="AI51" s="19"/>
      <c r="AJ51" s="19"/>
      <c r="AK51" s="19"/>
      <c r="AL51" s="19"/>
      <c r="AM51" s="19"/>
      <c r="AN51" s="19"/>
      <c r="AO51" s="19"/>
      <c r="AP51" s="19"/>
      <c r="AQ51" s="19"/>
      <c r="AR51" s="19"/>
      <c r="AS51" s="19"/>
      <c r="AT51" s="21"/>
      <c r="AU51" s="21"/>
      <c r="AV51" s="21"/>
      <c r="AW51" s="21"/>
      <c r="AX51" s="21"/>
      <c r="AY51" s="21"/>
      <c r="AZ51" s="21"/>
      <c r="BA51" s="21"/>
      <c r="BB51" s="21"/>
      <c r="BC51" s="21"/>
      <c r="BD51" s="24"/>
      <c r="BE51" s="24"/>
      <c r="BF51" s="24"/>
      <c r="BG51" s="23"/>
      <c r="BH51" s="25"/>
      <c r="BI51" s="25">
        <v>0.56599999999999995</v>
      </c>
      <c r="BJ51" s="25">
        <v>0.56000000000000005</v>
      </c>
      <c r="BK51" s="25"/>
      <c r="BL51" s="25"/>
      <c r="BM51" s="25"/>
      <c r="BN51" s="27"/>
      <c r="BO51" s="27"/>
      <c r="BP51" s="27"/>
      <c r="BQ51" s="27"/>
      <c r="BR51" s="25"/>
      <c r="BS51" s="27"/>
      <c r="BT51" s="1">
        <f t="shared" si="6"/>
        <v>0.39900204000000006</v>
      </c>
      <c r="BU51" s="1">
        <f t="shared" si="2"/>
        <v>0</v>
      </c>
      <c r="BV51" s="1">
        <f t="shared" si="3"/>
        <v>0.22639999999999999</v>
      </c>
      <c r="BW51" s="1">
        <v>0.59699999999999998</v>
      </c>
      <c r="BX51" s="1">
        <f t="shared" ref="BX50:BX71" si="7">(0.47-0.03)*58*P51</f>
        <v>0</v>
      </c>
      <c r="BY51" s="19">
        <v>1.41</v>
      </c>
      <c r="BZ51" s="1">
        <f t="shared" si="1"/>
        <v>-2.0143290780141897E-2</v>
      </c>
      <c r="CA51" s="1">
        <f t="shared" si="5"/>
        <v>-2.0143290780141859E-2</v>
      </c>
    </row>
    <row r="52" spans="1:79" ht="119" hidden="1" x14ac:dyDescent="0.2">
      <c r="A52" s="3">
        <v>50</v>
      </c>
      <c r="B52" s="2" t="s">
        <v>164</v>
      </c>
      <c r="C52" s="3" t="s">
        <v>158</v>
      </c>
      <c r="D52" s="5" t="s">
        <v>112</v>
      </c>
      <c r="E52" s="2" t="s">
        <v>165</v>
      </c>
      <c r="F52" s="3" t="s">
        <v>77</v>
      </c>
      <c r="G52" s="3" t="s">
        <v>77</v>
      </c>
      <c r="H52" s="3" t="s">
        <v>77</v>
      </c>
      <c r="I52" s="3">
        <v>30</v>
      </c>
      <c r="J52" s="3">
        <v>78</v>
      </c>
      <c r="K52" s="3" t="s">
        <v>77</v>
      </c>
      <c r="L52" s="3" t="s">
        <v>77</v>
      </c>
      <c r="M52" s="3">
        <v>1</v>
      </c>
      <c r="N52" s="3">
        <v>78</v>
      </c>
      <c r="O52" s="19">
        <v>0</v>
      </c>
      <c r="P52" s="19">
        <v>0</v>
      </c>
      <c r="Q52" s="19">
        <f>108.1/59.3</f>
        <v>1.8229342327150084</v>
      </c>
      <c r="R52" s="19"/>
      <c r="S52" s="19"/>
      <c r="T52" s="19"/>
      <c r="U52" s="19"/>
      <c r="V52" s="19"/>
      <c r="W52" s="19">
        <f>(4.74*1000)/1000</f>
        <v>4.74</v>
      </c>
      <c r="X52" s="19">
        <f>(0.236*1000*0.277)/1000</f>
        <v>6.5372E-2</v>
      </c>
      <c r="Y52" s="19">
        <f>(39.3*1000*0.277)/1000</f>
        <v>10.886100000000001</v>
      </c>
      <c r="Z52" s="19">
        <f>(16.9+2.9-2.2)*1000/(59.3*1000)</f>
        <v>0.29679595278246201</v>
      </c>
      <c r="AA52" s="19"/>
      <c r="AB52" s="19"/>
      <c r="AC52" s="36"/>
      <c r="AD52" s="36"/>
      <c r="AE52" s="19"/>
      <c r="AF52" s="19"/>
      <c r="AG52" s="19"/>
      <c r="AH52" s="19"/>
      <c r="AI52" s="19"/>
      <c r="AJ52" s="19"/>
      <c r="AK52" s="19"/>
      <c r="AL52" s="19"/>
      <c r="AM52" s="19"/>
      <c r="AN52" s="19"/>
      <c r="AO52" s="19"/>
      <c r="AP52" s="19"/>
      <c r="AQ52" s="19"/>
      <c r="AR52" s="19"/>
      <c r="AS52" s="19"/>
      <c r="AT52" s="21">
        <f>0.87/59.3</f>
        <v>1.4671163575042159E-2</v>
      </c>
      <c r="AU52" s="21">
        <f>96/59.3</f>
        <v>1.6188870151770658</v>
      </c>
      <c r="AV52" s="21"/>
      <c r="AW52" s="21">
        <f>(1.72*1000/1000)</f>
        <v>1.72</v>
      </c>
      <c r="AX52" s="21"/>
      <c r="AY52" s="21"/>
      <c r="AZ52" s="21"/>
      <c r="BA52" s="21"/>
      <c r="BB52" s="21"/>
      <c r="BC52" s="21"/>
      <c r="BD52" s="24"/>
      <c r="BE52" s="24"/>
      <c r="BF52" s="24"/>
      <c r="BG52" s="23"/>
      <c r="BH52" s="25"/>
      <c r="BI52" s="25">
        <f>33.7/59.3</f>
        <v>0.56829679595278249</v>
      </c>
      <c r="BJ52" s="25"/>
      <c r="BK52" s="25"/>
      <c r="BL52" s="25"/>
      <c r="BM52" s="25"/>
      <c r="BN52" s="27"/>
      <c r="BO52" s="27"/>
      <c r="BP52" s="27"/>
      <c r="BQ52" s="27"/>
      <c r="BR52" s="25"/>
      <c r="BS52" s="25">
        <f>0.51/(59.3)</f>
        <v>8.6003372681281616E-3</v>
      </c>
      <c r="BT52" s="1">
        <f t="shared" si="6"/>
        <v>1.1272300534266442</v>
      </c>
      <c r="BU52" s="1">
        <f t="shared" si="2"/>
        <v>1.355607689713322</v>
      </c>
      <c r="BV52" s="1">
        <f t="shared" si="3"/>
        <v>0.22731871838111301</v>
      </c>
      <c r="BW52" s="1">
        <v>0.59699999999999998</v>
      </c>
      <c r="BX52" s="1">
        <f t="shared" si="7"/>
        <v>0</v>
      </c>
      <c r="BY52" s="19">
        <f>(88-5.82)/59.3</f>
        <v>1.3858347386172007</v>
      </c>
      <c r="BZ52" s="1">
        <f t="shared" si="1"/>
        <v>0.43155139732051589</v>
      </c>
      <c r="CA52" s="1">
        <f t="shared" si="5"/>
        <v>0.43155139732051589</v>
      </c>
    </row>
    <row r="53" spans="1:79" ht="68" hidden="1" x14ac:dyDescent="0.2">
      <c r="A53" s="39">
        <v>51</v>
      </c>
      <c r="B53" s="7" t="s">
        <v>166</v>
      </c>
      <c r="C53" s="39" t="s">
        <v>158</v>
      </c>
      <c r="D53" s="40" t="s">
        <v>112</v>
      </c>
      <c r="E53" s="7" t="s">
        <v>167</v>
      </c>
      <c r="F53" s="3" t="s">
        <v>77</v>
      </c>
      <c r="G53" s="3" t="s">
        <v>77</v>
      </c>
      <c r="H53" s="3" t="s">
        <v>77</v>
      </c>
      <c r="I53" s="3" t="s">
        <v>2</v>
      </c>
      <c r="J53" s="3" t="s">
        <v>2</v>
      </c>
      <c r="K53" s="3" t="s">
        <v>77</v>
      </c>
      <c r="L53" s="3" t="s">
        <v>77</v>
      </c>
      <c r="M53" s="3" t="s">
        <v>2</v>
      </c>
      <c r="N53" s="3" t="s">
        <v>2</v>
      </c>
      <c r="O53" s="19">
        <v>0</v>
      </c>
      <c r="P53" s="19">
        <v>0</v>
      </c>
      <c r="Q53" s="19"/>
      <c r="R53" s="19"/>
      <c r="S53" s="19"/>
      <c r="T53" s="19"/>
      <c r="U53" s="19"/>
      <c r="V53" s="19"/>
      <c r="W53" s="19"/>
      <c r="X53" s="19">
        <f>7.95*1000/28757</f>
        <v>0.2764544284869771</v>
      </c>
      <c r="Y53" s="19">
        <f>309.3*1000/28757</f>
        <v>10.75564210453107</v>
      </c>
      <c r="Z53" s="19">
        <f>(1.07)*1000/28757</f>
        <v>3.720833188441075E-2</v>
      </c>
      <c r="AA53" s="19"/>
      <c r="AB53" s="19"/>
      <c r="AC53" s="19"/>
      <c r="AD53" s="19"/>
      <c r="AE53" s="19"/>
      <c r="AF53" s="19"/>
      <c r="AG53" s="19"/>
      <c r="AH53" s="19"/>
      <c r="AI53" s="19"/>
      <c r="AJ53" s="19"/>
      <c r="AK53" s="19"/>
      <c r="AL53" s="19"/>
      <c r="AM53" s="19"/>
      <c r="AN53" s="19"/>
      <c r="AO53" s="19"/>
      <c r="AP53" s="19"/>
      <c r="AQ53" s="19"/>
      <c r="AR53" s="19"/>
      <c r="AS53" s="19"/>
      <c r="AT53" s="21"/>
      <c r="AU53" s="21">
        <f>46320/28757</f>
        <v>1.6107382550335569</v>
      </c>
      <c r="AV53" s="21"/>
      <c r="AW53" s="21"/>
      <c r="AX53" s="21"/>
      <c r="AY53" s="21"/>
      <c r="AZ53" s="21"/>
      <c r="BA53" s="21"/>
      <c r="BB53" s="21"/>
      <c r="BC53" s="21"/>
      <c r="BD53" s="24"/>
      <c r="BE53" s="24"/>
      <c r="BF53" s="24"/>
      <c r="BG53" s="23"/>
      <c r="BH53" s="25"/>
      <c r="BI53" s="25"/>
      <c r="BJ53" s="25"/>
      <c r="BK53" s="27"/>
      <c r="BL53" s="27"/>
      <c r="BM53" s="27"/>
      <c r="BN53" s="27"/>
      <c r="BO53" s="27"/>
      <c r="BP53" s="27"/>
      <c r="BQ53" s="27"/>
      <c r="BR53" s="25"/>
      <c r="BS53" s="27"/>
      <c r="BT53" s="1">
        <f t="shared" si="6"/>
        <v>0.48356991341238659</v>
      </c>
      <c r="BU53" s="1">
        <f t="shared" si="2"/>
        <v>0.98093959731543612</v>
      </c>
      <c r="BV53" s="1">
        <f t="shared" si="3"/>
        <v>0</v>
      </c>
      <c r="BW53" s="1">
        <v>0.59699999999999998</v>
      </c>
      <c r="BX53" s="1">
        <f t="shared" si="7"/>
        <v>0</v>
      </c>
      <c r="BY53" s="19">
        <f>44000/28757</f>
        <v>1.5300622457140871</v>
      </c>
      <c r="BZ53" s="1">
        <f t="shared" si="1"/>
        <v>0.71524520454545437</v>
      </c>
      <c r="CA53" s="1">
        <f t="shared" si="5"/>
        <v>0.71524520454545437</v>
      </c>
    </row>
    <row r="54" spans="1:79" ht="85" hidden="1" x14ac:dyDescent="0.2">
      <c r="A54" s="3">
        <v>52</v>
      </c>
      <c r="B54" s="2" t="s">
        <v>168</v>
      </c>
      <c r="C54" s="3" t="s">
        <v>158</v>
      </c>
      <c r="D54" s="5" t="s">
        <v>112</v>
      </c>
      <c r="E54" s="2" t="s">
        <v>169</v>
      </c>
      <c r="F54" s="3" t="s">
        <v>77</v>
      </c>
      <c r="G54" s="3" t="s">
        <v>77</v>
      </c>
      <c r="H54" s="3" t="s">
        <v>77</v>
      </c>
      <c r="I54" s="3">
        <v>30</v>
      </c>
      <c r="J54" s="3">
        <v>80</v>
      </c>
      <c r="K54" s="3" t="s">
        <v>77</v>
      </c>
      <c r="L54" s="3" t="s">
        <v>77</v>
      </c>
      <c r="M54" s="3">
        <v>2</v>
      </c>
      <c r="N54" s="3">
        <v>80</v>
      </c>
      <c r="O54" s="19">
        <f>(688/483)</f>
        <v>1.4244306418219461</v>
      </c>
      <c r="P54" s="19">
        <f>(94/483)</f>
        <v>0.19461697722567287</v>
      </c>
      <c r="Q54" s="19"/>
      <c r="R54" s="19">
        <f>(285/19)*P54</f>
        <v>2.9192546583850931</v>
      </c>
      <c r="S54" s="19"/>
      <c r="T54" s="19"/>
      <c r="U54" s="19"/>
      <c r="V54" s="19"/>
      <c r="W54" s="19">
        <f>(117/140)*O54</f>
        <v>1.1904170363797693</v>
      </c>
      <c r="X54" s="19">
        <f>(7/140)*O54</f>
        <v>7.1221532091097314E-2</v>
      </c>
      <c r="Y54" s="19">
        <f>((1.03*1000)/19)*P54</f>
        <v>10.550288765391739</v>
      </c>
      <c r="Z54" s="19">
        <f>((9.8*((44/50)*782)/140)+(13*782/159))/483</f>
        <v>0.23210829589697515</v>
      </c>
      <c r="AA54" s="19"/>
      <c r="AB54" s="19"/>
      <c r="AC54" s="19"/>
      <c r="AD54" s="19"/>
      <c r="AE54" s="19"/>
      <c r="AF54" s="19"/>
      <c r="AG54" s="19"/>
      <c r="AH54" s="19"/>
      <c r="AI54" s="19"/>
      <c r="AJ54" s="19"/>
      <c r="AK54" s="19"/>
      <c r="AL54" s="19"/>
      <c r="AM54" s="19"/>
      <c r="AN54" s="19"/>
      <c r="AO54" s="19"/>
      <c r="AP54" s="19"/>
      <c r="AQ54" s="19"/>
      <c r="AR54" s="19"/>
      <c r="AS54" s="19"/>
      <c r="AT54" s="21"/>
      <c r="AU54" s="21">
        <f>(752/483)</f>
        <v>1.5569358178053829</v>
      </c>
      <c r="AV54" s="21"/>
      <c r="AW54" s="21"/>
      <c r="AX54" s="21">
        <f>31/97</f>
        <v>0.31958762886597936</v>
      </c>
      <c r="AY54" s="21"/>
      <c r="AZ54" s="21"/>
      <c r="BA54" s="21"/>
      <c r="BB54" s="21"/>
      <c r="BC54" s="21"/>
      <c r="BD54" s="24"/>
      <c r="BE54" s="24"/>
      <c r="BF54" s="24"/>
      <c r="BG54" s="23"/>
      <c r="BH54" s="25"/>
      <c r="BI54" s="25"/>
      <c r="BJ54" s="25"/>
      <c r="BK54" s="27"/>
      <c r="BL54" s="27"/>
      <c r="BM54" s="27"/>
      <c r="BN54" s="27"/>
      <c r="BO54" s="27"/>
      <c r="BP54" s="27"/>
      <c r="BQ54" s="27"/>
      <c r="BR54" s="25"/>
      <c r="BS54" s="27"/>
      <c r="BT54" s="1">
        <f t="shared" si="6"/>
        <v>1.2958210038365963</v>
      </c>
      <c r="BU54" s="1">
        <f t="shared" si="2"/>
        <v>1.0816337068579112</v>
      </c>
      <c r="BV54" s="1">
        <f t="shared" si="3"/>
        <v>0</v>
      </c>
      <c r="BW54" s="1">
        <v>0.59699999999999998</v>
      </c>
      <c r="BX54" s="1">
        <f t="shared" si="7"/>
        <v>4.966625258799171</v>
      </c>
      <c r="BY54" s="19">
        <f>(688/483)</f>
        <v>1.4244306418219461</v>
      </c>
      <c r="BZ54" s="1">
        <f t="shared" si="1"/>
        <v>0.26874787145246382</v>
      </c>
      <c r="CA54" s="1">
        <f t="shared" si="5"/>
        <v>-3.2179963145940471</v>
      </c>
    </row>
    <row r="55" spans="1:79" ht="85" hidden="1" x14ac:dyDescent="0.2">
      <c r="A55" s="3">
        <v>53</v>
      </c>
      <c r="B55" s="2" t="s">
        <v>168</v>
      </c>
      <c r="C55" s="3" t="s">
        <v>158</v>
      </c>
      <c r="D55" s="5" t="s">
        <v>112</v>
      </c>
      <c r="E55" s="2" t="s">
        <v>170</v>
      </c>
      <c r="F55" s="3" t="s">
        <v>77</v>
      </c>
      <c r="G55" s="3" t="s">
        <v>0</v>
      </c>
      <c r="H55" s="3" t="s">
        <v>77</v>
      </c>
      <c r="I55" s="3">
        <v>30</v>
      </c>
      <c r="J55" s="3">
        <v>80</v>
      </c>
      <c r="K55" s="3" t="s">
        <v>77</v>
      </c>
      <c r="L55" s="3" t="s">
        <v>77</v>
      </c>
      <c r="M55" s="3">
        <v>2</v>
      </c>
      <c r="N55" s="3">
        <v>80</v>
      </c>
      <c r="O55" s="19">
        <f>(1810/1265)</f>
        <v>1.4308300395256917</v>
      </c>
      <c r="P55" s="19">
        <f>(247/1265)</f>
        <v>0.19525691699604744</v>
      </c>
      <c r="Q55" s="19"/>
      <c r="R55" s="19">
        <f t="shared" ref="R55:R56" si="8">(285/19)*P55</f>
        <v>2.9288537549407114</v>
      </c>
      <c r="S55" s="19"/>
      <c r="T55" s="19"/>
      <c r="U55" s="19"/>
      <c r="V55" s="19"/>
      <c r="W55" s="19">
        <f t="shared" ref="W55:W56" si="9">(117/140)*O55</f>
        <v>1.1957651044607567</v>
      </c>
      <c r="X55" s="19">
        <f t="shared" ref="X55:X56" si="10">(7/140)*O55</f>
        <v>7.1541501976284588E-2</v>
      </c>
      <c r="Y55" s="19">
        <f t="shared" ref="Y55:Y56" si="11">((1.03*1000)/19)*P55</f>
        <v>10.58498023715415</v>
      </c>
      <c r="Z55" s="19">
        <f>((9.8*((44/50)*2058)/140)+(13*2058/159))/1265</f>
        <v>0.23323079125960181</v>
      </c>
      <c r="AA55" s="19"/>
      <c r="AB55" s="19"/>
      <c r="AC55" s="19"/>
      <c r="AD55" s="19"/>
      <c r="AE55" s="19"/>
      <c r="AF55" s="19"/>
      <c r="AG55" s="19"/>
      <c r="AH55" s="19"/>
      <c r="AI55" s="19"/>
      <c r="AJ55" s="19"/>
      <c r="AK55" s="19"/>
      <c r="AL55" s="19"/>
      <c r="AM55" s="19"/>
      <c r="AN55" s="19"/>
      <c r="AO55" s="19"/>
      <c r="AP55" s="19"/>
      <c r="AQ55" s="19"/>
      <c r="AR55" s="19"/>
      <c r="AS55" s="19"/>
      <c r="AT55" s="21"/>
      <c r="AU55" s="21">
        <f>(1976/1265)</f>
        <v>1.5620553359683795</v>
      </c>
      <c r="AV55" s="21"/>
      <c r="AW55" s="21"/>
      <c r="AX55" s="21">
        <f>31/97</f>
        <v>0.31958762886597936</v>
      </c>
      <c r="AY55" s="21"/>
      <c r="AZ55" s="21"/>
      <c r="BA55" s="21"/>
      <c r="BB55" s="21"/>
      <c r="BC55" s="21"/>
      <c r="BD55" s="24"/>
      <c r="BE55" s="24"/>
      <c r="BF55" s="24"/>
      <c r="BG55" s="23"/>
      <c r="BH55" s="25"/>
      <c r="BI55" s="25"/>
      <c r="BJ55" s="25"/>
      <c r="BK55" s="27"/>
      <c r="BL55" s="27"/>
      <c r="BM55" s="27"/>
      <c r="BN55" s="27"/>
      <c r="BO55" s="27"/>
      <c r="BP55" s="27"/>
      <c r="BQ55" s="27"/>
      <c r="BR55" s="25"/>
      <c r="BS55" s="27"/>
      <c r="BT55" s="1">
        <f t="shared" si="6"/>
        <v>1.3009385735295058</v>
      </c>
      <c r="BU55" s="1">
        <f t="shared" si="2"/>
        <v>1.0847514934191762</v>
      </c>
      <c r="BV55" s="1">
        <f t="shared" si="3"/>
        <v>0</v>
      </c>
      <c r="BW55" s="1">
        <v>0.59699999999999998</v>
      </c>
      <c r="BX55" s="1">
        <f t="shared" si="7"/>
        <v>4.9829565217391298</v>
      </c>
      <c r="BY55" s="19">
        <f>(1810/1265)</f>
        <v>1.4308300395256917</v>
      </c>
      <c r="BZ55" s="1">
        <f t="shared" si="1"/>
        <v>0.26614825616598509</v>
      </c>
      <c r="CA55" s="1">
        <f t="shared" si="5"/>
        <v>-3.2164152797456169</v>
      </c>
    </row>
    <row r="56" spans="1:79" ht="85" hidden="1" x14ac:dyDescent="0.2">
      <c r="A56" s="3">
        <v>54</v>
      </c>
      <c r="B56" s="2" t="s">
        <v>168</v>
      </c>
      <c r="C56" s="3" t="s">
        <v>158</v>
      </c>
      <c r="D56" s="5" t="s">
        <v>112</v>
      </c>
      <c r="E56" s="2" t="s">
        <v>171</v>
      </c>
      <c r="F56" s="3" t="s">
        <v>77</v>
      </c>
      <c r="G56" s="3" t="s">
        <v>0</v>
      </c>
      <c r="H56" s="3" t="s">
        <v>77</v>
      </c>
      <c r="I56" s="3">
        <v>30</v>
      </c>
      <c r="J56" s="3">
        <v>80</v>
      </c>
      <c r="K56" s="3" t="s">
        <v>77</v>
      </c>
      <c r="L56" s="3" t="s">
        <v>77</v>
      </c>
      <c r="M56" s="3">
        <v>2</v>
      </c>
      <c r="N56" s="3">
        <v>80</v>
      </c>
      <c r="O56" s="19">
        <f>(8778/6130)</f>
        <v>1.431973898858075</v>
      </c>
      <c r="P56" s="19">
        <f>(1197/6130)</f>
        <v>0.19526916802610114</v>
      </c>
      <c r="Q56" s="19"/>
      <c r="R56" s="19">
        <f t="shared" si="8"/>
        <v>2.9290375203915171</v>
      </c>
      <c r="S56" s="19"/>
      <c r="T56" s="19"/>
      <c r="U56" s="19"/>
      <c r="V56" s="19"/>
      <c r="W56" s="19">
        <f t="shared" si="9"/>
        <v>1.196721044045677</v>
      </c>
      <c r="X56" s="19">
        <f t="shared" si="10"/>
        <v>7.1598694942903759E-2</v>
      </c>
      <c r="Y56" s="19">
        <f t="shared" si="11"/>
        <v>10.585644371941273</v>
      </c>
      <c r="Z56" s="19">
        <f>((9.8*((44/50)*9975)/140)+(13*9975/159))/6130</f>
        <v>0.2332832035458155</v>
      </c>
      <c r="AA56" s="19"/>
      <c r="AB56" s="19"/>
      <c r="AC56" s="19"/>
      <c r="AD56" s="19"/>
      <c r="AE56" s="19"/>
      <c r="AF56" s="19"/>
      <c r="AG56" s="19"/>
      <c r="AH56" s="19"/>
      <c r="AI56" s="19"/>
      <c r="AJ56" s="19"/>
      <c r="AK56" s="19"/>
      <c r="AL56" s="19"/>
      <c r="AM56" s="19"/>
      <c r="AN56" s="19"/>
      <c r="AO56" s="19"/>
      <c r="AP56" s="19"/>
      <c r="AQ56" s="19"/>
      <c r="AR56" s="19"/>
      <c r="AS56" s="19"/>
      <c r="AT56" s="21"/>
      <c r="AU56" s="21">
        <f>(9576/6130)</f>
        <v>1.5621533442088091</v>
      </c>
      <c r="AV56" s="21"/>
      <c r="AW56" s="21"/>
      <c r="AX56" s="21">
        <f>31/97</f>
        <v>0.31958762886597936</v>
      </c>
      <c r="AY56" s="21"/>
      <c r="AZ56" s="21"/>
      <c r="BA56" s="21"/>
      <c r="BB56" s="21"/>
      <c r="BC56" s="21"/>
      <c r="BD56" s="24"/>
      <c r="BE56" s="24"/>
      <c r="BF56" s="24"/>
      <c r="BG56" s="23"/>
      <c r="BH56" s="25"/>
      <c r="BI56" s="25"/>
      <c r="BJ56" s="25"/>
      <c r="BK56" s="27"/>
      <c r="BL56" s="27"/>
      <c r="BM56" s="27"/>
      <c r="BN56" s="27"/>
      <c r="BO56" s="27"/>
      <c r="BP56" s="27"/>
      <c r="BQ56" s="27"/>
      <c r="BR56" s="25"/>
      <c r="BS56" s="27"/>
      <c r="BT56" s="1">
        <f t="shared" si="6"/>
        <v>1.3014605444919818</v>
      </c>
      <c r="BU56" s="1">
        <f t="shared" si="2"/>
        <v>1.0848111804375977</v>
      </c>
      <c r="BV56" s="1">
        <f t="shared" si="3"/>
        <v>0</v>
      </c>
      <c r="BW56" s="1">
        <v>0.59699999999999998</v>
      </c>
      <c r="BX56" s="1">
        <f t="shared" si="7"/>
        <v>4.9832691680261005</v>
      </c>
      <c r="BY56" s="19">
        <f>(8778/6130)</f>
        <v>1.431973898858075</v>
      </c>
      <c r="BZ56" s="1">
        <f t="shared" si="1"/>
        <v>0.26561282733499947</v>
      </c>
      <c r="CA56" s="1">
        <f t="shared" si="5"/>
        <v>-3.214387172665</v>
      </c>
    </row>
    <row r="57" spans="1:79" ht="51" hidden="1" x14ac:dyDescent="0.2">
      <c r="A57" s="3">
        <v>55</v>
      </c>
      <c r="B57" s="2" t="s">
        <v>172</v>
      </c>
      <c r="C57" s="3" t="s">
        <v>158</v>
      </c>
      <c r="D57" s="5" t="s">
        <v>112</v>
      </c>
      <c r="E57" s="45" t="s">
        <v>173</v>
      </c>
      <c r="F57" s="3" t="s">
        <v>77</v>
      </c>
      <c r="G57" s="3" t="s">
        <v>0</v>
      </c>
      <c r="H57" s="3" t="s">
        <v>0</v>
      </c>
      <c r="I57" s="3" t="s">
        <v>2</v>
      </c>
      <c r="J57" s="3" t="s">
        <v>2</v>
      </c>
      <c r="K57" s="3" t="s">
        <v>0</v>
      </c>
      <c r="L57" s="3" t="s">
        <v>0</v>
      </c>
      <c r="M57" s="3" t="s">
        <v>2</v>
      </c>
      <c r="N57" s="3" t="s">
        <v>2</v>
      </c>
      <c r="O57" s="19">
        <f>15.4/10</f>
        <v>1.54</v>
      </c>
      <c r="P57" s="19">
        <f>2.3/10</f>
        <v>0.22999999999999998</v>
      </c>
      <c r="Q57" s="19"/>
      <c r="R57" s="19"/>
      <c r="S57" s="19"/>
      <c r="T57" s="19"/>
      <c r="U57" s="19"/>
      <c r="V57" s="19"/>
      <c r="W57" s="19"/>
      <c r="X57" s="19"/>
      <c r="Y57" s="19"/>
      <c r="Z57" s="19">
        <f>(8760*1000*1.56)/(10*1000*1000)</f>
        <v>1.36656</v>
      </c>
      <c r="AA57" s="19"/>
      <c r="AB57" s="19"/>
      <c r="AC57" s="19">
        <f>(8760*1000*1.02)/(10*1000*1000)</f>
        <v>0.89351999999999998</v>
      </c>
      <c r="AD57" s="19"/>
      <c r="AE57" s="19"/>
      <c r="AF57" s="19"/>
      <c r="AG57" s="19"/>
      <c r="AH57" s="19"/>
      <c r="AI57" s="19"/>
      <c r="AJ57" s="19"/>
      <c r="AK57" s="19"/>
      <c r="AL57" s="19"/>
      <c r="AM57" s="19"/>
      <c r="AN57" s="19"/>
      <c r="AO57" s="19"/>
      <c r="AP57" s="19"/>
      <c r="AQ57" s="19"/>
      <c r="AR57" s="19"/>
      <c r="AS57" s="19"/>
      <c r="AT57" s="21"/>
      <c r="AU57" s="21"/>
      <c r="AV57" s="21"/>
      <c r="AW57" s="21"/>
      <c r="AX57" s="21"/>
      <c r="AY57" s="21"/>
      <c r="AZ57" s="21"/>
      <c r="BA57" s="21"/>
      <c r="BB57" s="21"/>
      <c r="BC57" s="21"/>
      <c r="BD57" s="24"/>
      <c r="BE57" s="24"/>
      <c r="BF57" s="24"/>
      <c r="BG57" s="23"/>
      <c r="BH57" s="25"/>
      <c r="BI57" s="25"/>
      <c r="BJ57" s="25"/>
      <c r="BK57" s="27"/>
      <c r="BL57" s="27"/>
      <c r="BM57" s="27"/>
      <c r="BN57" s="27"/>
      <c r="BO57" s="27"/>
      <c r="BP57" s="27"/>
      <c r="BQ57" s="27"/>
      <c r="BR57" s="25"/>
      <c r="BS57" s="27"/>
      <c r="BT57" s="1">
        <f t="shared" si="6"/>
        <v>1.8831171519999996</v>
      </c>
      <c r="BU57" s="1">
        <f t="shared" si="2"/>
        <v>0</v>
      </c>
      <c r="BV57" s="1">
        <f t="shared" si="3"/>
        <v>0</v>
      </c>
      <c r="BW57" s="1">
        <v>0.59699999999999998</v>
      </c>
      <c r="BX57" s="1">
        <f t="shared" si="7"/>
        <v>5.8695999999999984</v>
      </c>
      <c r="BY57" s="19">
        <f>15.4/10</f>
        <v>1.54</v>
      </c>
      <c r="BZ57" s="1">
        <f t="shared" si="1"/>
        <v>-0.83514100779220757</v>
      </c>
      <c r="CA57" s="1">
        <f t="shared" si="5"/>
        <v>-4.6465695792207775</v>
      </c>
    </row>
    <row r="58" spans="1:79" ht="68" hidden="1" x14ac:dyDescent="0.2">
      <c r="A58" s="3">
        <v>56</v>
      </c>
      <c r="B58" s="46" t="s">
        <v>174</v>
      </c>
      <c r="C58" s="47" t="s">
        <v>158</v>
      </c>
      <c r="D58" s="5" t="s">
        <v>112</v>
      </c>
      <c r="E58" s="46" t="s">
        <v>175</v>
      </c>
      <c r="F58" s="47" t="s">
        <v>77</v>
      </c>
      <c r="G58" s="47" t="s">
        <v>77</v>
      </c>
      <c r="H58" s="47" t="s">
        <v>77</v>
      </c>
      <c r="I58" s="47">
        <v>30</v>
      </c>
      <c r="J58" s="47">
        <v>78</v>
      </c>
      <c r="K58" s="47" t="s">
        <v>77</v>
      </c>
      <c r="L58" s="47" t="s">
        <v>77</v>
      </c>
      <c r="M58" s="47">
        <v>1</v>
      </c>
      <c r="N58" s="47">
        <v>78</v>
      </c>
      <c r="O58" s="19">
        <f>88/59.3</f>
        <v>1.4839797639123105</v>
      </c>
      <c r="P58" s="19">
        <f>12.1/59.3</f>
        <v>0.20404721753794267</v>
      </c>
      <c r="Q58" s="19"/>
      <c r="R58" s="19"/>
      <c r="S58" s="19"/>
      <c r="T58" s="19"/>
      <c r="U58" s="19"/>
      <c r="V58" s="19"/>
      <c r="W58" s="19">
        <f>((77.7*1000)/(88*1000))*O58</f>
        <v>1.3102866779089377</v>
      </c>
      <c r="X58" s="19">
        <f>((3.9*1000)/(88*1000))*O58</f>
        <v>6.5767284991568309E-2</v>
      </c>
      <c r="Y58" s="19">
        <f>((645.1*1000)/(12.1*1000))*P58</f>
        <v>10.87858347386172</v>
      </c>
      <c r="Z58" s="19">
        <f>(15.9+2.9-1.9)/59.3</f>
        <v>0.28499156829679601</v>
      </c>
      <c r="AA58" s="19"/>
      <c r="AB58" s="19"/>
      <c r="AC58" s="19"/>
      <c r="AD58" s="19"/>
      <c r="AE58" s="19"/>
      <c r="AF58" s="19"/>
      <c r="AG58" s="19"/>
      <c r="AH58" s="19"/>
      <c r="AI58" s="19"/>
      <c r="AJ58" s="19"/>
      <c r="AK58" s="19"/>
      <c r="AL58" s="19"/>
      <c r="AM58" s="19"/>
      <c r="AN58" s="19"/>
      <c r="AO58" s="19"/>
      <c r="AP58" s="19"/>
      <c r="AQ58" s="19"/>
      <c r="AR58" s="19"/>
      <c r="AS58" s="48"/>
      <c r="AT58" s="21"/>
      <c r="AU58" s="21"/>
      <c r="AV58" s="21"/>
      <c r="AW58" s="21"/>
      <c r="AX58" s="21">
        <f>35.7/59.3</f>
        <v>0.60202360876897143</v>
      </c>
      <c r="AY58" s="21"/>
      <c r="AZ58" s="21"/>
      <c r="BA58" s="21"/>
      <c r="BB58" s="21"/>
      <c r="BC58" s="21"/>
      <c r="BD58" s="24"/>
      <c r="BE58" s="24"/>
      <c r="BF58" s="24"/>
      <c r="BG58" s="23"/>
      <c r="BH58" s="25">
        <f>6.6/59.3</f>
        <v>0.11129848229342328</v>
      </c>
      <c r="BI58" s="25">
        <f>41.4/59.3</f>
        <v>0.69814502529510958</v>
      </c>
      <c r="BJ58" s="25"/>
      <c r="BK58" s="27"/>
      <c r="BL58" s="27"/>
      <c r="BM58" s="27"/>
      <c r="BN58" s="27"/>
      <c r="BO58" s="27"/>
      <c r="BP58" s="27"/>
      <c r="BQ58" s="27"/>
      <c r="BR58" s="25"/>
      <c r="BS58" s="27"/>
      <c r="BT58" s="1">
        <f t="shared" si="6"/>
        <v>1.3711870151770658</v>
      </c>
      <c r="BU58" s="1">
        <f t="shared" si="2"/>
        <v>0.25140505902192251</v>
      </c>
      <c r="BV58" s="1">
        <f t="shared" si="3"/>
        <v>0.39055649241146712</v>
      </c>
      <c r="BW58" s="1">
        <v>0.59699999999999998</v>
      </c>
      <c r="BX58" s="1">
        <f t="shared" si="7"/>
        <v>5.2072849915682964</v>
      </c>
      <c r="BY58" s="19">
        <f>88/59.3</f>
        <v>1.4839797639123105</v>
      </c>
      <c r="BZ58" s="1">
        <f t="shared" si="1"/>
        <v>-0.61546556818181797</v>
      </c>
      <c r="CA58" s="1">
        <f t="shared" si="5"/>
        <v>-4.124465568181817</v>
      </c>
    </row>
    <row r="59" spans="1:79" ht="34" hidden="1" x14ac:dyDescent="0.2">
      <c r="A59" s="3">
        <v>57</v>
      </c>
      <c r="B59" s="46" t="s">
        <v>176</v>
      </c>
      <c r="C59" s="3" t="s">
        <v>158</v>
      </c>
      <c r="D59" s="5" t="s">
        <v>112</v>
      </c>
      <c r="E59" s="2" t="s">
        <v>177</v>
      </c>
      <c r="F59" s="47" t="s">
        <v>77</v>
      </c>
      <c r="G59" s="47" t="s">
        <v>77</v>
      </c>
      <c r="H59" s="47" t="s">
        <v>77</v>
      </c>
      <c r="I59" s="3" t="s">
        <v>2</v>
      </c>
      <c r="J59" s="3">
        <v>50</v>
      </c>
      <c r="K59" s="47" t="s">
        <v>77</v>
      </c>
      <c r="L59" s="47" t="s">
        <v>77</v>
      </c>
      <c r="M59" s="3" t="s">
        <v>2</v>
      </c>
      <c r="N59" s="3">
        <v>50</v>
      </c>
      <c r="O59" s="19">
        <f>467/323</f>
        <v>1.4458204334365325</v>
      </c>
      <c r="P59" s="19">
        <f>63.7/323</f>
        <v>0.19721362229102168</v>
      </c>
      <c r="Q59" s="19"/>
      <c r="R59" s="19"/>
      <c r="S59" s="19"/>
      <c r="T59" s="19"/>
      <c r="U59" s="19"/>
      <c r="V59" s="19"/>
      <c r="W59" s="19"/>
      <c r="X59" s="19">
        <f>((200*1000)/(467*1000))*O59</f>
        <v>0.61919504643962853</v>
      </c>
      <c r="Y59" s="19">
        <f>(((2997+5.3)*1000)/((63.7+1.1)*1000))*P59</f>
        <v>9.1372601574742962</v>
      </c>
      <c r="Z59" s="19">
        <f>(19.4*1000)/(323*1000)</f>
        <v>6.0061919504643964E-2</v>
      </c>
      <c r="AA59" s="19"/>
      <c r="AB59" s="19"/>
      <c r="AC59" s="19"/>
      <c r="AD59" s="19"/>
      <c r="AE59" s="19"/>
      <c r="AF59" s="19"/>
      <c r="AG59" s="19"/>
      <c r="AH59" s="19"/>
      <c r="AI59" s="19"/>
      <c r="AJ59" s="19"/>
      <c r="AK59" s="19"/>
      <c r="AL59" s="19"/>
      <c r="AM59" s="19"/>
      <c r="AN59" s="19"/>
      <c r="AO59" s="19"/>
      <c r="AP59" s="19"/>
      <c r="AQ59" s="19"/>
      <c r="AR59" s="19"/>
      <c r="AS59" s="19"/>
      <c r="AT59" s="21"/>
      <c r="AU59" s="21"/>
      <c r="AV59" s="21"/>
      <c r="AW59" s="21"/>
      <c r="AX59" s="21"/>
      <c r="AY59" s="21"/>
      <c r="AZ59" s="21"/>
      <c r="BA59" s="21"/>
      <c r="BB59" s="21"/>
      <c r="BC59" s="21"/>
      <c r="BD59" s="24"/>
      <c r="BE59" s="24"/>
      <c r="BF59" s="24"/>
      <c r="BG59" s="23"/>
      <c r="BH59" s="25">
        <f>23/323</f>
        <v>7.1207430340557279E-2</v>
      </c>
      <c r="BI59" s="25"/>
      <c r="BJ59" s="25"/>
      <c r="BK59" s="27"/>
      <c r="BL59" s="27"/>
      <c r="BM59" s="27"/>
      <c r="BN59" s="27"/>
      <c r="BO59" s="27"/>
      <c r="BP59" s="27"/>
      <c r="BQ59" s="27"/>
      <c r="BR59" s="25"/>
      <c r="BS59" s="27"/>
      <c r="BT59" s="1">
        <f t="shared" si="6"/>
        <v>1.0963815707774338</v>
      </c>
      <c r="BU59" s="1">
        <f t="shared" si="2"/>
        <v>0</v>
      </c>
      <c r="BV59" s="1">
        <f t="shared" si="3"/>
        <v>7.1207430340557279E-2</v>
      </c>
      <c r="BW59" s="1">
        <v>0.59699999999999998</v>
      </c>
      <c r="BX59" s="1">
        <f t="shared" si="7"/>
        <v>5.0328916408668727</v>
      </c>
      <c r="BY59" s="19">
        <f>467/323</f>
        <v>1.4458204334365325</v>
      </c>
      <c r="BZ59" s="1">
        <f t="shared" si="1"/>
        <v>-0.39464721062336433</v>
      </c>
      <c r="CA59" s="1">
        <f t="shared" si="5"/>
        <v>-3.8756407866404952</v>
      </c>
    </row>
    <row r="60" spans="1:79" ht="85" hidden="1" x14ac:dyDescent="0.2">
      <c r="A60" s="3">
        <v>58</v>
      </c>
      <c r="B60" s="46" t="s">
        <v>178</v>
      </c>
      <c r="C60" s="3" t="s">
        <v>158</v>
      </c>
      <c r="D60" s="5" t="s">
        <v>112</v>
      </c>
      <c r="E60" s="2" t="s">
        <v>179</v>
      </c>
      <c r="F60" s="47" t="s">
        <v>77</v>
      </c>
      <c r="G60" s="47" t="s">
        <v>77</v>
      </c>
      <c r="H60" s="47" t="s">
        <v>77</v>
      </c>
      <c r="I60" s="3" t="s">
        <v>2</v>
      </c>
      <c r="J60" s="47">
        <v>50</v>
      </c>
      <c r="K60" s="47" t="s">
        <v>77</v>
      </c>
      <c r="L60" s="47" t="s">
        <v>77</v>
      </c>
      <c r="M60" s="3" t="s">
        <v>2</v>
      </c>
      <c r="N60" s="47">
        <v>50</v>
      </c>
      <c r="O60" s="19">
        <v>1.27</v>
      </c>
      <c r="P60" s="19">
        <v>0.188</v>
      </c>
      <c r="Q60" s="19"/>
      <c r="R60" s="19">
        <v>0.56000000000000005</v>
      </c>
      <c r="S60" s="19"/>
      <c r="T60" s="19"/>
      <c r="U60" s="19"/>
      <c r="V60" s="19"/>
      <c r="W60" s="19"/>
      <c r="X60" s="19">
        <f>0.88*O60</f>
        <v>1.1175999999999999</v>
      </c>
      <c r="Y60" s="19">
        <f>17.89*P60</f>
        <v>3.3633200000000003</v>
      </c>
      <c r="Z60" s="19">
        <v>0.88600000000000001</v>
      </c>
      <c r="AA60" s="19"/>
      <c r="AB60" s="19"/>
      <c r="AC60" s="19"/>
      <c r="AD60" s="19"/>
      <c r="AE60" s="19"/>
      <c r="AF60" s="19"/>
      <c r="AG60" s="19"/>
      <c r="AH60" s="19"/>
      <c r="AI60" s="19"/>
      <c r="AJ60" s="19"/>
      <c r="AK60" s="19"/>
      <c r="AL60" s="19"/>
      <c r="AM60" s="19"/>
      <c r="AN60" s="19"/>
      <c r="AO60" s="19"/>
      <c r="AP60" s="19"/>
      <c r="AQ60" s="19"/>
      <c r="AR60" s="19"/>
      <c r="AS60" s="19"/>
      <c r="AT60" s="21"/>
      <c r="AU60" s="21">
        <v>1.49</v>
      </c>
      <c r="AV60" s="21"/>
      <c r="AW60" s="21"/>
      <c r="AX60" s="21"/>
      <c r="AY60" s="21"/>
      <c r="AZ60" s="21"/>
      <c r="BA60" s="21"/>
      <c r="BB60" s="21"/>
      <c r="BC60" s="21"/>
      <c r="BD60" s="24"/>
      <c r="BE60" s="24"/>
      <c r="BF60" s="24"/>
      <c r="BG60" s="23"/>
      <c r="BH60" s="25"/>
      <c r="BI60" s="25">
        <v>0.56299999999999994</v>
      </c>
      <c r="BJ60" s="25"/>
      <c r="BK60" s="27"/>
      <c r="BL60" s="27"/>
      <c r="BM60" s="27"/>
      <c r="BN60" s="27"/>
      <c r="BO60" s="27"/>
      <c r="BP60" s="27"/>
      <c r="BQ60" s="27"/>
      <c r="BR60" s="25"/>
      <c r="BS60" s="27"/>
      <c r="BT60" s="1">
        <f t="shared" si="6"/>
        <v>1.276407828</v>
      </c>
      <c r="BU60" s="1">
        <f t="shared" si="2"/>
        <v>0.90740999999999994</v>
      </c>
      <c r="BV60" s="1">
        <f t="shared" si="3"/>
        <v>0.22519999999999998</v>
      </c>
      <c r="BW60" s="1">
        <v>0.59699999999999998</v>
      </c>
      <c r="BX60" s="1">
        <f t="shared" si="7"/>
        <v>4.7977599999999994</v>
      </c>
      <c r="BY60" s="19">
        <v>1.27</v>
      </c>
      <c r="BZ60" s="1">
        <f t="shared" si="1"/>
        <v>2.2064346456693502E-3</v>
      </c>
      <c r="CA60" s="1">
        <f t="shared" si="5"/>
        <v>-3.7755573448818893</v>
      </c>
    </row>
    <row r="61" spans="1:79" ht="68" hidden="1" x14ac:dyDescent="0.2">
      <c r="A61" s="3">
        <v>59</v>
      </c>
      <c r="B61" s="46" t="s">
        <v>180</v>
      </c>
      <c r="C61" s="3" t="s">
        <v>158</v>
      </c>
      <c r="D61" s="5" t="s">
        <v>112</v>
      </c>
      <c r="E61" s="2" t="s">
        <v>181</v>
      </c>
      <c r="F61" s="47" t="s">
        <v>77</v>
      </c>
      <c r="G61" s="47" t="s">
        <v>77</v>
      </c>
      <c r="H61" s="47" t="s">
        <v>77</v>
      </c>
      <c r="I61" s="3" t="s">
        <v>2</v>
      </c>
      <c r="J61" s="47">
        <v>50</v>
      </c>
      <c r="K61" s="47" t="s">
        <v>77</v>
      </c>
      <c r="L61" s="47" t="s">
        <v>77</v>
      </c>
      <c r="M61" s="3" t="s">
        <v>2</v>
      </c>
      <c r="N61" s="47">
        <v>50</v>
      </c>
      <c r="O61" s="19">
        <v>1.4</v>
      </c>
      <c r="P61" s="19">
        <v>0.19</v>
      </c>
      <c r="Q61" s="19"/>
      <c r="R61" s="19">
        <f>48.59/26.56</f>
        <v>1.8294427710843375</v>
      </c>
      <c r="S61" s="19"/>
      <c r="T61" s="19"/>
      <c r="U61" s="19"/>
      <c r="V61" s="19"/>
      <c r="W61" s="19">
        <f>0.89/26.56</f>
        <v>3.3509036144578314E-2</v>
      </c>
      <c r="X61" s="19">
        <f>0.27/26.56</f>
        <v>1.0165662650602411E-2</v>
      </c>
      <c r="Y61" s="19">
        <f>273/26.56</f>
        <v>10.278614457831326</v>
      </c>
      <c r="Z61" s="19">
        <f>(2.1+6.16+13.2+0.7)/26.56</f>
        <v>0.83433734939759041</v>
      </c>
      <c r="AA61" s="19"/>
      <c r="AB61" s="19"/>
      <c r="AC61" s="19"/>
      <c r="AD61" s="19"/>
      <c r="AE61" s="19"/>
      <c r="AF61" s="19"/>
      <c r="AG61" s="19"/>
      <c r="AH61" s="19"/>
      <c r="AI61" s="19"/>
      <c r="AJ61" s="19"/>
      <c r="AK61" s="19"/>
      <c r="AL61" s="19"/>
      <c r="AM61" s="19"/>
      <c r="AN61" s="19"/>
      <c r="AO61" s="19"/>
      <c r="AP61" s="19"/>
      <c r="AQ61" s="19"/>
      <c r="AR61" s="19"/>
      <c r="AS61" s="19"/>
      <c r="AT61" s="21"/>
      <c r="AU61" s="21">
        <f>43.15/26.56</f>
        <v>1.6246234939759037</v>
      </c>
      <c r="AV61" s="21"/>
      <c r="AW61" s="21"/>
      <c r="AX61" s="21"/>
      <c r="AY61" s="21"/>
      <c r="AZ61" s="21"/>
      <c r="BA61" s="21"/>
      <c r="BB61" s="21"/>
      <c r="BC61" s="21"/>
      <c r="BD61" s="24"/>
      <c r="BE61" s="24"/>
      <c r="BF61" s="24"/>
      <c r="BG61" s="23"/>
      <c r="BH61" s="25">
        <v>5.7000000000000002E-3</v>
      </c>
      <c r="BI61" s="25">
        <v>0.57999999999999996</v>
      </c>
      <c r="BJ61" s="25"/>
      <c r="BK61" s="27"/>
      <c r="BL61" s="27"/>
      <c r="BM61" s="27"/>
      <c r="BN61" s="27"/>
      <c r="BO61" s="27"/>
      <c r="BP61" s="27"/>
      <c r="BQ61" s="27"/>
      <c r="BR61" s="25"/>
      <c r="BS61" s="27"/>
      <c r="BT61" s="1">
        <f t="shared" si="6"/>
        <v>1.4428007530120481</v>
      </c>
      <c r="BU61" s="1">
        <f t="shared" si="2"/>
        <v>0.98939570783132536</v>
      </c>
      <c r="BV61" s="1">
        <f t="shared" si="3"/>
        <v>0.23769999999999999</v>
      </c>
      <c r="BW61" s="1">
        <v>0.59699999999999998</v>
      </c>
      <c r="BX61" s="1">
        <f t="shared" si="7"/>
        <v>4.8487999999999989</v>
      </c>
      <c r="BY61" s="19">
        <v>1.4</v>
      </c>
      <c r="BZ61" s="1">
        <f t="shared" si="1"/>
        <v>-6.7217889414802001E-2</v>
      </c>
      <c r="CA61" s="1">
        <f t="shared" si="5"/>
        <v>-3.5306464608433723</v>
      </c>
    </row>
    <row r="62" spans="1:79" ht="170" hidden="1" customHeight="1" x14ac:dyDescent="0.2">
      <c r="A62" s="3">
        <v>60</v>
      </c>
      <c r="B62" s="2" t="s">
        <v>182</v>
      </c>
      <c r="C62" s="3" t="s">
        <v>158</v>
      </c>
      <c r="D62" s="5" t="s">
        <v>112</v>
      </c>
      <c r="E62" s="2" t="s">
        <v>183</v>
      </c>
      <c r="F62" s="47" t="s">
        <v>77</v>
      </c>
      <c r="G62" s="47" t="s">
        <v>77</v>
      </c>
      <c r="H62" s="47" t="s">
        <v>77</v>
      </c>
      <c r="I62" s="47">
        <v>30</v>
      </c>
      <c r="J62" s="47">
        <v>78</v>
      </c>
      <c r="K62" s="47" t="s">
        <v>0</v>
      </c>
      <c r="L62" s="47" t="s">
        <v>0</v>
      </c>
      <c r="M62" s="49" t="s">
        <v>2</v>
      </c>
      <c r="N62" s="47">
        <v>78</v>
      </c>
      <c r="O62" s="19">
        <f>(73/(1000/20))</f>
        <v>1.46</v>
      </c>
      <c r="P62" s="19">
        <f>(2.5/120)/(2.1/20)</f>
        <v>0.19841269841269837</v>
      </c>
      <c r="Q62" s="19">
        <f>(112.8/(1000/20))</f>
        <v>2.2559999999999998</v>
      </c>
      <c r="R62" s="19">
        <f>(3.5/(1000/20))</f>
        <v>7.0000000000000007E-2</v>
      </c>
      <c r="S62" s="19"/>
      <c r="T62" s="19"/>
      <c r="U62" s="19"/>
      <c r="V62" s="19"/>
      <c r="W62" s="19"/>
      <c r="X62" s="19"/>
      <c r="Y62" s="19">
        <f>(397/(1000/20))</f>
        <v>7.94</v>
      </c>
      <c r="Z62" s="19">
        <f>(7/(1000/20))</f>
        <v>0.14000000000000001</v>
      </c>
      <c r="AA62" s="19"/>
      <c r="AB62" s="19"/>
      <c r="AC62" s="19"/>
      <c r="AD62" s="19"/>
      <c r="AE62" s="19"/>
      <c r="AF62" s="19"/>
      <c r="AG62" s="19"/>
      <c r="AH62" s="19"/>
      <c r="AI62" s="19"/>
      <c r="AJ62" s="19"/>
      <c r="AK62" s="19"/>
      <c r="AL62" s="19"/>
      <c r="AM62" s="19"/>
      <c r="AN62" s="19"/>
      <c r="AO62" s="19"/>
      <c r="AP62" s="19"/>
      <c r="AQ62" s="19"/>
      <c r="AR62" s="19"/>
      <c r="AS62" s="19"/>
      <c r="AT62" s="21"/>
      <c r="AU62" s="21">
        <f>(80.2/(1000/20))</f>
        <v>1.6040000000000001</v>
      </c>
      <c r="AV62" s="21"/>
      <c r="AW62" s="21">
        <f>(0.2*1000/(1000/20))</f>
        <v>4</v>
      </c>
      <c r="AX62" s="21">
        <f>(0.2/(1000/20))*1000*0.2777</f>
        <v>1.1108</v>
      </c>
      <c r="AY62" s="24"/>
      <c r="AZ62" s="24"/>
      <c r="BA62" s="21"/>
      <c r="BB62" s="21"/>
      <c r="BC62" s="21"/>
      <c r="BD62" s="21"/>
      <c r="BE62" s="21"/>
      <c r="BF62" s="21"/>
      <c r="BG62" s="23"/>
      <c r="BH62" s="25">
        <f>5.1/(1000/20)</f>
        <v>0.10199999999999999</v>
      </c>
      <c r="BI62" s="25">
        <f>0.03/(1000/20)</f>
        <v>5.9999999999999995E-4</v>
      </c>
      <c r="BJ62" s="25"/>
      <c r="BK62" s="25"/>
      <c r="BL62" s="25"/>
      <c r="BM62" s="25"/>
      <c r="BN62" s="25"/>
      <c r="BO62" s="25"/>
      <c r="BP62" s="27"/>
      <c r="BQ62" s="27"/>
      <c r="BR62" s="25"/>
      <c r="BS62" s="27"/>
      <c r="BT62" s="1">
        <f t="shared" si="6"/>
        <v>1.1978302984126983</v>
      </c>
      <c r="BU62" s="1">
        <f t="shared" si="2"/>
        <v>1.90470608</v>
      </c>
      <c r="BV62" s="1">
        <f t="shared" si="3"/>
        <v>0.10224</v>
      </c>
      <c r="BW62" s="1">
        <v>0.59699999999999998</v>
      </c>
      <c r="BX62" s="1">
        <f t="shared" si="7"/>
        <v>5.0634920634920615</v>
      </c>
      <c r="BY62" s="19">
        <f>(73/(1000/20))</f>
        <v>1.46</v>
      </c>
      <c r="BZ62" s="1">
        <f t="shared" si="1"/>
        <v>0.82303820656664495</v>
      </c>
      <c r="CA62" s="1">
        <f t="shared" si="5"/>
        <v>-2.6451070424005207</v>
      </c>
    </row>
    <row r="63" spans="1:79" ht="102" hidden="1" x14ac:dyDescent="0.2">
      <c r="A63" s="3">
        <v>61</v>
      </c>
      <c r="B63" s="2" t="s">
        <v>184</v>
      </c>
      <c r="C63" s="3" t="s">
        <v>158</v>
      </c>
      <c r="D63" s="5" t="s">
        <v>112</v>
      </c>
      <c r="E63" s="2" t="s">
        <v>185</v>
      </c>
      <c r="F63" s="47" t="s">
        <v>77</v>
      </c>
      <c r="G63" s="47" t="s">
        <v>77</v>
      </c>
      <c r="H63" s="47" t="s">
        <v>77</v>
      </c>
      <c r="I63" s="47">
        <v>30</v>
      </c>
      <c r="J63" s="47">
        <v>80</v>
      </c>
      <c r="K63" s="47" t="s">
        <v>77</v>
      </c>
      <c r="L63" s="47" t="s">
        <v>77</v>
      </c>
      <c r="M63" s="47">
        <v>2</v>
      </c>
      <c r="N63" s="47">
        <v>80</v>
      </c>
      <c r="O63" s="19">
        <f>2227/1546</f>
        <v>1.4404915912031049</v>
      </c>
      <c r="P63" s="19">
        <f>203/1000</f>
        <v>0.20300000000000001</v>
      </c>
      <c r="Q63" s="19">
        <f>(1782/203)*P63</f>
        <v>1.7820000000000003</v>
      </c>
      <c r="R63" s="19"/>
      <c r="S63" s="19"/>
      <c r="T63" s="19"/>
      <c r="U63" s="19"/>
      <c r="V63" s="19">
        <f>((3.9*1000)/1441)*O63</f>
        <v>3.8986240150535107</v>
      </c>
      <c r="W63" s="19"/>
      <c r="X63" s="19">
        <f>((0.01*1000)/1441)*O63</f>
        <v>9.9964718334705407E-3</v>
      </c>
      <c r="Y63" s="19">
        <f>((10.7*1000)/203)*P63</f>
        <v>10.700000000000001</v>
      </c>
      <c r="Z63" s="19">
        <v>0.33</v>
      </c>
      <c r="AA63" s="19"/>
      <c r="AB63" s="19"/>
      <c r="AC63" s="19"/>
      <c r="AD63" s="19"/>
      <c r="AE63" s="19"/>
      <c r="AF63" s="19"/>
      <c r="AG63" s="19"/>
      <c r="AH63" s="19"/>
      <c r="AI63" s="19"/>
      <c r="AJ63" s="19"/>
      <c r="AK63" s="19"/>
      <c r="AL63" s="19"/>
      <c r="AM63" s="19"/>
      <c r="AN63" s="19"/>
      <c r="AO63" s="19"/>
      <c r="AP63" s="19"/>
      <c r="AQ63" s="19"/>
      <c r="AR63" s="19"/>
      <c r="AS63" s="19"/>
      <c r="AT63" s="21"/>
      <c r="AU63" s="21"/>
      <c r="AV63" s="21"/>
      <c r="AW63" s="21"/>
      <c r="AX63" s="21"/>
      <c r="AY63" s="21"/>
      <c r="AZ63" s="21"/>
      <c r="BA63" s="21"/>
      <c r="BB63" s="21"/>
      <c r="BC63" s="21"/>
      <c r="BD63" s="21"/>
      <c r="BE63" s="21"/>
      <c r="BF63" s="21"/>
      <c r="BG63" s="23"/>
      <c r="BH63" s="25"/>
      <c r="BI63" s="25">
        <f>568/1000</f>
        <v>0.56799999999999995</v>
      </c>
      <c r="BJ63" s="25"/>
      <c r="BK63" s="25"/>
      <c r="BL63" s="25"/>
      <c r="BM63" s="25"/>
      <c r="BN63" s="25"/>
      <c r="BO63" s="25"/>
      <c r="BP63" s="27"/>
      <c r="BQ63" s="27"/>
      <c r="BR63" s="25"/>
      <c r="BS63" s="27"/>
      <c r="BT63" s="1">
        <f t="shared" si="6"/>
        <v>1.4420837154651303</v>
      </c>
      <c r="BU63" s="1">
        <f t="shared" si="2"/>
        <v>0</v>
      </c>
      <c r="BV63" s="1">
        <f t="shared" si="3"/>
        <v>0.22719999999999999</v>
      </c>
      <c r="BW63" s="1">
        <v>0.59699999999999998</v>
      </c>
      <c r="BX63" s="1">
        <f t="shared" si="7"/>
        <v>5.1805599999999998</v>
      </c>
      <c r="BY63" s="19">
        <f>2227/1546</f>
        <v>1.4404915912031049</v>
      </c>
      <c r="BZ63" s="1">
        <f t="shared" si="1"/>
        <v>-0.74438734805078199</v>
      </c>
      <c r="CA63" s="1">
        <f t="shared" si="5"/>
        <v>-4.3407707158101001</v>
      </c>
    </row>
    <row r="64" spans="1:79" ht="119" hidden="1" x14ac:dyDescent="0.2">
      <c r="A64" s="3">
        <v>62</v>
      </c>
      <c r="B64" s="2" t="s">
        <v>186</v>
      </c>
      <c r="C64" s="3" t="s">
        <v>158</v>
      </c>
      <c r="D64" s="5" t="s">
        <v>112</v>
      </c>
      <c r="E64" s="2" t="s">
        <v>187</v>
      </c>
      <c r="F64" s="47" t="s">
        <v>77</v>
      </c>
      <c r="G64" s="47" t="s">
        <v>77</v>
      </c>
      <c r="H64" s="47" t="s">
        <v>77</v>
      </c>
      <c r="I64" s="49" t="s">
        <v>2</v>
      </c>
      <c r="J64" s="49" t="s">
        <v>2</v>
      </c>
      <c r="K64" s="47" t="s">
        <v>0</v>
      </c>
      <c r="L64" s="47" t="s">
        <v>0</v>
      </c>
      <c r="M64" s="47">
        <v>1</v>
      </c>
      <c r="N64" s="49" t="s">
        <v>2</v>
      </c>
      <c r="O64" s="19">
        <v>1.38</v>
      </c>
      <c r="P64" s="19"/>
      <c r="Q64" s="19">
        <v>1.99</v>
      </c>
      <c r="R64" s="19"/>
      <c r="S64" s="19"/>
      <c r="T64" s="19"/>
      <c r="U64" s="19"/>
      <c r="V64" s="19"/>
      <c r="W64" s="19"/>
      <c r="X64" s="19"/>
      <c r="Y64" s="19">
        <v>11.7</v>
      </c>
      <c r="Z64" s="19">
        <v>0.16900000000000001</v>
      </c>
      <c r="AA64" s="19"/>
      <c r="AB64" s="19"/>
      <c r="AC64" s="19"/>
      <c r="AD64" s="19"/>
      <c r="AE64" s="19">
        <v>4.5999999999999996</v>
      </c>
      <c r="AF64" s="19"/>
      <c r="AG64" s="19"/>
      <c r="AH64" s="19"/>
      <c r="AI64" s="19"/>
      <c r="AJ64" s="19"/>
      <c r="AK64" s="19"/>
      <c r="AL64" s="19"/>
      <c r="AM64" s="19"/>
      <c r="AN64" s="19"/>
      <c r="AO64" s="19"/>
      <c r="AP64" s="19"/>
      <c r="AQ64" s="19"/>
      <c r="AR64" s="19"/>
      <c r="AS64" s="19"/>
      <c r="AT64" s="21"/>
      <c r="AU64" s="21"/>
      <c r="AV64" s="21"/>
      <c r="AW64" s="21"/>
      <c r="AX64" s="24"/>
      <c r="AY64" s="21"/>
      <c r="AZ64" s="21"/>
      <c r="BA64" s="21"/>
      <c r="BB64" s="21"/>
      <c r="BC64" s="21"/>
      <c r="BD64" s="24"/>
      <c r="BE64" s="24"/>
      <c r="BF64" s="24"/>
      <c r="BG64" s="23"/>
      <c r="BH64" s="25"/>
      <c r="BI64" s="25">
        <f>0.003+0.765</f>
        <v>0.76800000000000002</v>
      </c>
      <c r="BJ64" s="25"/>
      <c r="BK64" s="27"/>
      <c r="BL64" s="27"/>
      <c r="BM64" s="27"/>
      <c r="BN64" s="27"/>
      <c r="BO64" s="27"/>
      <c r="BP64" s="27"/>
      <c r="BQ64" s="27"/>
      <c r="BR64" s="25"/>
      <c r="BS64" s="27"/>
      <c r="BT64" s="1">
        <f t="shared" si="6"/>
        <v>1.486729</v>
      </c>
      <c r="BU64" s="1">
        <f t="shared" si="2"/>
        <v>0</v>
      </c>
      <c r="BV64" s="1">
        <f t="shared" si="3"/>
        <v>0.30720000000000003</v>
      </c>
      <c r="BW64" s="1">
        <v>0.59699999999999998</v>
      </c>
      <c r="BX64" s="1">
        <f t="shared" si="7"/>
        <v>0</v>
      </c>
      <c r="BY64" s="19">
        <v>1.38</v>
      </c>
      <c r="BZ64" s="1">
        <f t="shared" si="1"/>
        <v>-0.86733985507246381</v>
      </c>
      <c r="CA64" s="1">
        <f t="shared" si="5"/>
        <v>-0.86733985507246381</v>
      </c>
    </row>
    <row r="65" spans="1:79" ht="51" hidden="1" x14ac:dyDescent="0.2">
      <c r="A65" s="3">
        <v>63</v>
      </c>
      <c r="B65" s="2" t="s">
        <v>186</v>
      </c>
      <c r="C65" s="3" t="s">
        <v>158</v>
      </c>
      <c r="D65" s="5" t="s">
        <v>79</v>
      </c>
      <c r="E65" s="45" t="s">
        <v>188</v>
      </c>
      <c r="F65" s="47" t="s">
        <v>0</v>
      </c>
      <c r="G65" s="47" t="s">
        <v>0</v>
      </c>
      <c r="H65" s="47" t="s">
        <v>1</v>
      </c>
      <c r="I65" s="49" t="s">
        <v>1</v>
      </c>
      <c r="J65" s="49" t="s">
        <v>1</v>
      </c>
      <c r="K65" s="47" t="s">
        <v>0</v>
      </c>
      <c r="L65" s="47" t="s">
        <v>0</v>
      </c>
      <c r="M65" s="47">
        <v>1</v>
      </c>
      <c r="N65" s="49" t="s">
        <v>2</v>
      </c>
      <c r="O65" s="19">
        <v>1.38</v>
      </c>
      <c r="P65" s="19"/>
      <c r="Q65" s="19">
        <v>3.13</v>
      </c>
      <c r="R65" s="19"/>
      <c r="S65" s="19"/>
      <c r="T65" s="19"/>
      <c r="U65" s="19"/>
      <c r="V65" s="19"/>
      <c r="W65" s="19"/>
      <c r="X65" s="19"/>
      <c r="Y65" s="19"/>
      <c r="Z65" s="19">
        <f>25.7+24.8</f>
        <v>50.5</v>
      </c>
      <c r="AA65" s="19"/>
      <c r="AB65" s="19"/>
      <c r="AC65" s="19"/>
      <c r="AD65" s="19"/>
      <c r="AE65" s="19">
        <v>13729</v>
      </c>
      <c r="AF65" s="19"/>
      <c r="AG65" s="19"/>
      <c r="AH65" s="19"/>
      <c r="AI65" s="19"/>
      <c r="AJ65" s="19"/>
      <c r="AK65" s="19"/>
      <c r="AL65" s="19"/>
      <c r="AM65" s="19"/>
      <c r="AN65" s="19"/>
      <c r="AO65" s="19"/>
      <c r="AP65" s="19"/>
      <c r="AQ65" s="19"/>
      <c r="AR65" s="19"/>
      <c r="AS65" s="19"/>
      <c r="AT65" s="21">
        <v>0.223</v>
      </c>
      <c r="AU65" s="21">
        <v>3.28</v>
      </c>
      <c r="AV65" s="21"/>
      <c r="AW65" s="21"/>
      <c r="AX65" s="21"/>
      <c r="AY65" s="21"/>
      <c r="AZ65" s="21"/>
      <c r="BA65" s="21"/>
      <c r="BB65" s="21"/>
      <c r="BC65" s="21"/>
      <c r="BD65" s="21"/>
      <c r="BE65" s="21"/>
      <c r="BF65" s="21"/>
      <c r="BG65" s="23"/>
      <c r="BH65" s="25"/>
      <c r="BI65" s="25">
        <v>3.0000000000000001E-3</v>
      </c>
      <c r="BJ65" s="25"/>
      <c r="BK65" s="25"/>
      <c r="BL65" s="25"/>
      <c r="BM65" s="25"/>
      <c r="BN65" s="25"/>
      <c r="BO65" s="25"/>
      <c r="BP65" s="27"/>
      <c r="BQ65" s="27"/>
      <c r="BR65" s="25"/>
      <c r="BS65" s="27"/>
      <c r="BT65" s="1">
        <f t="shared" si="6"/>
        <v>1616.9068030000001</v>
      </c>
      <c r="BU65" s="1">
        <f t="shared" si="2"/>
        <v>4.58432</v>
      </c>
      <c r="BV65" s="1">
        <f t="shared" si="3"/>
        <v>1.2000000000000001E-3</v>
      </c>
      <c r="BW65" s="1">
        <v>0.59699999999999998</v>
      </c>
      <c r="BX65" s="1">
        <f t="shared" si="7"/>
        <v>0</v>
      </c>
      <c r="BY65" s="19">
        <v>1.38</v>
      </c>
      <c r="BZ65" s="1">
        <f t="shared" si="1"/>
        <v>-1167.9178862318843</v>
      </c>
      <c r="CA65" s="1">
        <f t="shared" si="5"/>
        <v>-1167.9178862318843</v>
      </c>
    </row>
    <row r="66" spans="1:79" ht="136" hidden="1" x14ac:dyDescent="0.2">
      <c r="A66" s="3">
        <v>64</v>
      </c>
      <c r="B66" s="2" t="s">
        <v>141</v>
      </c>
      <c r="C66" s="3" t="s">
        <v>158</v>
      </c>
      <c r="D66" s="5" t="s">
        <v>112</v>
      </c>
      <c r="E66" s="35" t="s">
        <v>189</v>
      </c>
      <c r="F66" s="3" t="s">
        <v>77</v>
      </c>
      <c r="G66" s="3" t="s">
        <v>0</v>
      </c>
      <c r="H66" s="3" t="s">
        <v>77</v>
      </c>
      <c r="I66" s="3">
        <v>1</v>
      </c>
      <c r="J66" s="3">
        <v>50</v>
      </c>
      <c r="K66" s="3" t="s">
        <v>0</v>
      </c>
      <c r="L66" s="3" t="s">
        <v>77</v>
      </c>
      <c r="M66" s="3">
        <v>1</v>
      </c>
      <c r="N66" s="3">
        <v>50</v>
      </c>
      <c r="O66" s="19">
        <v>1.4359999999999999</v>
      </c>
      <c r="P66" s="19">
        <v>0.19700000000000001</v>
      </c>
      <c r="Q66" s="19"/>
      <c r="R66" s="19"/>
      <c r="S66" s="19"/>
      <c r="T66" s="19"/>
      <c r="U66" s="19"/>
      <c r="V66" s="19"/>
      <c r="W66" s="19"/>
      <c r="X66" s="19"/>
      <c r="Y66" s="19"/>
      <c r="Z66" s="19">
        <v>1.34</v>
      </c>
      <c r="AA66" s="19"/>
      <c r="AB66" s="19"/>
      <c r="AC66" s="19"/>
      <c r="AD66" s="19"/>
      <c r="AE66" s="19"/>
      <c r="AF66" s="19"/>
      <c r="AG66" s="19"/>
      <c r="AH66" s="19"/>
      <c r="AI66" s="19"/>
      <c r="AJ66" s="19"/>
      <c r="AK66" s="19"/>
      <c r="AL66" s="19"/>
      <c r="AM66" s="19"/>
      <c r="AN66" s="19"/>
      <c r="AO66" s="19"/>
      <c r="AP66" s="19"/>
      <c r="AQ66" s="19"/>
      <c r="AR66" s="19"/>
      <c r="AS66" s="19"/>
      <c r="AT66" s="21"/>
      <c r="AU66" s="21"/>
      <c r="AV66" s="21"/>
      <c r="AW66" s="21"/>
      <c r="AX66" s="21"/>
      <c r="AY66" s="21"/>
      <c r="AZ66" s="21"/>
      <c r="BA66" s="21"/>
      <c r="BB66" s="21"/>
      <c r="BC66" s="21"/>
      <c r="BD66" s="21"/>
      <c r="BE66" s="21"/>
      <c r="BF66" s="21"/>
      <c r="BG66" s="23"/>
      <c r="BH66" s="25">
        <v>6.2E-2</v>
      </c>
      <c r="BI66" s="25"/>
      <c r="BJ66" s="25"/>
      <c r="BK66" s="25"/>
      <c r="BL66" s="25"/>
      <c r="BM66" s="25"/>
      <c r="BN66" s="25"/>
      <c r="BO66" s="25"/>
      <c r="BP66" s="27"/>
      <c r="BQ66" s="27"/>
      <c r="BR66" s="25"/>
      <c r="BS66" s="27"/>
      <c r="BT66" s="1">
        <f t="shared" si="6"/>
        <v>1.4104300000000001</v>
      </c>
      <c r="BU66" s="1">
        <f t="shared" si="2"/>
        <v>0</v>
      </c>
      <c r="BV66" s="1">
        <f t="shared" si="3"/>
        <v>6.2E-2</v>
      </c>
      <c r="BW66" s="1">
        <v>0.59699999999999998</v>
      </c>
      <c r="BX66" s="1">
        <f t="shared" si="7"/>
        <v>5.0274399999999995</v>
      </c>
      <c r="BY66" s="19">
        <v>1.4359999999999999</v>
      </c>
      <c r="BZ66" s="1">
        <f t="shared" si="1"/>
        <v>-0.60963091922005586</v>
      </c>
      <c r="CA66" s="1">
        <f t="shared" si="5"/>
        <v>-4.1106337047353758</v>
      </c>
    </row>
    <row r="67" spans="1:79" ht="119" hidden="1" x14ac:dyDescent="0.2">
      <c r="A67" s="3">
        <v>65</v>
      </c>
      <c r="B67" s="2" t="s">
        <v>141</v>
      </c>
      <c r="C67" s="3" t="s">
        <v>158</v>
      </c>
      <c r="D67" s="5" t="s">
        <v>112</v>
      </c>
      <c r="E67" s="35" t="s">
        <v>190</v>
      </c>
      <c r="F67" s="3" t="s">
        <v>77</v>
      </c>
      <c r="G67" s="3" t="s">
        <v>0</v>
      </c>
      <c r="H67" s="3" t="s">
        <v>77</v>
      </c>
      <c r="I67" s="3">
        <v>1</v>
      </c>
      <c r="J67" s="3">
        <v>78</v>
      </c>
      <c r="K67" s="3" t="s">
        <v>0</v>
      </c>
      <c r="L67" s="3" t="s">
        <v>77</v>
      </c>
      <c r="M67" s="3">
        <v>1</v>
      </c>
      <c r="N67" s="3">
        <v>78</v>
      </c>
      <c r="O67" s="19">
        <v>1.484</v>
      </c>
      <c r="P67" s="19">
        <v>0.20399999999999999</v>
      </c>
      <c r="Q67" s="19"/>
      <c r="R67" s="19"/>
      <c r="S67" s="19"/>
      <c r="T67" s="19"/>
      <c r="U67" s="19"/>
      <c r="V67" s="19"/>
      <c r="W67" s="19"/>
      <c r="X67" s="19"/>
      <c r="Y67" s="19"/>
      <c r="Z67" s="19">
        <v>0.69</v>
      </c>
      <c r="AA67" s="19"/>
      <c r="AB67" s="19"/>
      <c r="AC67" s="19"/>
      <c r="AD67" s="19"/>
      <c r="AE67" s="19"/>
      <c r="AF67" s="19"/>
      <c r="AG67" s="19"/>
      <c r="AH67" s="19"/>
      <c r="AI67" s="19"/>
      <c r="AJ67" s="19"/>
      <c r="AK67" s="19"/>
      <c r="AL67" s="19"/>
      <c r="AM67" s="19"/>
      <c r="AN67" s="19"/>
      <c r="AO67" s="19"/>
      <c r="AP67" s="19"/>
      <c r="AQ67" s="19"/>
      <c r="AR67" s="19"/>
      <c r="AS67" s="19"/>
      <c r="AT67" s="21"/>
      <c r="AU67" s="21"/>
      <c r="AV67" s="21"/>
      <c r="AW67" s="21"/>
      <c r="AX67" s="21"/>
      <c r="AY67" s="21"/>
      <c r="AZ67" s="21"/>
      <c r="BA67" s="21"/>
      <c r="BB67" s="21"/>
      <c r="BC67" s="21"/>
      <c r="BD67" s="21"/>
      <c r="BE67" s="21"/>
      <c r="BF67" s="21"/>
      <c r="BG67" s="23"/>
      <c r="BH67" s="25"/>
      <c r="BI67" s="25"/>
      <c r="BJ67" s="25"/>
      <c r="BK67" s="25"/>
      <c r="BL67" s="25"/>
      <c r="BM67" s="25"/>
      <c r="BN67" s="25"/>
      <c r="BO67" s="25"/>
      <c r="BP67" s="27"/>
      <c r="BQ67" s="27"/>
      <c r="BR67" s="25"/>
      <c r="BS67" s="27"/>
      <c r="BT67" s="1">
        <f t="shared" si="6"/>
        <v>1.1317000000000002</v>
      </c>
      <c r="BU67" s="1">
        <f t="shared" si="2"/>
        <v>0</v>
      </c>
      <c r="BV67" s="1">
        <f t="shared" si="3"/>
        <v>0</v>
      </c>
      <c r="BW67" s="1">
        <v>0.59699999999999998</v>
      </c>
      <c r="BX67" s="1">
        <f t="shared" si="7"/>
        <v>5.2060799999999992</v>
      </c>
      <c r="BY67" s="19">
        <v>1.484</v>
      </c>
      <c r="BZ67" s="1">
        <f t="shared" ref="BZ67:BZ70" si="12">(BW67+BU67-BT67-BV67)/BY67</f>
        <v>-0.36030997304582224</v>
      </c>
      <c r="CA67" s="1">
        <f t="shared" si="5"/>
        <v>-3.8684501347708888</v>
      </c>
    </row>
    <row r="68" spans="1:79" ht="119" hidden="1" x14ac:dyDescent="0.2">
      <c r="A68" s="3">
        <v>66</v>
      </c>
      <c r="B68" s="2" t="s">
        <v>141</v>
      </c>
      <c r="C68" s="3" t="s">
        <v>158</v>
      </c>
      <c r="D68" s="5" t="s">
        <v>112</v>
      </c>
      <c r="E68" s="35" t="s">
        <v>191</v>
      </c>
      <c r="F68" s="3" t="s">
        <v>77</v>
      </c>
      <c r="G68" s="3" t="s">
        <v>0</v>
      </c>
      <c r="H68" s="3" t="s">
        <v>77</v>
      </c>
      <c r="I68" s="3">
        <v>1</v>
      </c>
      <c r="J68" s="3">
        <v>50</v>
      </c>
      <c r="K68" s="3" t="s">
        <v>0</v>
      </c>
      <c r="L68" s="3" t="s">
        <v>77</v>
      </c>
      <c r="M68" s="3">
        <v>1</v>
      </c>
      <c r="N68" s="3">
        <v>50</v>
      </c>
      <c r="O68" s="19">
        <v>1.3759999999999999</v>
      </c>
      <c r="P68" s="19">
        <v>0.189</v>
      </c>
      <c r="Q68" s="19"/>
      <c r="R68" s="19"/>
      <c r="S68" s="19"/>
      <c r="T68" s="19"/>
      <c r="U68" s="19"/>
      <c r="V68" s="19"/>
      <c r="W68" s="19"/>
      <c r="X68" s="19"/>
      <c r="Y68" s="19"/>
      <c r="Z68" s="19">
        <v>0.67</v>
      </c>
      <c r="AA68" s="19"/>
      <c r="AB68" s="19"/>
      <c r="AC68" s="19"/>
      <c r="AD68" s="19"/>
      <c r="AE68" s="19"/>
      <c r="AF68" s="19"/>
      <c r="AG68" s="19">
        <v>0.37</v>
      </c>
      <c r="AH68" s="19"/>
      <c r="AI68" s="19"/>
      <c r="AJ68" s="19"/>
      <c r="AK68" s="19"/>
      <c r="AL68" s="19"/>
      <c r="AM68" s="19"/>
      <c r="AN68" s="19"/>
      <c r="AO68" s="19"/>
      <c r="AP68" s="19"/>
      <c r="AQ68" s="19"/>
      <c r="AR68" s="19"/>
      <c r="AS68" s="19"/>
      <c r="AT68" s="21"/>
      <c r="AU68" s="21"/>
      <c r="AV68" s="21"/>
      <c r="AW68" s="21"/>
      <c r="AX68" s="21"/>
      <c r="AY68" s="21"/>
      <c r="AZ68" s="21"/>
      <c r="BA68" s="21"/>
      <c r="BB68" s="21"/>
      <c r="BC68" s="21"/>
      <c r="BD68" s="21"/>
      <c r="BE68" s="21"/>
      <c r="BF68" s="21"/>
      <c r="BG68" s="23"/>
      <c r="BH68" s="25"/>
      <c r="BI68" s="25"/>
      <c r="BJ68" s="25"/>
      <c r="BK68" s="25"/>
      <c r="BL68" s="25"/>
      <c r="BM68" s="25"/>
      <c r="BN68" s="25"/>
      <c r="BO68" s="25"/>
      <c r="BP68" s="27"/>
      <c r="BQ68" s="27"/>
      <c r="BR68" s="25"/>
      <c r="BS68" s="27"/>
      <c r="BT68" s="1">
        <f t="shared" ref="BT68:BT71" si="13">SUMPRODUCT($O$2:$AS$2,O68:AS68)+(0.1*BY68)</f>
        <v>1.2178019999999998</v>
      </c>
      <c r="BU68" s="1">
        <f t="shared" ref="BU68:BU71" si="14">SUMPRODUCT($AT$2:$BG$2,AT68:BG68)</f>
        <v>0</v>
      </c>
      <c r="BV68" s="1">
        <f t="shared" ref="BV68:BV71" si="15">SUMPRODUCT($BH$2:$BS$2,BH68:BS68)</f>
        <v>0</v>
      </c>
      <c r="BW68" s="1">
        <v>0.59699999999999998</v>
      </c>
      <c r="BX68" s="1">
        <f t="shared" si="7"/>
        <v>4.8232799999999996</v>
      </c>
      <c r="BY68" s="19">
        <v>1.3759999999999999</v>
      </c>
      <c r="BZ68" s="1">
        <f t="shared" si="12"/>
        <v>-0.45116424418604645</v>
      </c>
      <c r="CA68" s="1">
        <f t="shared" ref="CA68:CA71" si="16">((BW68+BU68)-(BT68+BV68+BX68))/BY68</f>
        <v>-3.9564549418604655</v>
      </c>
    </row>
    <row r="69" spans="1:79" ht="187" hidden="1" x14ac:dyDescent="0.2">
      <c r="A69" s="3">
        <v>67</v>
      </c>
      <c r="B69" s="2" t="s">
        <v>102</v>
      </c>
      <c r="C69" s="3" t="s">
        <v>158</v>
      </c>
      <c r="D69" s="5" t="s">
        <v>112</v>
      </c>
      <c r="E69" s="35" t="s">
        <v>192</v>
      </c>
      <c r="F69" s="3" t="s">
        <v>77</v>
      </c>
      <c r="G69" s="3" t="s">
        <v>0</v>
      </c>
      <c r="H69" s="3" t="s">
        <v>77</v>
      </c>
      <c r="I69" s="3" t="s">
        <v>2</v>
      </c>
      <c r="J69" s="3">
        <v>50</v>
      </c>
      <c r="K69" s="3" t="s">
        <v>0</v>
      </c>
      <c r="L69" s="3" t="s">
        <v>77</v>
      </c>
      <c r="M69" s="3" t="s">
        <v>2</v>
      </c>
      <c r="N69" s="3">
        <v>50</v>
      </c>
      <c r="O69" s="19">
        <f>1/0.69</f>
        <v>1.4492753623188408</v>
      </c>
      <c r="P69" s="19">
        <f>0.136/0.69</f>
        <v>0.19710144927536236</v>
      </c>
      <c r="Q69" s="19"/>
      <c r="R69" s="19"/>
      <c r="S69" s="19"/>
      <c r="T69" s="19"/>
      <c r="U69" s="19"/>
      <c r="V69" s="19"/>
      <c r="W69" s="19"/>
      <c r="X69" s="19"/>
      <c r="Y69" s="19"/>
      <c r="Z69" s="19">
        <f>0.925/0.69</f>
        <v>1.3405797101449277</v>
      </c>
      <c r="AA69" s="19"/>
      <c r="AB69" s="19"/>
      <c r="AC69" s="19"/>
      <c r="AD69" s="19"/>
      <c r="AE69" s="19"/>
      <c r="AF69" s="19"/>
      <c r="AG69" s="19"/>
      <c r="AH69" s="19"/>
      <c r="AI69" s="19"/>
      <c r="AJ69" s="19"/>
      <c r="AK69" s="19"/>
      <c r="AL69" s="19"/>
      <c r="AM69" s="19"/>
      <c r="AN69" s="19"/>
      <c r="AO69" s="19"/>
      <c r="AP69" s="19"/>
      <c r="AQ69" s="19"/>
      <c r="AR69" s="19"/>
      <c r="AS69" s="19"/>
      <c r="AT69" s="21"/>
      <c r="AU69" s="21"/>
      <c r="AV69" s="21"/>
      <c r="AW69" s="21"/>
      <c r="AX69" s="21"/>
      <c r="AY69" s="21"/>
      <c r="AZ69" s="21"/>
      <c r="BA69" s="21"/>
      <c r="BB69" s="21"/>
      <c r="BC69" s="21"/>
      <c r="BD69" s="21"/>
      <c r="BE69" s="21"/>
      <c r="BF69" s="21"/>
      <c r="BG69" s="23"/>
      <c r="BH69" s="25">
        <f>0.032/0.69</f>
        <v>4.6376811594202906E-2</v>
      </c>
      <c r="BI69" s="25"/>
      <c r="BJ69" s="25"/>
      <c r="BK69" s="25"/>
      <c r="BL69" s="25"/>
      <c r="BM69" s="25"/>
      <c r="BN69" s="25"/>
      <c r="BO69" s="25"/>
      <c r="BP69" s="27"/>
      <c r="BQ69" s="27"/>
      <c r="BR69" s="25"/>
      <c r="BS69" s="27"/>
      <c r="BT69" s="1">
        <f t="shared" si="13"/>
        <v>1.4151159420289856</v>
      </c>
      <c r="BU69" s="1">
        <f t="shared" si="14"/>
        <v>0</v>
      </c>
      <c r="BV69" s="1">
        <f t="shared" si="15"/>
        <v>4.6376811594202906E-2</v>
      </c>
      <c r="BW69" s="1">
        <v>0.59699999999999998</v>
      </c>
      <c r="BX69" s="1">
        <f t="shared" si="7"/>
        <v>5.0300289855072462</v>
      </c>
      <c r="BY69" s="19">
        <f>1/0.69</f>
        <v>1.4492753623188408</v>
      </c>
      <c r="BZ69" s="1">
        <f t="shared" si="12"/>
        <v>-0.59650000000000003</v>
      </c>
      <c r="CA69" s="1">
        <f t="shared" si="16"/>
        <v>-4.0672199999999989</v>
      </c>
    </row>
    <row r="70" spans="1:79" ht="187" hidden="1" x14ac:dyDescent="0.2">
      <c r="A70" s="3">
        <v>68</v>
      </c>
      <c r="B70" s="6" t="s">
        <v>122</v>
      </c>
      <c r="C70" s="3" t="s">
        <v>158</v>
      </c>
      <c r="D70" s="5" t="s">
        <v>112</v>
      </c>
      <c r="E70" s="2" t="s">
        <v>193</v>
      </c>
      <c r="F70" s="3" t="s">
        <v>77</v>
      </c>
      <c r="G70" s="3" t="s">
        <v>77</v>
      </c>
      <c r="H70" s="3" t="s">
        <v>77</v>
      </c>
      <c r="I70" s="3" t="s">
        <v>2</v>
      </c>
      <c r="J70" s="3">
        <v>50</v>
      </c>
      <c r="K70" s="3" t="s">
        <v>77</v>
      </c>
      <c r="L70" s="3" t="s">
        <v>77</v>
      </c>
      <c r="M70" s="3" t="s">
        <v>2</v>
      </c>
      <c r="N70" s="3">
        <v>50</v>
      </c>
      <c r="O70" s="19">
        <v>1.38</v>
      </c>
      <c r="P70" s="19">
        <v>0.19</v>
      </c>
      <c r="Q70" s="19"/>
      <c r="R70" s="19"/>
      <c r="S70" s="19"/>
      <c r="T70" s="19"/>
      <c r="U70" s="19"/>
      <c r="V70" s="19">
        <f>(2280/1000)*O70</f>
        <v>3.1463999999999994</v>
      </c>
      <c r="W70" s="19"/>
      <c r="X70" s="19">
        <f>((695*0.277)/1000)*O70</f>
        <v>0.26567069999999998</v>
      </c>
      <c r="Y70" s="19">
        <f>(1*0.277/0.0052)*P70</f>
        <v>10.121153846153847</v>
      </c>
      <c r="Z70" s="19">
        <f>4.78*0.277</f>
        <v>1.3240600000000002</v>
      </c>
      <c r="AA70" s="19"/>
      <c r="AB70" s="19"/>
      <c r="AC70" s="19"/>
      <c r="AD70" s="19"/>
      <c r="AE70" s="19"/>
      <c r="AF70" s="19"/>
      <c r="AG70" s="19"/>
      <c r="AH70" s="19"/>
      <c r="AI70" s="19"/>
      <c r="AJ70" s="19"/>
      <c r="AK70" s="19"/>
      <c r="AL70" s="19"/>
      <c r="AM70" s="19"/>
      <c r="AN70" s="19"/>
      <c r="AO70" s="19"/>
      <c r="AP70" s="19"/>
      <c r="AQ70" s="19"/>
      <c r="AR70" s="19"/>
      <c r="AS70" s="19"/>
      <c r="AT70" s="21"/>
      <c r="AU70" s="21"/>
      <c r="AV70" s="21"/>
      <c r="AW70" s="21"/>
      <c r="AX70" s="21"/>
      <c r="AY70" s="21">
        <v>1.23</v>
      </c>
      <c r="AZ70" s="21"/>
      <c r="BA70" s="21"/>
      <c r="BB70" s="21"/>
      <c r="BC70" s="21"/>
      <c r="BD70" s="21"/>
      <c r="BE70" s="21"/>
      <c r="BF70" s="21"/>
      <c r="BG70" s="23"/>
      <c r="BH70" s="25"/>
      <c r="BI70" s="25">
        <v>0.56000000000000005</v>
      </c>
      <c r="BJ70" s="25"/>
      <c r="BK70" s="25"/>
      <c r="BL70" s="25"/>
      <c r="BM70" s="25"/>
      <c r="BN70" s="25"/>
      <c r="BO70" s="25"/>
      <c r="BP70" s="27"/>
      <c r="BQ70" s="27"/>
      <c r="BR70" s="25"/>
      <c r="BS70" s="27"/>
      <c r="BT70" s="1">
        <f t="shared" si="13"/>
        <v>1.7504008784076923</v>
      </c>
      <c r="BU70" s="1">
        <f t="shared" si="14"/>
        <v>0.14268</v>
      </c>
      <c r="BV70" s="1">
        <f t="shared" si="15"/>
        <v>0.22400000000000003</v>
      </c>
      <c r="BW70" s="1">
        <v>0.59699999999999998</v>
      </c>
      <c r="BX70" s="1">
        <f t="shared" si="7"/>
        <v>4.8487999999999989</v>
      </c>
      <c r="BY70" s="19">
        <v>1.38</v>
      </c>
      <c r="BZ70" s="1">
        <f t="shared" si="12"/>
        <v>-0.89472527420847281</v>
      </c>
      <c r="CA70" s="1">
        <f t="shared" si="16"/>
        <v>-4.4083484626142697</v>
      </c>
    </row>
    <row r="71" spans="1:79" ht="51" hidden="1" x14ac:dyDescent="0.2">
      <c r="A71" s="3">
        <v>69</v>
      </c>
      <c r="B71" s="8" t="s">
        <v>194</v>
      </c>
      <c r="C71" s="3" t="s">
        <v>158</v>
      </c>
      <c r="D71" s="5" t="s">
        <v>112</v>
      </c>
      <c r="E71" s="2" t="s">
        <v>195</v>
      </c>
      <c r="F71" s="3" t="s">
        <v>77</v>
      </c>
      <c r="G71" s="3" t="s">
        <v>0</v>
      </c>
      <c r="H71" s="3" t="s">
        <v>77</v>
      </c>
      <c r="I71" s="3" t="s">
        <v>2</v>
      </c>
      <c r="J71" s="3">
        <v>50</v>
      </c>
      <c r="K71" s="3" t="s">
        <v>0</v>
      </c>
      <c r="L71" s="3" t="s">
        <v>77</v>
      </c>
      <c r="M71" s="3" t="s">
        <v>2</v>
      </c>
      <c r="N71" s="3">
        <v>50</v>
      </c>
      <c r="O71" s="19">
        <f>1/0.69</f>
        <v>1.4492753623188408</v>
      </c>
      <c r="P71" s="19">
        <f>0.136/0.69</f>
        <v>0.19710144927536236</v>
      </c>
      <c r="Q71" s="19"/>
      <c r="R71" s="19"/>
      <c r="S71" s="19"/>
      <c r="T71" s="19"/>
      <c r="U71" s="19"/>
      <c r="V71" s="19"/>
      <c r="W71" s="19"/>
      <c r="X71" s="19"/>
      <c r="Y71" s="19"/>
      <c r="Z71" s="19">
        <f>0.925/0.69</f>
        <v>1.3405797101449277</v>
      </c>
      <c r="AA71" s="19"/>
      <c r="AB71" s="19"/>
      <c r="AC71" s="19"/>
      <c r="AD71" s="19"/>
      <c r="AE71" s="19"/>
      <c r="AF71" s="19"/>
      <c r="AG71" s="19"/>
      <c r="AH71" s="19"/>
      <c r="AI71" s="19"/>
      <c r="AJ71" s="19"/>
      <c r="AK71" s="19"/>
      <c r="AL71" s="19"/>
      <c r="AM71" s="19"/>
      <c r="AN71" s="19"/>
      <c r="AO71" s="19"/>
      <c r="AP71" s="19"/>
      <c r="AQ71" s="19"/>
      <c r="AR71" s="19"/>
      <c r="AS71" s="19"/>
      <c r="AT71" s="21"/>
      <c r="AU71" s="21"/>
      <c r="AV71" s="21"/>
      <c r="AW71" s="21"/>
      <c r="AX71" s="21"/>
      <c r="AY71" s="21"/>
      <c r="AZ71" s="21"/>
      <c r="BA71" s="21"/>
      <c r="BB71" s="21"/>
      <c r="BC71" s="21"/>
      <c r="BD71" s="21"/>
      <c r="BE71" s="21"/>
      <c r="BF71" s="21"/>
      <c r="BG71" s="23"/>
      <c r="BH71" s="25">
        <f>0.032/0.69</f>
        <v>4.6376811594202906E-2</v>
      </c>
      <c r="BI71" s="25"/>
      <c r="BJ71" s="25"/>
      <c r="BK71" s="25"/>
      <c r="BL71" s="25"/>
      <c r="BM71" s="25"/>
      <c r="BN71" s="25"/>
      <c r="BO71" s="25"/>
      <c r="BP71" s="27"/>
      <c r="BQ71" s="27"/>
      <c r="BR71" s="25"/>
      <c r="BS71" s="27"/>
      <c r="BT71" s="1">
        <f t="shared" si="13"/>
        <v>1.4151159420289856</v>
      </c>
      <c r="BU71" s="1">
        <f t="shared" si="14"/>
        <v>0</v>
      </c>
      <c r="BV71" s="1">
        <f t="shared" si="15"/>
        <v>4.6376811594202906E-2</v>
      </c>
      <c r="BW71" s="1">
        <v>0.59699999999999998</v>
      </c>
      <c r="BX71" s="1">
        <f t="shared" si="7"/>
        <v>5.0300289855072462</v>
      </c>
      <c r="BY71" s="19">
        <f>1/0.69</f>
        <v>1.4492753623188408</v>
      </c>
      <c r="BZ71" s="1">
        <f>(BW71+BU71-BT71-BV71)/BY71</f>
        <v>-0.59650000000000003</v>
      </c>
      <c r="CA71" s="1">
        <f t="shared" si="16"/>
        <v>-4.0672199999999989</v>
      </c>
    </row>
    <row r="72" spans="1:79" x14ac:dyDescent="0.2">
      <c r="A72" s="3"/>
      <c r="B72" s="4"/>
      <c r="C72" s="4"/>
      <c r="D72" s="4"/>
      <c r="E72" s="45"/>
      <c r="F72" s="45"/>
      <c r="G72" s="45"/>
      <c r="H72" s="45"/>
      <c r="I72" s="45"/>
      <c r="J72" s="45"/>
      <c r="K72" s="45"/>
      <c r="L72" s="45"/>
      <c r="M72" s="45"/>
      <c r="N72" s="45"/>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79" x14ac:dyDescent="0.2">
      <c r="A73" s="3"/>
      <c r="B73" s="4"/>
      <c r="C73" s="4"/>
      <c r="D73" s="4"/>
      <c r="E73" s="45"/>
      <c r="F73" s="45"/>
      <c r="G73" s="45"/>
      <c r="H73" s="45"/>
      <c r="I73" s="45"/>
      <c r="J73" s="45"/>
      <c r="K73" s="45"/>
      <c r="L73" s="45"/>
      <c r="M73" s="45"/>
      <c r="N73" s="45"/>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79" x14ac:dyDescent="0.2">
      <c r="A74" s="3"/>
      <c r="B74" s="4"/>
      <c r="C74" s="4"/>
      <c r="D74" s="4"/>
      <c r="E74" s="45"/>
      <c r="F74" s="45"/>
      <c r="G74" s="45"/>
      <c r="H74" s="45"/>
      <c r="I74" s="45"/>
      <c r="J74" s="45"/>
      <c r="K74" s="45"/>
      <c r="L74" s="45"/>
      <c r="M74" s="45"/>
      <c r="N74" s="45"/>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79" x14ac:dyDescent="0.2">
      <c r="A75" s="3"/>
      <c r="B75" s="4"/>
      <c r="C75" s="4"/>
      <c r="D75" s="4"/>
      <c r="E75" s="45"/>
      <c r="F75" s="45"/>
      <c r="G75" s="45"/>
      <c r="H75" s="45"/>
      <c r="I75" s="45"/>
      <c r="J75" s="45"/>
      <c r="K75" s="45"/>
      <c r="L75" s="45"/>
      <c r="M75" s="45"/>
      <c r="N75" s="45"/>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79" x14ac:dyDescent="0.2">
      <c r="A76" s="3"/>
      <c r="B76" s="4"/>
      <c r="C76" s="4"/>
      <c r="D76" s="4"/>
      <c r="E76" s="45"/>
      <c r="F76" s="45"/>
      <c r="G76" s="45"/>
      <c r="H76" s="45"/>
      <c r="I76" s="45"/>
      <c r="J76" s="45"/>
      <c r="K76" s="45"/>
      <c r="L76" s="45"/>
      <c r="M76" s="45"/>
      <c r="N76" s="45"/>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79" x14ac:dyDescent="0.2">
      <c r="A77" s="3"/>
      <c r="B77" s="4"/>
      <c r="C77" s="4"/>
      <c r="D77" s="4"/>
      <c r="E77" s="45"/>
      <c r="F77" s="45"/>
      <c r="G77" s="45"/>
      <c r="H77" s="45"/>
      <c r="I77" s="45"/>
      <c r="J77" s="45"/>
      <c r="K77" s="45"/>
      <c r="L77" s="45"/>
      <c r="M77" s="45"/>
      <c r="N77" s="45"/>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79" x14ac:dyDescent="0.2">
      <c r="A78" s="3"/>
      <c r="B78" s="4"/>
      <c r="C78" s="4"/>
      <c r="D78" s="4"/>
      <c r="E78" s="45"/>
      <c r="F78" s="45"/>
      <c r="G78" s="45"/>
      <c r="H78" s="45"/>
      <c r="I78" s="45"/>
      <c r="J78" s="45"/>
      <c r="K78" s="45"/>
      <c r="L78" s="45"/>
      <c r="M78" s="45"/>
      <c r="N78" s="45"/>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79" x14ac:dyDescent="0.2">
      <c r="A79" s="3"/>
      <c r="B79" s="4"/>
      <c r="C79" s="4"/>
      <c r="D79" s="4"/>
      <c r="E79" s="45"/>
      <c r="F79" s="45"/>
      <c r="G79" s="45"/>
      <c r="H79" s="45"/>
      <c r="I79" s="45"/>
      <c r="J79" s="45"/>
      <c r="K79" s="45"/>
      <c r="L79" s="45"/>
      <c r="M79" s="45"/>
      <c r="N79" s="45"/>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79" x14ac:dyDescent="0.2">
      <c r="A80" s="3"/>
      <c r="B80" s="4"/>
      <c r="C80" s="4"/>
      <c r="D80" s="4"/>
      <c r="E80" s="45"/>
      <c r="F80" s="45"/>
      <c r="G80" s="45"/>
      <c r="H80" s="45"/>
      <c r="I80" s="45"/>
      <c r="J80" s="45"/>
      <c r="K80" s="45"/>
      <c r="L80" s="45"/>
      <c r="M80" s="45"/>
      <c r="N80" s="45"/>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x14ac:dyDescent="0.2">
      <c r="A81" s="3"/>
      <c r="B81" s="4"/>
      <c r="C81" s="4"/>
      <c r="D81" s="4"/>
      <c r="E81" s="45"/>
      <c r="F81" s="45"/>
      <c r="G81" s="45"/>
      <c r="H81" s="45"/>
      <c r="I81" s="45"/>
      <c r="J81" s="45"/>
      <c r="K81" s="45"/>
      <c r="L81" s="45"/>
      <c r="M81" s="45"/>
      <c r="N81" s="45"/>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x14ac:dyDescent="0.2">
      <c r="A82" s="3"/>
      <c r="B82" s="4"/>
      <c r="C82" s="4"/>
      <c r="D82" s="4"/>
      <c r="E82" s="45"/>
      <c r="F82" s="45"/>
      <c r="G82" s="45"/>
      <c r="H82" s="45"/>
      <c r="I82" s="45"/>
      <c r="J82" s="45"/>
      <c r="K82" s="45"/>
      <c r="L82" s="45"/>
      <c r="M82" s="45"/>
      <c r="N82" s="45"/>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x14ac:dyDescent="0.2">
      <c r="A83" s="3"/>
      <c r="B83" s="4"/>
      <c r="C83" s="4"/>
      <c r="D83" s="4"/>
      <c r="E83" s="45"/>
      <c r="F83" s="45"/>
      <c r="G83" s="45"/>
      <c r="H83" s="45"/>
      <c r="I83" s="45"/>
      <c r="J83" s="45"/>
      <c r="K83" s="45"/>
      <c r="L83" s="45"/>
      <c r="M83" s="45"/>
      <c r="N83" s="45"/>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x14ac:dyDescent="0.2">
      <c r="A84" s="3"/>
      <c r="B84" s="4"/>
      <c r="C84" s="4"/>
      <c r="D84" s="4"/>
      <c r="E84" s="45"/>
      <c r="F84" s="45"/>
      <c r="G84" s="45"/>
      <c r="H84" s="45"/>
      <c r="I84" s="45"/>
      <c r="J84" s="45"/>
      <c r="K84" s="45"/>
      <c r="L84" s="45"/>
      <c r="M84" s="45"/>
      <c r="N84" s="45"/>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x14ac:dyDescent="0.2">
      <c r="A85" s="3"/>
      <c r="B85" s="4"/>
      <c r="C85" s="4"/>
      <c r="D85" s="4"/>
      <c r="E85" s="45"/>
      <c r="F85" s="45"/>
      <c r="G85" s="45"/>
      <c r="H85" s="45"/>
      <c r="I85" s="45"/>
      <c r="J85" s="45"/>
      <c r="K85" s="45"/>
      <c r="L85" s="45"/>
      <c r="M85" s="45"/>
      <c r="N85" s="45"/>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x14ac:dyDescent="0.2">
      <c r="A86" s="3"/>
      <c r="B86" s="4"/>
      <c r="C86" s="4"/>
      <c r="D86" s="4"/>
      <c r="E86" s="45"/>
      <c r="F86" s="45"/>
      <c r="G86" s="45"/>
      <c r="H86" s="45"/>
      <c r="I86" s="45"/>
      <c r="J86" s="45"/>
      <c r="K86" s="45"/>
      <c r="L86" s="45"/>
      <c r="M86" s="45"/>
      <c r="N86" s="45"/>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x14ac:dyDescent="0.2">
      <c r="A87" s="3"/>
      <c r="B87" s="4"/>
      <c r="C87" s="4"/>
      <c r="D87" s="4"/>
      <c r="E87" s="45"/>
      <c r="F87" s="45"/>
      <c r="G87" s="45"/>
      <c r="H87" s="45"/>
      <c r="I87" s="45"/>
      <c r="J87" s="45"/>
      <c r="K87" s="45"/>
      <c r="L87" s="45"/>
      <c r="M87" s="45"/>
      <c r="N87" s="45"/>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x14ac:dyDescent="0.2">
      <c r="A88" s="3"/>
      <c r="B88" s="4"/>
      <c r="C88" s="4"/>
      <c r="D88" s="4"/>
      <c r="E88" s="4"/>
      <c r="F88" s="4"/>
      <c r="G88" s="4"/>
      <c r="H88" s="4"/>
      <c r="I88" s="4"/>
      <c r="J88" s="4"/>
      <c r="K88" s="4"/>
      <c r="L88" s="4"/>
      <c r="M88" s="4"/>
      <c r="N88" s="4"/>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x14ac:dyDescent="0.2">
      <c r="A89" s="3"/>
      <c r="B89" s="4"/>
      <c r="C89" s="4"/>
      <c r="D89" s="4"/>
      <c r="E89" s="4"/>
      <c r="F89" s="4"/>
      <c r="G89" s="4"/>
      <c r="H89" s="4"/>
      <c r="I89" s="4"/>
      <c r="J89" s="4"/>
      <c r="K89" s="4"/>
      <c r="L89" s="4"/>
      <c r="M89" s="4"/>
      <c r="N89" s="4"/>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x14ac:dyDescent="0.2">
      <c r="A90" s="3"/>
      <c r="B90" s="4"/>
      <c r="C90" s="4"/>
      <c r="D90" s="4"/>
      <c r="E90" s="4"/>
      <c r="F90" s="4"/>
      <c r="G90" s="4"/>
      <c r="H90" s="4"/>
      <c r="I90" s="4"/>
      <c r="J90" s="4"/>
      <c r="K90" s="4"/>
      <c r="L90" s="4"/>
      <c r="M90" s="4"/>
      <c r="N90" s="4"/>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x14ac:dyDescent="0.2">
      <c r="A91" s="3"/>
      <c r="B91" s="4"/>
      <c r="C91" s="4"/>
      <c r="D91" s="4"/>
      <c r="E91" s="4"/>
      <c r="F91" s="4"/>
      <c r="G91" s="4"/>
      <c r="H91" s="4"/>
      <c r="I91" s="4"/>
      <c r="J91" s="4"/>
      <c r="K91" s="4"/>
      <c r="L91" s="4"/>
      <c r="M91" s="4"/>
      <c r="N91" s="4"/>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x14ac:dyDescent="0.2">
      <c r="A92" s="3"/>
      <c r="B92" s="4"/>
      <c r="C92" s="4"/>
      <c r="D92" s="4"/>
      <c r="E92" s="4"/>
      <c r="F92" s="4"/>
      <c r="G92" s="4"/>
      <c r="H92" s="4"/>
      <c r="I92" s="4"/>
      <c r="J92" s="4"/>
      <c r="K92" s="4"/>
      <c r="L92" s="4"/>
      <c r="M92" s="4"/>
      <c r="N92" s="4"/>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x14ac:dyDescent="0.2">
      <c r="A93" s="3"/>
      <c r="B93" s="4"/>
      <c r="C93" s="4"/>
      <c r="D93" s="4"/>
      <c r="E93" s="4"/>
      <c r="F93" s="4"/>
      <c r="G93" s="4"/>
      <c r="H93" s="4"/>
      <c r="I93" s="4"/>
      <c r="J93" s="4"/>
      <c r="K93" s="4"/>
      <c r="L93" s="4"/>
      <c r="M93" s="4"/>
      <c r="N93" s="4"/>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x14ac:dyDescent="0.2">
      <c r="A94" s="3"/>
      <c r="B94" s="4"/>
      <c r="C94" s="4"/>
      <c r="D94" s="4"/>
      <c r="E94" s="4"/>
      <c r="F94" s="4"/>
      <c r="G94" s="4"/>
      <c r="H94" s="4"/>
      <c r="I94" s="4"/>
      <c r="J94" s="4"/>
      <c r="K94" s="4"/>
      <c r="L94" s="4"/>
      <c r="M94" s="4"/>
      <c r="N94" s="4"/>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x14ac:dyDescent="0.2">
      <c r="A95" s="3"/>
      <c r="B95" s="4"/>
      <c r="C95" s="4"/>
      <c r="D95" s="4"/>
      <c r="E95" s="4"/>
      <c r="F95" s="4"/>
      <c r="G95" s="4"/>
      <c r="H95" s="4"/>
      <c r="I95" s="4"/>
      <c r="J95" s="4"/>
      <c r="K95" s="4"/>
      <c r="L95" s="4"/>
      <c r="M95" s="4"/>
      <c r="N95" s="4"/>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x14ac:dyDescent="0.2">
      <c r="A96" s="3"/>
      <c r="B96" s="4"/>
      <c r="C96" s="4"/>
      <c r="D96" s="4"/>
      <c r="E96" s="4"/>
      <c r="F96" s="4"/>
      <c r="G96" s="4"/>
      <c r="H96" s="4"/>
      <c r="I96" s="4"/>
      <c r="J96" s="4"/>
      <c r="K96" s="4"/>
      <c r="L96" s="4"/>
      <c r="M96" s="4"/>
      <c r="N96" s="4"/>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x14ac:dyDescent="0.2">
      <c r="A97" s="4"/>
      <c r="B97" s="4"/>
      <c r="C97" s="4"/>
      <c r="D97" s="4"/>
      <c r="E97" s="4"/>
      <c r="F97" s="4"/>
      <c r="G97" s="4"/>
      <c r="H97" s="4"/>
      <c r="I97" s="4"/>
      <c r="J97" s="4"/>
      <c r="K97" s="4"/>
      <c r="L97" s="4"/>
      <c r="M97" s="4"/>
      <c r="N97" s="4"/>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x14ac:dyDescent="0.2">
      <c r="A98" s="4"/>
      <c r="B98" s="4"/>
      <c r="C98" s="4"/>
      <c r="D98" s="4"/>
      <c r="E98" s="4"/>
      <c r="F98" s="4"/>
      <c r="G98" s="4"/>
      <c r="H98" s="4"/>
      <c r="I98" s="4"/>
      <c r="J98" s="4"/>
      <c r="K98" s="4"/>
      <c r="L98" s="4"/>
      <c r="M98" s="4"/>
      <c r="N98" s="4"/>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x14ac:dyDescent="0.2">
      <c r="A99" s="4"/>
      <c r="B99" s="4"/>
      <c r="C99" s="4"/>
      <c r="D99" s="4"/>
      <c r="E99" s="4"/>
      <c r="F99" s="4"/>
      <c r="G99" s="4"/>
      <c r="H99" s="4"/>
      <c r="I99" s="4"/>
      <c r="J99" s="4"/>
      <c r="K99" s="4"/>
      <c r="L99" s="4"/>
      <c r="M99" s="4"/>
      <c r="N99" s="4"/>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x14ac:dyDescent="0.2">
      <c r="A100" s="4"/>
      <c r="B100" s="4"/>
      <c r="C100" s="4"/>
      <c r="D100" s="4"/>
      <c r="E100" s="4"/>
      <c r="F100" s="4"/>
      <c r="G100" s="4"/>
      <c r="H100" s="4"/>
      <c r="I100" s="4"/>
      <c r="J100" s="4"/>
      <c r="K100" s="4"/>
      <c r="L100" s="4"/>
      <c r="M100" s="4"/>
      <c r="N100" s="4"/>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x14ac:dyDescent="0.2">
      <c r="A101" s="4"/>
      <c r="B101" s="4"/>
      <c r="C101" s="4"/>
      <c r="D101" s="4"/>
      <c r="E101" s="4"/>
      <c r="F101" s="4"/>
      <c r="G101" s="4"/>
      <c r="H101" s="4"/>
      <c r="I101" s="4"/>
      <c r="J101" s="4"/>
      <c r="K101" s="4"/>
      <c r="L101" s="4"/>
      <c r="M101" s="4"/>
      <c r="N101" s="4"/>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x14ac:dyDescent="0.2">
      <c r="A102" s="4"/>
      <c r="B102" s="4"/>
      <c r="C102" s="4"/>
      <c r="D102" s="4"/>
      <c r="E102" s="4"/>
      <c r="F102" s="4"/>
      <c r="G102" s="4"/>
      <c r="H102" s="4"/>
      <c r="I102" s="4"/>
      <c r="J102" s="4"/>
      <c r="K102" s="4"/>
      <c r="L102" s="4"/>
      <c r="M102" s="4"/>
      <c r="N102" s="4"/>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x14ac:dyDescent="0.2">
      <c r="A103" s="4"/>
      <c r="B103" s="4"/>
      <c r="C103" s="4"/>
      <c r="D103" s="4"/>
      <c r="E103" s="4"/>
      <c r="F103" s="4"/>
      <c r="G103" s="4"/>
      <c r="H103" s="4"/>
      <c r="I103" s="4"/>
      <c r="J103" s="4"/>
      <c r="K103" s="4"/>
      <c r="L103" s="4"/>
      <c r="M103" s="4"/>
      <c r="N103" s="4"/>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x14ac:dyDescent="0.2">
      <c r="A104" s="4"/>
      <c r="B104" s="4"/>
      <c r="C104" s="4"/>
      <c r="D104" s="4"/>
      <c r="E104" s="4"/>
      <c r="F104" s="4"/>
      <c r="G104" s="4"/>
      <c r="H104" s="4"/>
      <c r="I104" s="4"/>
      <c r="J104" s="4"/>
      <c r="K104" s="4"/>
      <c r="L104" s="4"/>
      <c r="M104" s="4"/>
      <c r="N104" s="4"/>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x14ac:dyDescent="0.2">
      <c r="A105" s="4"/>
      <c r="B105" s="4"/>
      <c r="C105" s="4"/>
      <c r="D105" s="4"/>
      <c r="E105" s="4"/>
      <c r="F105" s="4"/>
      <c r="G105" s="4"/>
      <c r="H105" s="4"/>
      <c r="I105" s="4"/>
      <c r="J105" s="4"/>
      <c r="K105" s="4"/>
      <c r="L105" s="4"/>
      <c r="M105" s="4"/>
      <c r="N105" s="4"/>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x14ac:dyDescent="0.2">
      <c r="A106" s="4"/>
      <c r="B106" s="4"/>
      <c r="C106" s="4"/>
      <c r="D106" s="4"/>
      <c r="E106" s="4"/>
      <c r="F106" s="4"/>
      <c r="G106" s="4"/>
      <c r="H106" s="4"/>
      <c r="I106" s="4"/>
      <c r="J106" s="4"/>
      <c r="K106" s="4"/>
      <c r="L106" s="4"/>
      <c r="M106" s="4"/>
      <c r="N106" s="4"/>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x14ac:dyDescent="0.2">
      <c r="A107" s="4"/>
      <c r="B107" s="4"/>
      <c r="C107" s="4"/>
      <c r="D107" s="4"/>
      <c r="E107" s="4"/>
      <c r="F107" s="4"/>
      <c r="G107" s="4"/>
      <c r="H107" s="4"/>
      <c r="I107" s="4"/>
      <c r="J107" s="4"/>
      <c r="K107" s="4"/>
      <c r="L107" s="4"/>
      <c r="M107" s="4"/>
      <c r="N107" s="4"/>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x14ac:dyDescent="0.2">
      <c r="A108" s="4"/>
      <c r="B108" s="4"/>
      <c r="C108" s="4"/>
      <c r="D108" s="4"/>
      <c r="E108" s="4"/>
      <c r="F108" s="4"/>
      <c r="G108" s="4"/>
      <c r="H108" s="4"/>
      <c r="I108" s="4"/>
      <c r="J108" s="4"/>
      <c r="K108" s="4"/>
      <c r="L108" s="4"/>
      <c r="M108" s="4"/>
      <c r="N108" s="4"/>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x14ac:dyDescent="0.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x14ac:dyDescent="0.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x14ac:dyDescent="0.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x14ac:dyDescent="0.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5:67" x14ac:dyDescent="0.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5:67" x14ac:dyDescent="0.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5:67" x14ac:dyDescent="0.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5:67" x14ac:dyDescent="0.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row r="117" spans="15:67" x14ac:dyDescent="0.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row>
  </sheetData>
  <autoFilter ref="A1:CA71" xr:uid="{6534C465-DEFA-C04C-A848-057D7372881F}">
    <filterColumn colId="2">
      <filters blank="1">
        <filter val="Formic Acid"/>
      </filters>
    </filterColumn>
    <filterColumn colId="3">
      <filters blank="1">
        <filter val="Electrolytic reduction of CO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9701-F6E8-804A-8EFD-09EC2BEDA16C}">
  <sheetPr filterMode="1"/>
  <dimension ref="A1:BS116"/>
  <sheetViews>
    <sheetView zoomScale="66" workbookViewId="0">
      <pane xSplit="5" ySplit="1" topLeftCell="F48" activePane="bottomRight" state="frozen"/>
      <selection pane="topRight" activeCell="F1" sqref="F1"/>
      <selection pane="bottomLeft" activeCell="A2" sqref="A2"/>
      <selection pane="bottomRight" activeCell="C1" sqref="C1"/>
    </sheetView>
  </sheetViews>
  <sheetFormatPr baseColWidth="10" defaultRowHeight="16" x14ac:dyDescent="0.2"/>
  <cols>
    <col min="2" max="2" width="73.5" customWidth="1"/>
    <col min="4" max="4" width="17" customWidth="1"/>
    <col min="5" max="5" width="82.33203125" customWidth="1"/>
    <col min="6" max="6" width="14.33203125" customWidth="1"/>
    <col min="7" max="14" width="21" customWidth="1"/>
    <col min="15" max="15" width="15.5" customWidth="1"/>
    <col min="16" max="16" width="13.1640625" customWidth="1"/>
    <col min="17" max="25" width="12.83203125" customWidth="1"/>
    <col min="26" max="28" width="15.6640625" customWidth="1"/>
    <col min="29" max="29" width="11.6640625" bestFit="1" customWidth="1"/>
    <col min="30" max="30" width="11.6640625" customWidth="1"/>
    <col min="37" max="37" width="12.1640625" bestFit="1" customWidth="1"/>
    <col min="44" max="44" width="12.1640625" bestFit="1" customWidth="1"/>
    <col min="45" max="59" width="12.1640625" customWidth="1"/>
    <col min="60" max="62" width="19.33203125" customWidth="1"/>
    <col min="69" max="69" width="12.6640625" customWidth="1"/>
  </cols>
  <sheetData>
    <row r="1" spans="1:71" ht="85" x14ac:dyDescent="0.2">
      <c r="A1" s="9" t="s">
        <v>3</v>
      </c>
      <c r="B1" s="9" t="s">
        <v>4</v>
      </c>
      <c r="C1" s="9" t="s">
        <v>5</v>
      </c>
      <c r="D1" s="10" t="s">
        <v>6</v>
      </c>
      <c r="E1" s="9" t="s">
        <v>7</v>
      </c>
      <c r="F1" s="10" t="s">
        <v>8</v>
      </c>
      <c r="G1" s="10" t="s">
        <v>9</v>
      </c>
      <c r="H1" s="10" t="s">
        <v>10</v>
      </c>
      <c r="I1" s="10" t="s">
        <v>11</v>
      </c>
      <c r="J1" s="10" t="s">
        <v>12</v>
      </c>
      <c r="K1" s="10" t="s">
        <v>13</v>
      </c>
      <c r="L1" s="10" t="s">
        <v>14</v>
      </c>
      <c r="M1" s="10" t="s">
        <v>15</v>
      </c>
      <c r="N1" s="10" t="s">
        <v>16</v>
      </c>
      <c r="O1" s="11" t="s">
        <v>17</v>
      </c>
      <c r="P1" s="11" t="s">
        <v>18</v>
      </c>
      <c r="Q1" s="12" t="s">
        <v>19</v>
      </c>
      <c r="R1" s="12" t="s">
        <v>20</v>
      </c>
      <c r="S1" s="12" t="s">
        <v>21</v>
      </c>
      <c r="T1" s="12" t="s">
        <v>22</v>
      </c>
      <c r="U1" s="12" t="s">
        <v>23</v>
      </c>
      <c r="V1" s="12" t="s">
        <v>24</v>
      </c>
      <c r="W1" s="12" t="s">
        <v>25</v>
      </c>
      <c r="X1" s="12" t="s">
        <v>26</v>
      </c>
      <c r="Y1" s="12" t="s">
        <v>27</v>
      </c>
      <c r="Z1" s="12" t="s">
        <v>28</v>
      </c>
      <c r="AA1" s="12" t="s">
        <v>29</v>
      </c>
      <c r="AB1" s="12" t="s">
        <v>30</v>
      </c>
      <c r="AC1" s="12" t="s">
        <v>31</v>
      </c>
      <c r="AD1" s="12" t="s">
        <v>32</v>
      </c>
      <c r="AE1" s="12" t="s">
        <v>33</v>
      </c>
      <c r="AF1" s="12" t="s">
        <v>34</v>
      </c>
      <c r="AG1" s="12" t="s">
        <v>35</v>
      </c>
      <c r="AH1" s="12" t="s">
        <v>36</v>
      </c>
      <c r="AI1" s="12" t="s">
        <v>37</v>
      </c>
      <c r="AJ1" s="12" t="s">
        <v>38</v>
      </c>
      <c r="AK1" s="12" t="s">
        <v>39</v>
      </c>
      <c r="AL1" s="12" t="s">
        <v>40</v>
      </c>
      <c r="AM1" s="12" t="s">
        <v>41</v>
      </c>
      <c r="AN1" s="12" t="s">
        <v>42</v>
      </c>
      <c r="AO1" s="12" t="s">
        <v>43</v>
      </c>
      <c r="AP1" s="12" t="s">
        <v>44</v>
      </c>
      <c r="AQ1" s="12" t="s">
        <v>45</v>
      </c>
      <c r="AR1" s="12" t="s">
        <v>46</v>
      </c>
      <c r="AS1" s="13" t="s">
        <v>47</v>
      </c>
      <c r="AT1" s="14" t="s">
        <v>48</v>
      </c>
      <c r="AU1" s="14" t="s">
        <v>49</v>
      </c>
      <c r="AV1" s="14" t="s">
        <v>50</v>
      </c>
      <c r="AW1" s="14" t="s">
        <v>51</v>
      </c>
      <c r="AX1" s="14" t="s">
        <v>52</v>
      </c>
      <c r="AY1" s="14" t="s">
        <v>53</v>
      </c>
      <c r="AZ1" s="14" t="s">
        <v>54</v>
      </c>
      <c r="BA1" s="14" t="s">
        <v>55</v>
      </c>
      <c r="BB1" s="14" t="s">
        <v>56</v>
      </c>
      <c r="BC1" s="14" t="s">
        <v>57</v>
      </c>
      <c r="BD1" s="14" t="s">
        <v>58</v>
      </c>
      <c r="BE1" s="14" t="s">
        <v>59</v>
      </c>
      <c r="BF1" s="15" t="s">
        <v>60</v>
      </c>
      <c r="BG1" s="14" t="s">
        <v>198</v>
      </c>
      <c r="BH1" s="16" t="s">
        <v>199</v>
      </c>
      <c r="BI1" s="16" t="s">
        <v>200</v>
      </c>
      <c r="BJ1" s="16" t="s">
        <v>201</v>
      </c>
      <c r="BK1" s="17" t="s">
        <v>202</v>
      </c>
      <c r="BL1" s="16" t="s">
        <v>203</v>
      </c>
      <c r="BM1" s="16" t="s">
        <v>204</v>
      </c>
      <c r="BN1" s="16" t="s">
        <v>205</v>
      </c>
      <c r="BO1" s="16" t="s">
        <v>206</v>
      </c>
      <c r="BP1" s="18" t="s">
        <v>207</v>
      </c>
      <c r="BQ1" s="18" t="s">
        <v>208</v>
      </c>
      <c r="BR1" s="17" t="s">
        <v>209</v>
      </c>
      <c r="BS1" s="16" t="s">
        <v>210</v>
      </c>
    </row>
    <row r="2" spans="1:71" ht="199" hidden="1" customHeight="1" x14ac:dyDescent="0.2">
      <c r="A2" s="3">
        <v>1</v>
      </c>
      <c r="B2" s="2" t="s">
        <v>73</v>
      </c>
      <c r="C2" s="3" t="s">
        <v>74</v>
      </c>
      <c r="D2" s="5" t="s">
        <v>75</v>
      </c>
      <c r="E2" s="2" t="s">
        <v>76</v>
      </c>
      <c r="F2" s="3" t="s">
        <v>77</v>
      </c>
      <c r="G2" s="3" t="s">
        <v>0</v>
      </c>
      <c r="H2" s="3" t="s">
        <v>77</v>
      </c>
      <c r="I2" s="3">
        <v>2</v>
      </c>
      <c r="J2" s="3">
        <v>180</v>
      </c>
      <c r="K2" s="3" t="s">
        <v>77</v>
      </c>
      <c r="L2" s="3" t="s">
        <v>77</v>
      </c>
      <c r="M2" s="3">
        <v>44</v>
      </c>
      <c r="N2" s="3">
        <v>180</v>
      </c>
      <c r="O2" s="19">
        <v>0.97799999999999998</v>
      </c>
      <c r="P2" s="19">
        <v>4.4999999999999998E-2</v>
      </c>
      <c r="Q2" s="19"/>
      <c r="R2" s="19"/>
      <c r="S2" s="19"/>
      <c r="T2" s="19"/>
      <c r="U2" s="19"/>
      <c r="V2" s="19"/>
      <c r="W2" s="19">
        <v>0.1338</v>
      </c>
      <c r="X2" s="19">
        <v>1E-3</v>
      </c>
      <c r="Y2" s="19"/>
      <c r="Z2" s="19">
        <f>0.000178+0.0462+0.1585</f>
        <v>0.204878</v>
      </c>
      <c r="AA2" s="19"/>
      <c r="AB2" s="19"/>
      <c r="AC2" s="19">
        <f>0.02264+0.533+0.349</f>
        <v>0.90464</v>
      </c>
      <c r="AD2" s="19"/>
      <c r="AE2" s="19"/>
      <c r="AF2" s="19"/>
      <c r="AG2" s="19"/>
      <c r="AH2" s="19"/>
      <c r="AI2" s="19"/>
      <c r="AJ2" s="19"/>
      <c r="AK2" s="19"/>
      <c r="AL2" s="19"/>
      <c r="AM2" s="19"/>
      <c r="AN2" s="19">
        <v>0</v>
      </c>
      <c r="AO2" s="19">
        <v>0</v>
      </c>
      <c r="AP2" s="19">
        <v>0</v>
      </c>
      <c r="AQ2" s="19">
        <v>0</v>
      </c>
      <c r="AR2" s="19"/>
      <c r="AS2" s="19"/>
      <c r="AT2" s="21"/>
      <c r="AU2" s="22"/>
      <c r="AV2" s="20"/>
      <c r="AW2" s="20"/>
      <c r="AX2" s="20"/>
      <c r="AY2" s="20"/>
      <c r="AZ2" s="20"/>
      <c r="BA2" s="20"/>
      <c r="BB2" s="20"/>
      <c r="BC2" s="20"/>
      <c r="BD2" s="21">
        <v>0</v>
      </c>
      <c r="BE2" s="20"/>
      <c r="BF2" s="21"/>
      <c r="BG2" s="23"/>
      <c r="BH2" s="25">
        <v>2.1000000000000001E-2</v>
      </c>
      <c r="BI2" s="26"/>
      <c r="BJ2" s="26"/>
      <c r="BK2" s="25">
        <v>0</v>
      </c>
      <c r="BL2" s="25">
        <v>0</v>
      </c>
      <c r="BM2" s="25">
        <v>0</v>
      </c>
      <c r="BN2" s="25">
        <v>0</v>
      </c>
      <c r="BO2" s="25">
        <v>0</v>
      </c>
      <c r="BP2" s="27"/>
      <c r="BQ2" s="27"/>
      <c r="BR2" s="25"/>
      <c r="BS2" s="27"/>
    </row>
    <row r="3" spans="1:71" ht="85" hidden="1" x14ac:dyDescent="0.2">
      <c r="A3" s="3">
        <v>2</v>
      </c>
      <c r="B3" s="2" t="s">
        <v>78</v>
      </c>
      <c r="C3" s="3" t="s">
        <v>74</v>
      </c>
      <c r="D3" s="5" t="s">
        <v>79</v>
      </c>
      <c r="E3" s="2" t="s">
        <v>80</v>
      </c>
      <c r="F3" s="3" t="s">
        <v>0</v>
      </c>
      <c r="G3" s="3" t="s">
        <v>1</v>
      </c>
      <c r="H3" s="3" t="s">
        <v>1</v>
      </c>
      <c r="I3" s="3" t="s">
        <v>1</v>
      </c>
      <c r="J3" s="3" t="s">
        <v>1</v>
      </c>
      <c r="K3" s="3" t="s">
        <v>0</v>
      </c>
      <c r="L3" s="3" t="s">
        <v>0</v>
      </c>
      <c r="M3" s="3" t="s">
        <v>2</v>
      </c>
      <c r="N3" s="3" t="s">
        <v>2</v>
      </c>
      <c r="O3" s="19">
        <v>0.95699999999999996</v>
      </c>
      <c r="P3" s="19">
        <v>0</v>
      </c>
      <c r="Q3" s="19">
        <v>1.1200000000000001</v>
      </c>
      <c r="R3" s="19"/>
      <c r="S3" s="19"/>
      <c r="T3" s="19"/>
      <c r="U3" s="19"/>
      <c r="V3" s="19"/>
      <c r="W3" s="19"/>
      <c r="X3" s="19"/>
      <c r="Y3" s="19"/>
      <c r="Z3" s="19">
        <v>11.79</v>
      </c>
      <c r="AA3" s="19"/>
      <c r="AB3" s="19"/>
      <c r="AC3" s="19"/>
      <c r="AD3" s="19"/>
      <c r="AE3" s="19">
        <v>337.8</v>
      </c>
      <c r="AF3" s="19"/>
      <c r="AG3" s="19"/>
      <c r="AH3" s="19"/>
      <c r="AI3" s="19"/>
      <c r="AJ3" s="19"/>
      <c r="AK3" s="19"/>
      <c r="AL3" s="19"/>
      <c r="AM3" s="19"/>
      <c r="AN3" s="19">
        <v>0</v>
      </c>
      <c r="AO3" s="19">
        <v>0</v>
      </c>
      <c r="AP3" s="19">
        <v>0</v>
      </c>
      <c r="AQ3" s="19">
        <v>0</v>
      </c>
      <c r="AR3" s="19"/>
      <c r="AS3" s="19"/>
      <c r="AT3" s="21">
        <f>0.043</f>
        <v>4.2999999999999997E-2</v>
      </c>
      <c r="AU3" s="28">
        <f>0.696</f>
        <v>0.69599999999999995</v>
      </c>
      <c r="AV3" s="28"/>
      <c r="AW3" s="28"/>
      <c r="AX3" s="28"/>
      <c r="AY3" s="28"/>
      <c r="AZ3" s="28"/>
      <c r="BA3" s="28"/>
      <c r="BB3" s="28"/>
      <c r="BC3" s="28"/>
      <c r="BD3" s="21">
        <v>0</v>
      </c>
      <c r="BE3" s="20"/>
      <c r="BF3" s="21"/>
      <c r="BG3" s="23">
        <f>0.18</f>
        <v>0.18</v>
      </c>
      <c r="BH3" s="25"/>
      <c r="BI3" s="29">
        <f>0.0007</f>
        <v>6.9999999999999999E-4</v>
      </c>
      <c r="BJ3" s="29"/>
      <c r="BK3" s="25">
        <v>0</v>
      </c>
      <c r="BL3" s="25">
        <v>0</v>
      </c>
      <c r="BM3" s="25">
        <v>0</v>
      </c>
      <c r="BN3" s="25">
        <v>0</v>
      </c>
      <c r="BO3" s="25">
        <v>0</v>
      </c>
      <c r="BP3" s="27"/>
      <c r="BQ3" s="27"/>
      <c r="BR3" s="25"/>
      <c r="BS3" s="27"/>
    </row>
    <row r="4" spans="1:71" ht="85" hidden="1" x14ac:dyDescent="0.2">
      <c r="A4" s="3">
        <v>3</v>
      </c>
      <c r="B4" s="2" t="s">
        <v>78</v>
      </c>
      <c r="C4" s="3" t="s">
        <v>74</v>
      </c>
      <c r="D4" s="5" t="s">
        <v>79</v>
      </c>
      <c r="E4" s="2" t="s">
        <v>81</v>
      </c>
      <c r="F4" s="3" t="s">
        <v>0</v>
      </c>
      <c r="G4" s="3" t="s">
        <v>1</v>
      </c>
      <c r="H4" s="3" t="s">
        <v>1</v>
      </c>
      <c r="I4" s="3" t="s">
        <v>1</v>
      </c>
      <c r="J4" s="3" t="s">
        <v>1</v>
      </c>
      <c r="K4" s="3" t="s">
        <v>0</v>
      </c>
      <c r="L4" s="3" t="s">
        <v>0</v>
      </c>
      <c r="M4" s="3" t="s">
        <v>2</v>
      </c>
      <c r="N4" s="3" t="s">
        <v>2</v>
      </c>
      <c r="O4" s="19">
        <v>0.95699999999999996</v>
      </c>
      <c r="P4" s="19">
        <v>0</v>
      </c>
      <c r="Q4" s="19">
        <f>0.593</f>
        <v>0.59299999999999997</v>
      </c>
      <c r="R4" s="19"/>
      <c r="S4" s="19"/>
      <c r="T4" s="19"/>
      <c r="U4" s="19"/>
      <c r="V4" s="19"/>
      <c r="W4" s="19"/>
      <c r="X4" s="19"/>
      <c r="Y4" s="19"/>
      <c r="Z4" s="19">
        <v>4.63</v>
      </c>
      <c r="AA4" s="19"/>
      <c r="AB4" s="19"/>
      <c r="AC4" s="19"/>
      <c r="AD4" s="19"/>
      <c r="AE4" s="19">
        <v>62.2</v>
      </c>
      <c r="AF4" s="19"/>
      <c r="AG4" s="19"/>
      <c r="AH4" s="19"/>
      <c r="AI4" s="19"/>
      <c r="AJ4" s="19"/>
      <c r="AK4" s="19"/>
      <c r="AL4" s="19"/>
      <c r="AM4" s="19"/>
      <c r="AN4" s="19">
        <v>0</v>
      </c>
      <c r="AO4" s="19">
        <v>0</v>
      </c>
      <c r="AP4" s="19">
        <v>0</v>
      </c>
      <c r="AQ4" s="19">
        <v>0</v>
      </c>
      <c r="AR4" s="19"/>
      <c r="AS4" s="19"/>
      <c r="AT4" s="21">
        <f>0.003</f>
        <v>3.0000000000000001E-3</v>
      </c>
      <c r="AU4" s="28">
        <f>0.37</f>
        <v>0.37</v>
      </c>
      <c r="AV4" s="28"/>
      <c r="AW4" s="28"/>
      <c r="AX4" s="28"/>
      <c r="AY4" s="28"/>
      <c r="AZ4" s="28"/>
      <c r="BA4" s="28"/>
      <c r="BB4" s="28"/>
      <c r="BC4" s="28"/>
      <c r="BD4" s="21">
        <v>0</v>
      </c>
      <c r="BE4" s="20"/>
      <c r="BF4" s="21"/>
      <c r="BG4" s="23">
        <f>0.18</f>
        <v>0.18</v>
      </c>
      <c r="BH4" s="25"/>
      <c r="BI4" s="29">
        <f>0.0007</f>
        <v>6.9999999999999999E-4</v>
      </c>
      <c r="BJ4" s="29"/>
      <c r="BK4" s="25">
        <v>0</v>
      </c>
      <c r="BL4" s="25">
        <v>0</v>
      </c>
      <c r="BM4" s="25">
        <v>0</v>
      </c>
      <c r="BN4" s="25">
        <v>0</v>
      </c>
      <c r="BO4" s="25">
        <v>0</v>
      </c>
      <c r="BP4" s="27"/>
      <c r="BQ4" s="27"/>
      <c r="BR4" s="25"/>
      <c r="BS4" s="27"/>
    </row>
    <row r="5" spans="1:71" ht="68" hidden="1" x14ac:dyDescent="0.2">
      <c r="A5" s="3">
        <v>4</v>
      </c>
      <c r="B5" s="2" t="s">
        <v>78</v>
      </c>
      <c r="C5" s="3" t="s">
        <v>74</v>
      </c>
      <c r="D5" s="5" t="s">
        <v>79</v>
      </c>
      <c r="E5" s="2" t="s">
        <v>82</v>
      </c>
      <c r="F5" s="3" t="s">
        <v>0</v>
      </c>
      <c r="G5" s="3" t="s">
        <v>1</v>
      </c>
      <c r="H5" s="3" t="s">
        <v>1</v>
      </c>
      <c r="I5" s="3" t="s">
        <v>1</v>
      </c>
      <c r="J5" s="3" t="s">
        <v>1</v>
      </c>
      <c r="K5" s="3" t="s">
        <v>0</v>
      </c>
      <c r="L5" s="3" t="s">
        <v>0</v>
      </c>
      <c r="M5" s="3" t="s">
        <v>2</v>
      </c>
      <c r="N5" s="3" t="s">
        <v>2</v>
      </c>
      <c r="O5" s="19">
        <v>0.95699999999999996</v>
      </c>
      <c r="P5" s="19">
        <v>0</v>
      </c>
      <c r="Q5" s="19">
        <f>0.576</f>
        <v>0.57599999999999996</v>
      </c>
      <c r="R5" s="19"/>
      <c r="S5" s="19"/>
      <c r="T5" s="19"/>
      <c r="U5" s="19"/>
      <c r="V5" s="19"/>
      <c r="W5" s="19"/>
      <c r="X5" s="19"/>
      <c r="Y5" s="19"/>
      <c r="Z5" s="19">
        <v>3.1</v>
      </c>
      <c r="AA5" s="19"/>
      <c r="AB5" s="19"/>
      <c r="AC5" s="19"/>
      <c r="AD5" s="19"/>
      <c r="AE5" s="19">
        <v>14.9</v>
      </c>
      <c r="AF5" s="19"/>
      <c r="AG5" s="19"/>
      <c r="AH5" s="19"/>
      <c r="AI5" s="19"/>
      <c r="AJ5" s="19"/>
      <c r="AK5" s="19"/>
      <c r="AL5" s="19"/>
      <c r="AM5" s="19"/>
      <c r="AN5" s="19">
        <v>0</v>
      </c>
      <c r="AO5" s="19">
        <v>0</v>
      </c>
      <c r="AP5" s="19">
        <v>0</v>
      </c>
      <c r="AQ5" s="19">
        <v>0</v>
      </c>
      <c r="AR5" s="19"/>
      <c r="AS5" s="19"/>
      <c r="AT5" s="21">
        <f>0.001</f>
        <v>1E-3</v>
      </c>
      <c r="AU5" s="28">
        <f>0.355</f>
        <v>0.35499999999999998</v>
      </c>
      <c r="AV5" s="28"/>
      <c r="AW5" s="28"/>
      <c r="AX5" s="28"/>
      <c r="AY5" s="28"/>
      <c r="AZ5" s="28"/>
      <c r="BA5" s="28"/>
      <c r="BB5" s="28"/>
      <c r="BC5" s="28"/>
      <c r="BD5" s="21">
        <v>0</v>
      </c>
      <c r="BE5" s="20"/>
      <c r="BF5" s="21"/>
      <c r="BG5" s="23">
        <f>0.18</f>
        <v>0.18</v>
      </c>
      <c r="BH5" s="25"/>
      <c r="BI5" s="29">
        <f>0.0007</f>
        <v>6.9999999999999999E-4</v>
      </c>
      <c r="BJ5" s="29"/>
      <c r="BK5" s="25">
        <v>0</v>
      </c>
      <c r="BL5" s="25">
        <v>0</v>
      </c>
      <c r="BM5" s="25">
        <v>0</v>
      </c>
      <c r="BN5" s="25">
        <v>0</v>
      </c>
      <c r="BO5" s="25">
        <v>0</v>
      </c>
      <c r="BP5" s="27"/>
      <c r="BQ5" s="27"/>
      <c r="BR5" s="25"/>
      <c r="BS5" s="27"/>
    </row>
    <row r="6" spans="1:71" ht="85" hidden="1" x14ac:dyDescent="0.2">
      <c r="A6" s="3">
        <v>5</v>
      </c>
      <c r="B6" s="2" t="s">
        <v>83</v>
      </c>
      <c r="C6" s="3" t="s">
        <v>74</v>
      </c>
      <c r="D6" s="5" t="s">
        <v>79</v>
      </c>
      <c r="E6" s="2" t="s">
        <v>84</v>
      </c>
      <c r="F6" s="3" t="s">
        <v>0</v>
      </c>
      <c r="G6" s="3" t="s">
        <v>1</v>
      </c>
      <c r="H6" s="3" t="s">
        <v>1</v>
      </c>
      <c r="I6" s="3" t="s">
        <v>1</v>
      </c>
      <c r="J6" s="3" t="s">
        <v>1</v>
      </c>
      <c r="K6" s="3" t="s">
        <v>0</v>
      </c>
      <c r="L6" s="3" t="s">
        <v>0</v>
      </c>
      <c r="M6" s="3" t="s">
        <v>2</v>
      </c>
      <c r="N6" s="3" t="s">
        <v>2</v>
      </c>
      <c r="O6" s="30">
        <f>0.978/1.02</f>
        <v>0.95882352941176463</v>
      </c>
      <c r="P6" s="30"/>
      <c r="Q6" s="30">
        <f>(0.198+0.504)/1.02</f>
        <v>0.68823529411764706</v>
      </c>
      <c r="R6" s="30">
        <f>105/1.02</f>
        <v>102.94117647058823</v>
      </c>
      <c r="S6" s="30"/>
      <c r="T6" s="30"/>
      <c r="U6" s="30"/>
      <c r="V6" s="30"/>
      <c r="W6" s="30"/>
      <c r="X6" s="30"/>
      <c r="Y6" s="30"/>
      <c r="Z6" s="30">
        <f>(8.89+0.003+0.032+0.044+0.037)/1.02</f>
        <v>8.8294117647058847</v>
      </c>
      <c r="AA6" s="30"/>
      <c r="AB6" s="30"/>
      <c r="AC6" s="31">
        <v>9.5049019607843146</v>
      </c>
      <c r="AD6" s="31"/>
      <c r="AE6" s="30"/>
      <c r="AF6" s="30"/>
      <c r="AG6" s="30"/>
      <c r="AH6" s="30"/>
      <c r="AI6" s="30"/>
      <c r="AJ6" s="30"/>
      <c r="AK6" s="30"/>
      <c r="AL6" s="30"/>
      <c r="AM6" s="30"/>
      <c r="AN6" s="19">
        <v>0</v>
      </c>
      <c r="AO6" s="19">
        <v>0</v>
      </c>
      <c r="AP6" s="19">
        <v>0</v>
      </c>
      <c r="AQ6" s="19">
        <v>0</v>
      </c>
      <c r="AR6" s="19"/>
      <c r="AS6" s="19"/>
      <c r="AT6" s="32">
        <f>0.009/1.02</f>
        <v>8.8235294117647058E-3</v>
      </c>
      <c r="AU6" s="32">
        <f>0.448/1.02</f>
        <v>0.4392156862745098</v>
      </c>
      <c r="AV6" s="21"/>
      <c r="AW6" s="21"/>
      <c r="AX6" s="21"/>
      <c r="AY6" s="21"/>
      <c r="AZ6" s="21"/>
      <c r="BA6" s="21"/>
      <c r="BB6" s="21"/>
      <c r="BC6" s="21"/>
      <c r="BD6" s="21">
        <v>0</v>
      </c>
      <c r="BE6" s="20"/>
      <c r="BF6" s="21"/>
      <c r="BG6" s="23"/>
      <c r="BH6" s="33"/>
      <c r="BI6" s="25"/>
      <c r="BJ6" s="25"/>
      <c r="BK6" s="25">
        <v>0</v>
      </c>
      <c r="BL6" s="25">
        <v>0</v>
      </c>
      <c r="BM6" s="25">
        <v>0</v>
      </c>
      <c r="BN6" s="25">
        <v>0</v>
      </c>
      <c r="BO6" s="25">
        <v>0</v>
      </c>
      <c r="BP6" s="27"/>
      <c r="BQ6" s="27"/>
      <c r="BR6" s="25"/>
      <c r="BS6" s="27"/>
    </row>
    <row r="7" spans="1:71" ht="85" hidden="1" x14ac:dyDescent="0.2">
      <c r="A7" s="3">
        <v>6</v>
      </c>
      <c r="B7" s="2" t="s">
        <v>83</v>
      </c>
      <c r="C7" s="3" t="s">
        <v>74</v>
      </c>
      <c r="D7" s="5" t="s">
        <v>79</v>
      </c>
      <c r="E7" s="2" t="s">
        <v>85</v>
      </c>
      <c r="F7" s="3" t="s">
        <v>0</v>
      </c>
      <c r="G7" s="3" t="s">
        <v>1</v>
      </c>
      <c r="H7" s="3" t="s">
        <v>1</v>
      </c>
      <c r="I7" s="3" t="s">
        <v>1</v>
      </c>
      <c r="J7" s="3" t="s">
        <v>1</v>
      </c>
      <c r="K7" s="3" t="s">
        <v>0</v>
      </c>
      <c r="L7" s="3" t="s">
        <v>0</v>
      </c>
      <c r="M7" s="3" t="s">
        <v>2</v>
      </c>
      <c r="N7" s="3" t="s">
        <v>2</v>
      </c>
      <c r="O7" s="30">
        <f>1.73/0.158</f>
        <v>10.949367088607595</v>
      </c>
      <c r="P7" s="19"/>
      <c r="Q7" s="30">
        <f>(0.384+0.355)/0.158</f>
        <v>4.6772151898734178</v>
      </c>
      <c r="R7" s="30">
        <f>362/0.158</f>
        <v>2291.1392405063293</v>
      </c>
      <c r="S7" s="30">
        <f>1.575/0.158</f>
        <v>9.9683544303797458</v>
      </c>
      <c r="T7" s="30"/>
      <c r="U7" s="30"/>
      <c r="V7" s="30"/>
      <c r="W7" s="30"/>
      <c r="X7" s="30"/>
      <c r="Y7" s="30"/>
      <c r="Z7" s="30">
        <f>(6.36+0.005+0.048+0.031+0.027)/0.158</f>
        <v>40.955696202531648</v>
      </c>
      <c r="AA7" s="30"/>
      <c r="AB7" s="30"/>
      <c r="AC7" s="30">
        <v>212.13291139240508</v>
      </c>
      <c r="AD7" s="30"/>
      <c r="AE7" s="30"/>
      <c r="AF7" s="30"/>
      <c r="AG7" s="30"/>
      <c r="AH7" s="30"/>
      <c r="AI7" s="30"/>
      <c r="AJ7" s="30"/>
      <c r="AK7" s="30"/>
      <c r="AL7" s="30"/>
      <c r="AM7" s="30"/>
      <c r="AN7" s="19">
        <v>0</v>
      </c>
      <c r="AO7" s="19">
        <v>0</v>
      </c>
      <c r="AP7" s="19">
        <v>0</v>
      </c>
      <c r="AQ7" s="19">
        <v>0</v>
      </c>
      <c r="AR7" s="19"/>
      <c r="AS7" s="19"/>
      <c r="AT7" s="32">
        <f>0.007/0.158</f>
        <v>4.4303797468354431E-2</v>
      </c>
      <c r="AU7" s="32">
        <f>0.316/0.158</f>
        <v>2</v>
      </c>
      <c r="AV7" s="32"/>
      <c r="AW7" s="32"/>
      <c r="AX7" s="32"/>
      <c r="AY7" s="32"/>
      <c r="AZ7" s="32"/>
      <c r="BA7" s="32">
        <f>1.28/0.158</f>
        <v>8.1012658227848107</v>
      </c>
      <c r="BB7" s="32"/>
      <c r="BC7" s="32"/>
      <c r="BD7" s="21">
        <v>0</v>
      </c>
      <c r="BE7" s="20"/>
      <c r="BF7" s="21"/>
      <c r="BG7" s="23"/>
      <c r="BH7" s="33"/>
      <c r="BI7" s="33"/>
      <c r="BJ7" s="33"/>
      <c r="BK7" s="25">
        <v>0</v>
      </c>
      <c r="BL7" s="25">
        <v>0</v>
      </c>
      <c r="BM7" s="25">
        <v>0</v>
      </c>
      <c r="BN7" s="25">
        <v>0</v>
      </c>
      <c r="BO7" s="25">
        <v>0</v>
      </c>
      <c r="BP7" s="27"/>
      <c r="BQ7" s="27"/>
      <c r="BR7" s="25"/>
      <c r="BS7" s="27"/>
    </row>
    <row r="8" spans="1:71" ht="85" hidden="1" x14ac:dyDescent="0.2">
      <c r="A8" s="3">
        <v>7</v>
      </c>
      <c r="B8" s="2" t="s">
        <v>83</v>
      </c>
      <c r="C8" s="3" t="s">
        <v>74</v>
      </c>
      <c r="D8" s="5" t="s">
        <v>79</v>
      </c>
      <c r="E8" s="2" t="s">
        <v>86</v>
      </c>
      <c r="F8" s="3" t="s">
        <v>0</v>
      </c>
      <c r="G8" s="3" t="s">
        <v>1</v>
      </c>
      <c r="H8" s="3" t="s">
        <v>1</v>
      </c>
      <c r="I8" s="3" t="s">
        <v>1</v>
      </c>
      <c r="J8" s="3" t="s">
        <v>1</v>
      </c>
      <c r="K8" s="3" t="s">
        <v>0</v>
      </c>
      <c r="L8" s="3" t="s">
        <v>0</v>
      </c>
      <c r="M8" s="3" t="s">
        <v>2</v>
      </c>
      <c r="N8" s="3" t="s">
        <v>2</v>
      </c>
      <c r="O8" s="30">
        <f>293/1.02</f>
        <v>287.25490196078431</v>
      </c>
      <c r="P8" s="30"/>
      <c r="Q8" s="30">
        <f>(71.9+0.517)/1.02</f>
        <v>70.997058823529414</v>
      </c>
      <c r="R8" s="30">
        <f>15461/1.02</f>
        <v>15157.843137254902</v>
      </c>
      <c r="S8" s="30">
        <f>1.86/1.02</f>
        <v>1.8235294117647058</v>
      </c>
      <c r="T8" s="30">
        <f>1.697/1.02</f>
        <v>1.6637254901960785</v>
      </c>
      <c r="U8" s="30"/>
      <c r="V8" s="30"/>
      <c r="W8" s="30"/>
      <c r="X8" s="30"/>
      <c r="Y8" s="30"/>
      <c r="Z8" s="30">
        <f>(5.33+1.46+8.71+0.045+0.978)/1.02</f>
        <v>16.199019607843137</v>
      </c>
      <c r="AA8" s="30"/>
      <c r="AB8" s="30"/>
      <c r="AC8" s="30">
        <v>1403.7382352941177</v>
      </c>
      <c r="AD8" s="30"/>
      <c r="AE8" s="30"/>
      <c r="AF8" s="30"/>
      <c r="AG8" s="30"/>
      <c r="AH8" s="30"/>
      <c r="AI8" s="30"/>
      <c r="AJ8" s="30"/>
      <c r="AK8" s="30"/>
      <c r="AL8" s="30"/>
      <c r="AM8" s="30"/>
      <c r="AN8" s="19">
        <v>0</v>
      </c>
      <c r="AO8" s="19">
        <v>0</v>
      </c>
      <c r="AP8" s="19">
        <v>0</v>
      </c>
      <c r="AQ8" s="19">
        <v>0</v>
      </c>
      <c r="AR8" s="19"/>
      <c r="AS8" s="19"/>
      <c r="AT8" s="32">
        <f>0.008/1.02</f>
        <v>7.8431372549019607E-3</v>
      </c>
      <c r="AU8" s="32">
        <f>0.46/1.02</f>
        <v>0.45098039215686275</v>
      </c>
      <c r="AV8" s="32"/>
      <c r="AW8" s="32"/>
      <c r="AX8" s="32"/>
      <c r="AY8" s="32"/>
      <c r="AZ8" s="32"/>
      <c r="BA8" s="32"/>
      <c r="BB8" s="32">
        <f>2.47/1.02</f>
        <v>2.4215686274509807</v>
      </c>
      <c r="BC8" s="32"/>
      <c r="BD8" s="21">
        <v>0</v>
      </c>
      <c r="BE8" s="20"/>
      <c r="BF8" s="21"/>
      <c r="BG8" s="23"/>
      <c r="BH8" s="33"/>
      <c r="BI8" s="33"/>
      <c r="BJ8" s="33"/>
      <c r="BK8" s="25">
        <v>0</v>
      </c>
      <c r="BL8" s="25">
        <v>0</v>
      </c>
      <c r="BM8" s="25">
        <v>0</v>
      </c>
      <c r="BN8" s="25">
        <v>0</v>
      </c>
      <c r="BO8" s="25">
        <v>0</v>
      </c>
      <c r="BP8" s="27"/>
      <c r="BQ8" s="27"/>
      <c r="BR8" s="25"/>
      <c r="BS8" s="27"/>
    </row>
    <row r="9" spans="1:71" ht="85" hidden="1" x14ac:dyDescent="0.2">
      <c r="A9" s="3">
        <v>8</v>
      </c>
      <c r="B9" s="2" t="s">
        <v>83</v>
      </c>
      <c r="C9" s="3" t="s">
        <v>74</v>
      </c>
      <c r="D9" s="5" t="s">
        <v>79</v>
      </c>
      <c r="E9" s="2" t="s">
        <v>87</v>
      </c>
      <c r="F9" s="3" t="s">
        <v>0</v>
      </c>
      <c r="G9" s="3" t="s">
        <v>1</v>
      </c>
      <c r="H9" s="3" t="s">
        <v>1</v>
      </c>
      <c r="I9" s="3" t="s">
        <v>1</v>
      </c>
      <c r="J9" s="3" t="s">
        <v>1</v>
      </c>
      <c r="K9" s="3" t="s">
        <v>0</v>
      </c>
      <c r="L9" s="3" t="s">
        <v>0</v>
      </c>
      <c r="M9" s="3" t="s">
        <v>2</v>
      </c>
      <c r="N9" s="3" t="s">
        <v>2</v>
      </c>
      <c r="O9" s="30">
        <f>293/1.02</f>
        <v>287.25490196078431</v>
      </c>
      <c r="P9" s="19"/>
      <c r="Q9" s="30">
        <f>(71.9+0.517)/1.02</f>
        <v>70.997058823529414</v>
      </c>
      <c r="R9" s="30">
        <f>15461/1.02</f>
        <v>15157.843137254902</v>
      </c>
      <c r="S9" s="19"/>
      <c r="T9" s="34">
        <f>0.002/1.02</f>
        <v>1.9607843137254902E-3</v>
      </c>
      <c r="U9" s="34">
        <f>0.002/1.02</f>
        <v>1.9607843137254902E-3</v>
      </c>
      <c r="V9" s="34"/>
      <c r="W9" s="34"/>
      <c r="X9" s="30"/>
      <c r="Y9" s="34"/>
      <c r="Z9" s="19">
        <f>(7.09+1.46+8.71+0.045+1.3)/1.02</f>
        <v>18.240196078431374</v>
      </c>
      <c r="AA9" s="19"/>
      <c r="AB9" s="19"/>
      <c r="AC9" s="19">
        <v>1403.7382352941177</v>
      </c>
      <c r="AD9" s="19"/>
      <c r="AE9" s="30"/>
      <c r="AF9" s="30"/>
      <c r="AG9" s="30"/>
      <c r="AH9" s="30"/>
      <c r="AI9" s="30"/>
      <c r="AJ9" s="30"/>
      <c r="AK9" s="30"/>
      <c r="AL9" s="30"/>
      <c r="AM9" s="30"/>
      <c r="AN9" s="19">
        <v>0</v>
      </c>
      <c r="AO9" s="19">
        <v>0</v>
      </c>
      <c r="AP9" s="19">
        <v>0</v>
      </c>
      <c r="AQ9" s="19">
        <v>0</v>
      </c>
      <c r="AR9" s="19"/>
      <c r="AS9" s="19"/>
      <c r="AT9" s="32">
        <f>0.008/1.02</f>
        <v>7.8431372549019607E-3</v>
      </c>
      <c r="AU9" s="32">
        <f>0.46/1.02</f>
        <v>0.45098039215686275</v>
      </c>
      <c r="AV9" s="21"/>
      <c r="AW9" s="21"/>
      <c r="AX9" s="21"/>
      <c r="AY9" s="21"/>
      <c r="AZ9" s="21"/>
      <c r="BA9" s="21"/>
      <c r="BB9" s="21"/>
      <c r="BC9" s="21">
        <f>0.002/1.02</f>
        <v>1.9607843137254902E-3</v>
      </c>
      <c r="BD9" s="21">
        <v>0</v>
      </c>
      <c r="BE9" s="20"/>
      <c r="BF9" s="21"/>
      <c r="BG9" s="23"/>
      <c r="BH9" s="25"/>
      <c r="BI9" s="25"/>
      <c r="BJ9" s="25"/>
      <c r="BK9" s="25">
        <v>0</v>
      </c>
      <c r="BL9" s="25">
        <v>0</v>
      </c>
      <c r="BM9" s="25">
        <v>0</v>
      </c>
      <c r="BN9" s="25">
        <v>0</v>
      </c>
      <c r="BO9" s="25">
        <v>0</v>
      </c>
      <c r="BP9" s="27"/>
      <c r="BQ9" s="27"/>
      <c r="BR9" s="25"/>
      <c r="BS9" s="27"/>
    </row>
    <row r="10" spans="1:71" ht="68" hidden="1" x14ac:dyDescent="0.2">
      <c r="A10" s="3">
        <v>9</v>
      </c>
      <c r="B10" s="2" t="s">
        <v>88</v>
      </c>
      <c r="C10" s="3" t="s">
        <v>74</v>
      </c>
      <c r="D10" s="5" t="s">
        <v>79</v>
      </c>
      <c r="E10" s="2" t="s">
        <v>89</v>
      </c>
      <c r="F10" s="3" t="s">
        <v>0</v>
      </c>
      <c r="G10" s="3" t="s">
        <v>1</v>
      </c>
      <c r="H10" s="3" t="s">
        <v>1</v>
      </c>
      <c r="I10" s="3" t="s">
        <v>1</v>
      </c>
      <c r="J10" s="3" t="s">
        <v>1</v>
      </c>
      <c r="K10" s="3" t="s">
        <v>0</v>
      </c>
      <c r="L10" s="3" t="s">
        <v>0</v>
      </c>
      <c r="M10" s="3" t="s">
        <v>2</v>
      </c>
      <c r="N10" s="3" t="s">
        <v>2</v>
      </c>
      <c r="O10" s="19">
        <v>0.95</v>
      </c>
      <c r="P10" s="19"/>
      <c r="Q10" s="19">
        <v>1.1000000000000001</v>
      </c>
      <c r="R10" s="19"/>
      <c r="S10" s="19"/>
      <c r="T10" s="19"/>
      <c r="U10" s="19"/>
      <c r="V10" s="19"/>
      <c r="W10" s="19"/>
      <c r="X10" s="19"/>
      <c r="Y10" s="19"/>
      <c r="Z10" s="19">
        <f>11.8+0.0075+0.15</f>
        <v>11.957500000000001</v>
      </c>
      <c r="AA10" s="19"/>
      <c r="AB10" s="19"/>
      <c r="AC10" s="19"/>
      <c r="AD10" s="19"/>
      <c r="AE10" s="19">
        <v>401</v>
      </c>
      <c r="AF10" s="19"/>
      <c r="AG10" s="19"/>
      <c r="AH10" s="19"/>
      <c r="AI10" s="19"/>
      <c r="AJ10" s="19"/>
      <c r="AK10" s="19"/>
      <c r="AL10" s="19"/>
      <c r="AM10" s="19"/>
      <c r="AN10" s="19">
        <v>0</v>
      </c>
      <c r="AO10" s="19">
        <v>0</v>
      </c>
      <c r="AP10" s="19">
        <v>0</v>
      </c>
      <c r="AQ10" s="19">
        <v>0</v>
      </c>
      <c r="AR10" s="19"/>
      <c r="AS10" s="19"/>
      <c r="AT10" s="21">
        <v>5.8999999999999997E-2</v>
      </c>
      <c r="AU10" s="21">
        <v>0.82</v>
      </c>
      <c r="AV10" s="21"/>
      <c r="AW10" s="21"/>
      <c r="AX10" s="21"/>
      <c r="AY10" s="21"/>
      <c r="AZ10" s="21"/>
      <c r="BA10" s="21"/>
      <c r="BB10" s="21"/>
      <c r="BC10" s="21"/>
      <c r="BD10" s="21">
        <v>0</v>
      </c>
      <c r="BE10" s="20"/>
      <c r="BF10" s="21"/>
      <c r="BG10" s="23">
        <v>0.18</v>
      </c>
      <c r="BH10" s="25"/>
      <c r="BI10" s="25"/>
      <c r="BJ10" s="25"/>
      <c r="BK10" s="25">
        <v>0</v>
      </c>
      <c r="BL10" s="25">
        <v>0</v>
      </c>
      <c r="BM10" s="25">
        <v>0</v>
      </c>
      <c r="BN10" s="25">
        <v>0</v>
      </c>
      <c r="BO10" s="25">
        <v>0</v>
      </c>
      <c r="BP10" s="27"/>
      <c r="BQ10" s="27"/>
      <c r="BR10" s="25"/>
      <c r="BS10" s="27"/>
    </row>
    <row r="11" spans="1:71" ht="68" hidden="1" x14ac:dyDescent="0.2">
      <c r="A11" s="3">
        <v>10</v>
      </c>
      <c r="B11" s="2" t="s">
        <v>88</v>
      </c>
      <c r="C11" s="3" t="s">
        <v>74</v>
      </c>
      <c r="D11" s="5" t="s">
        <v>79</v>
      </c>
      <c r="E11" s="2" t="s">
        <v>90</v>
      </c>
      <c r="F11" s="3" t="s">
        <v>0</v>
      </c>
      <c r="G11" s="3" t="s">
        <v>1</v>
      </c>
      <c r="H11" s="3" t="s">
        <v>1</v>
      </c>
      <c r="I11" s="3" t="s">
        <v>1</v>
      </c>
      <c r="J11" s="3" t="s">
        <v>1</v>
      </c>
      <c r="K11" s="3" t="s">
        <v>0</v>
      </c>
      <c r="L11" s="3" t="s">
        <v>0</v>
      </c>
      <c r="M11" s="3" t="s">
        <v>2</v>
      </c>
      <c r="N11" s="3" t="s">
        <v>2</v>
      </c>
      <c r="O11" s="19">
        <v>0.96</v>
      </c>
      <c r="P11" s="19"/>
      <c r="Q11" s="19">
        <v>0.59</v>
      </c>
      <c r="R11" s="19"/>
      <c r="S11" s="19"/>
      <c r="T11" s="19"/>
      <c r="U11" s="19"/>
      <c r="V11" s="19"/>
      <c r="W11" s="19"/>
      <c r="X11" s="19"/>
      <c r="Y11" s="19"/>
      <c r="Z11" s="19">
        <f>4.59+0.00124+0.04</f>
        <v>4.63124</v>
      </c>
      <c r="AA11" s="19"/>
      <c r="AB11" s="19"/>
      <c r="AC11" s="19"/>
      <c r="AD11" s="19"/>
      <c r="AE11" s="19">
        <v>65.180000000000007</v>
      </c>
      <c r="AF11" s="19"/>
      <c r="AG11" s="19"/>
      <c r="AH11" s="19"/>
      <c r="AI11" s="19"/>
      <c r="AJ11" s="19"/>
      <c r="AK11" s="19"/>
      <c r="AL11" s="19"/>
      <c r="AM11" s="19"/>
      <c r="AN11" s="19">
        <v>0</v>
      </c>
      <c r="AO11" s="19">
        <v>0</v>
      </c>
      <c r="AP11" s="19">
        <v>0</v>
      </c>
      <c r="AQ11" s="19">
        <v>0</v>
      </c>
      <c r="AR11" s="19"/>
      <c r="AS11" s="19"/>
      <c r="AT11" s="21">
        <f>0.003</f>
        <v>3.0000000000000001E-3</v>
      </c>
      <c r="AU11" s="21">
        <v>0.37</v>
      </c>
      <c r="AV11" s="21"/>
      <c r="AW11" s="21"/>
      <c r="AX11" s="21"/>
      <c r="AY11" s="21"/>
      <c r="AZ11" s="21"/>
      <c r="BA11" s="21"/>
      <c r="BB11" s="21"/>
      <c r="BC11" s="21"/>
      <c r="BD11" s="21">
        <v>0</v>
      </c>
      <c r="BE11" s="20"/>
      <c r="BF11" s="21"/>
      <c r="BG11" s="23">
        <v>0.18</v>
      </c>
      <c r="BH11" s="25"/>
      <c r="BI11" s="25"/>
      <c r="BJ11" s="25"/>
      <c r="BK11" s="25">
        <v>0</v>
      </c>
      <c r="BL11" s="25">
        <v>0</v>
      </c>
      <c r="BM11" s="25">
        <v>0</v>
      </c>
      <c r="BN11" s="25">
        <v>0</v>
      </c>
      <c r="BO11" s="25">
        <v>0</v>
      </c>
      <c r="BP11" s="27"/>
      <c r="BQ11" s="27"/>
      <c r="BR11" s="25"/>
      <c r="BS11" s="27"/>
    </row>
    <row r="12" spans="1:71" ht="68" hidden="1" x14ac:dyDescent="0.2">
      <c r="A12" s="3">
        <v>11</v>
      </c>
      <c r="B12" s="2" t="s">
        <v>88</v>
      </c>
      <c r="C12" s="3" t="s">
        <v>74</v>
      </c>
      <c r="D12" s="5" t="s">
        <v>79</v>
      </c>
      <c r="E12" s="2" t="s">
        <v>91</v>
      </c>
      <c r="F12" s="3" t="s">
        <v>0</v>
      </c>
      <c r="G12" s="3" t="s">
        <v>1</v>
      </c>
      <c r="H12" s="3" t="s">
        <v>1</v>
      </c>
      <c r="I12" s="3" t="s">
        <v>1</v>
      </c>
      <c r="J12" s="3" t="s">
        <v>1</v>
      </c>
      <c r="K12" s="3" t="s">
        <v>0</v>
      </c>
      <c r="L12" s="3" t="s">
        <v>0</v>
      </c>
      <c r="M12" s="3" t="s">
        <v>2</v>
      </c>
      <c r="N12" s="3" t="s">
        <v>2</v>
      </c>
      <c r="O12" s="19">
        <v>0.96</v>
      </c>
      <c r="P12" s="19"/>
      <c r="Q12" s="19">
        <v>1.41</v>
      </c>
      <c r="R12" s="19"/>
      <c r="S12" s="19"/>
      <c r="T12" s="19"/>
      <c r="U12" s="19"/>
      <c r="V12" s="19"/>
      <c r="W12" s="19"/>
      <c r="X12" s="19"/>
      <c r="Y12" s="19"/>
      <c r="Z12" s="19">
        <f>11.93+0.00063+0.11</f>
        <v>12.040629999999998</v>
      </c>
      <c r="AA12" s="19"/>
      <c r="AB12" s="19"/>
      <c r="AC12" s="19"/>
      <c r="AD12" s="19"/>
      <c r="AE12" s="19">
        <v>25.67</v>
      </c>
      <c r="AF12" s="19"/>
      <c r="AG12" s="19"/>
      <c r="AH12" s="19"/>
      <c r="AI12" s="19"/>
      <c r="AJ12" s="19"/>
      <c r="AK12" s="19"/>
      <c r="AL12" s="19"/>
      <c r="AM12" s="19"/>
      <c r="AN12" s="19">
        <v>0</v>
      </c>
      <c r="AO12" s="19">
        <v>0</v>
      </c>
      <c r="AP12" s="19">
        <v>0</v>
      </c>
      <c r="AQ12" s="19">
        <v>0</v>
      </c>
      <c r="AR12" s="19"/>
      <c r="AS12" s="19"/>
      <c r="AT12" s="21">
        <f>0.092</f>
        <v>9.1999999999999998E-2</v>
      </c>
      <c r="AU12" s="21">
        <v>1.0900000000000001</v>
      </c>
      <c r="AV12" s="21"/>
      <c r="AW12" s="21"/>
      <c r="AX12" s="21"/>
      <c r="AY12" s="21"/>
      <c r="AZ12" s="21"/>
      <c r="BA12" s="21"/>
      <c r="BB12" s="21"/>
      <c r="BC12" s="21"/>
      <c r="BD12" s="21">
        <v>0</v>
      </c>
      <c r="BE12" s="20"/>
      <c r="BF12" s="21"/>
      <c r="BG12" s="23">
        <v>0.18</v>
      </c>
      <c r="BH12" s="25"/>
      <c r="BI12" s="25"/>
      <c r="BJ12" s="25"/>
      <c r="BK12" s="25">
        <v>0</v>
      </c>
      <c r="BL12" s="25">
        <v>0</v>
      </c>
      <c r="BM12" s="25">
        <v>0</v>
      </c>
      <c r="BN12" s="25">
        <v>0</v>
      </c>
      <c r="BO12" s="25">
        <v>0</v>
      </c>
      <c r="BP12" s="27"/>
      <c r="BQ12" s="27"/>
      <c r="BR12" s="25"/>
      <c r="BS12" s="27"/>
    </row>
    <row r="13" spans="1:71" ht="231" hidden="1" customHeight="1" x14ac:dyDescent="0.2">
      <c r="A13" s="3">
        <v>12</v>
      </c>
      <c r="B13" s="2" t="s">
        <v>88</v>
      </c>
      <c r="C13" s="3" t="s">
        <v>74</v>
      </c>
      <c r="D13" s="5" t="s">
        <v>75</v>
      </c>
      <c r="E13" s="2" t="s">
        <v>92</v>
      </c>
      <c r="F13" s="3" t="s">
        <v>77</v>
      </c>
      <c r="G13" s="3" t="s">
        <v>77</v>
      </c>
      <c r="H13" s="3" t="s">
        <v>77</v>
      </c>
      <c r="I13" s="3" t="s">
        <v>2</v>
      </c>
      <c r="J13" s="3" t="s">
        <v>2</v>
      </c>
      <c r="K13" s="3" t="s">
        <v>0</v>
      </c>
      <c r="L13" s="3" t="s">
        <v>0</v>
      </c>
      <c r="M13" s="3" t="s">
        <v>2</v>
      </c>
      <c r="N13" s="3" t="s">
        <v>2</v>
      </c>
      <c r="O13" s="19">
        <v>0.83</v>
      </c>
      <c r="P13" s="19">
        <v>0.06</v>
      </c>
      <c r="Q13" s="19">
        <v>0.56000000000000005</v>
      </c>
      <c r="R13" s="19"/>
      <c r="S13" s="19"/>
      <c r="T13" s="19"/>
      <c r="U13" s="19"/>
      <c r="V13" s="19"/>
      <c r="W13" s="19"/>
      <c r="X13" s="19"/>
      <c r="Y13" s="19">
        <v>4.05</v>
      </c>
      <c r="Z13" s="19">
        <f>4.07-4.05</f>
        <v>2.0000000000000462E-2</v>
      </c>
      <c r="AA13" s="19"/>
      <c r="AB13" s="19"/>
      <c r="AC13" s="19"/>
      <c r="AD13" s="19"/>
      <c r="AE13" s="19">
        <v>10.029999999999999</v>
      </c>
      <c r="AF13" s="19"/>
      <c r="AG13" s="19"/>
      <c r="AH13" s="19"/>
      <c r="AI13" s="19"/>
      <c r="AJ13" s="19"/>
      <c r="AK13" s="19"/>
      <c r="AL13" s="19"/>
      <c r="AM13" s="19"/>
      <c r="AN13" s="19">
        <v>0</v>
      </c>
      <c r="AO13" s="19">
        <v>0</v>
      </c>
      <c r="AP13" s="19">
        <v>0</v>
      </c>
      <c r="AQ13" s="19">
        <v>0</v>
      </c>
      <c r="AR13" s="19"/>
      <c r="AS13" s="19"/>
      <c r="AT13" s="21"/>
      <c r="AU13" s="21">
        <v>0.48</v>
      </c>
      <c r="AV13" s="21"/>
      <c r="AW13" s="21"/>
      <c r="AX13" s="21"/>
      <c r="AY13" s="21"/>
      <c r="AZ13" s="21"/>
      <c r="BA13" s="21"/>
      <c r="BB13" s="21"/>
      <c r="BC13" s="21"/>
      <c r="BD13" s="21">
        <v>0</v>
      </c>
      <c r="BE13" s="20"/>
      <c r="BF13" s="21"/>
      <c r="BG13" s="23">
        <v>0.06</v>
      </c>
      <c r="BH13" s="25"/>
      <c r="BI13" s="25"/>
      <c r="BJ13" s="25"/>
      <c r="BK13" s="25">
        <v>0</v>
      </c>
      <c r="BL13" s="25">
        <v>0</v>
      </c>
      <c r="BM13" s="25">
        <v>0</v>
      </c>
      <c r="BN13" s="25">
        <v>0</v>
      </c>
      <c r="BO13" s="25">
        <v>0</v>
      </c>
      <c r="BP13" s="27"/>
      <c r="BQ13" s="27"/>
      <c r="BR13" s="25"/>
      <c r="BS13" s="27"/>
    </row>
    <row r="14" spans="1:71" ht="102" hidden="1" x14ac:dyDescent="0.2">
      <c r="A14" s="3">
        <v>13</v>
      </c>
      <c r="B14" s="2" t="s">
        <v>93</v>
      </c>
      <c r="C14" s="3" t="s">
        <v>74</v>
      </c>
      <c r="D14" s="5" t="s">
        <v>79</v>
      </c>
      <c r="E14" s="35" t="s">
        <v>94</v>
      </c>
      <c r="F14" s="3" t="s">
        <v>0</v>
      </c>
      <c r="G14" s="3" t="s">
        <v>1</v>
      </c>
      <c r="H14" s="3" t="s">
        <v>1</v>
      </c>
      <c r="I14" s="3" t="s">
        <v>1</v>
      </c>
      <c r="J14" s="3" t="s">
        <v>1</v>
      </c>
      <c r="K14" s="3" t="s">
        <v>0</v>
      </c>
      <c r="L14" s="3" t="s">
        <v>0</v>
      </c>
      <c r="M14" s="3" t="s">
        <v>2</v>
      </c>
      <c r="N14" s="3" t="s">
        <v>2</v>
      </c>
      <c r="O14" s="19">
        <v>0.95699999999999996</v>
      </c>
      <c r="P14" s="19"/>
      <c r="Q14" s="19">
        <v>1.1000000000000001</v>
      </c>
      <c r="R14" s="19"/>
      <c r="S14" s="19"/>
      <c r="T14" s="19"/>
      <c r="U14" s="19"/>
      <c r="V14" s="19"/>
      <c r="W14" s="19"/>
      <c r="X14" s="19"/>
      <c r="Y14" s="19"/>
      <c r="Z14" s="19">
        <v>12</v>
      </c>
      <c r="AA14" s="19"/>
      <c r="AB14" s="19"/>
      <c r="AC14" s="19"/>
      <c r="AD14" s="19"/>
      <c r="AE14" s="19">
        <v>17.079999999999998</v>
      </c>
      <c r="AF14" s="19"/>
      <c r="AG14" s="19"/>
      <c r="AH14" s="19"/>
      <c r="AI14" s="19"/>
      <c r="AJ14" s="19"/>
      <c r="AK14" s="19"/>
      <c r="AL14" s="19"/>
      <c r="AM14" s="19"/>
      <c r="AN14" s="19">
        <v>0</v>
      </c>
      <c r="AO14" s="19">
        <v>0</v>
      </c>
      <c r="AP14" s="19">
        <v>0</v>
      </c>
      <c r="AQ14" s="19">
        <v>0</v>
      </c>
      <c r="AR14" s="19"/>
      <c r="AS14" s="19"/>
      <c r="AT14" s="21">
        <v>5.0000000000000001E-3</v>
      </c>
      <c r="AU14" s="21">
        <v>0.38600000000000001</v>
      </c>
      <c r="AV14" s="21"/>
      <c r="AW14" s="21"/>
      <c r="AX14" s="21"/>
      <c r="AY14" s="21"/>
      <c r="AZ14" s="21"/>
      <c r="BA14" s="21"/>
      <c r="BB14" s="21"/>
      <c r="BC14" s="21"/>
      <c r="BD14" s="21">
        <v>0</v>
      </c>
      <c r="BE14" s="20"/>
      <c r="BF14" s="21"/>
      <c r="BG14" s="23"/>
      <c r="BH14" s="25"/>
      <c r="BI14" s="25"/>
      <c r="BJ14" s="25"/>
      <c r="BK14" s="25">
        <v>0</v>
      </c>
      <c r="BL14" s="25">
        <v>0</v>
      </c>
      <c r="BM14" s="25">
        <v>0</v>
      </c>
      <c r="BN14" s="25">
        <v>0</v>
      </c>
      <c r="BO14" s="25">
        <v>0</v>
      </c>
      <c r="BP14" s="27"/>
      <c r="BQ14" s="27"/>
      <c r="BR14" s="25"/>
      <c r="BS14" s="27"/>
    </row>
    <row r="15" spans="1:71" ht="102" hidden="1" x14ac:dyDescent="0.2">
      <c r="A15" s="3">
        <v>14</v>
      </c>
      <c r="B15" s="2" t="s">
        <v>93</v>
      </c>
      <c r="C15" s="3" t="s">
        <v>74</v>
      </c>
      <c r="D15" s="5" t="s">
        <v>79</v>
      </c>
      <c r="E15" s="35" t="s">
        <v>94</v>
      </c>
      <c r="F15" s="3" t="s">
        <v>0</v>
      </c>
      <c r="G15" s="3" t="s">
        <v>1</v>
      </c>
      <c r="H15" s="3" t="s">
        <v>1</v>
      </c>
      <c r="I15" s="3" t="s">
        <v>1</v>
      </c>
      <c r="J15" s="3" t="s">
        <v>1</v>
      </c>
      <c r="K15" s="3" t="s">
        <v>0</v>
      </c>
      <c r="L15" s="3" t="s">
        <v>0</v>
      </c>
      <c r="M15" s="3" t="s">
        <v>2</v>
      </c>
      <c r="N15" s="3" t="s">
        <v>2</v>
      </c>
      <c r="O15" s="19">
        <v>0.95699999999999996</v>
      </c>
      <c r="P15" s="19"/>
      <c r="Q15" s="19">
        <v>0.61099999999999999</v>
      </c>
      <c r="R15" s="19"/>
      <c r="S15" s="19"/>
      <c r="T15" s="19"/>
      <c r="U15" s="19"/>
      <c r="V15" s="19"/>
      <c r="W15" s="19"/>
      <c r="X15" s="19"/>
      <c r="Y15" s="19"/>
      <c r="Z15" s="19">
        <v>2.63</v>
      </c>
      <c r="AA15" s="19"/>
      <c r="AB15" s="19"/>
      <c r="AC15" s="19"/>
      <c r="AD15" s="19"/>
      <c r="AE15" s="19">
        <v>17.079999999999998</v>
      </c>
      <c r="AF15" s="19"/>
      <c r="AG15" s="19"/>
      <c r="AH15" s="19"/>
      <c r="AI15" s="19"/>
      <c r="AJ15" s="19"/>
      <c r="AK15" s="19"/>
      <c r="AL15" s="19"/>
      <c r="AM15" s="19"/>
      <c r="AN15" s="19">
        <v>0</v>
      </c>
      <c r="AO15" s="19">
        <v>0</v>
      </c>
      <c r="AP15" s="19">
        <v>0</v>
      </c>
      <c r="AQ15" s="19">
        <v>0</v>
      </c>
      <c r="AR15" s="19"/>
      <c r="AS15" s="19"/>
      <c r="AT15" s="21"/>
      <c r="AU15" s="21">
        <v>0.38600000000000001</v>
      </c>
      <c r="AV15" s="21"/>
      <c r="AW15" s="21"/>
      <c r="AX15" s="21"/>
      <c r="AY15" s="21"/>
      <c r="AZ15" s="21"/>
      <c r="BA15" s="21"/>
      <c r="BB15" s="21"/>
      <c r="BC15" s="21"/>
      <c r="BD15" s="21">
        <v>0</v>
      </c>
      <c r="BE15" s="20"/>
      <c r="BF15" s="21"/>
      <c r="BG15" s="23"/>
      <c r="BH15" s="25"/>
      <c r="BI15" s="25"/>
      <c r="BJ15" s="25"/>
      <c r="BK15" s="25">
        <v>0</v>
      </c>
      <c r="BL15" s="25">
        <v>0</v>
      </c>
      <c r="BM15" s="25">
        <v>0</v>
      </c>
      <c r="BN15" s="25">
        <v>0</v>
      </c>
      <c r="BO15" s="25">
        <v>0</v>
      </c>
      <c r="BP15" s="27"/>
      <c r="BQ15" s="27"/>
      <c r="BR15" s="25"/>
      <c r="BS15" s="27"/>
    </row>
    <row r="16" spans="1:71" ht="119" hidden="1" x14ac:dyDescent="0.2">
      <c r="A16" s="3">
        <v>15</v>
      </c>
      <c r="B16" s="2" t="s">
        <v>95</v>
      </c>
      <c r="C16" s="3" t="s">
        <v>74</v>
      </c>
      <c r="D16" s="5" t="s">
        <v>75</v>
      </c>
      <c r="E16" s="35" t="s">
        <v>96</v>
      </c>
      <c r="F16" s="3" t="s">
        <v>77</v>
      </c>
      <c r="G16" s="3" t="s">
        <v>0</v>
      </c>
      <c r="H16" s="3" t="s">
        <v>77</v>
      </c>
      <c r="I16" s="3">
        <v>1</v>
      </c>
      <c r="J16" s="3">
        <v>105</v>
      </c>
      <c r="K16" s="3" t="s">
        <v>0</v>
      </c>
      <c r="L16" s="3" t="s">
        <v>77</v>
      </c>
      <c r="M16" s="3">
        <v>1</v>
      </c>
      <c r="N16" s="3">
        <v>105</v>
      </c>
      <c r="O16" s="19">
        <f>0.988*0.85</f>
        <v>0.83979999999999999</v>
      </c>
      <c r="P16" s="19">
        <f>0.071*0.85</f>
        <v>6.0349999999999994E-2</v>
      </c>
      <c r="Q16" s="19"/>
      <c r="R16" s="19"/>
      <c r="S16" s="19"/>
      <c r="T16" s="19"/>
      <c r="U16" s="19"/>
      <c r="V16" s="19"/>
      <c r="W16" s="19"/>
      <c r="X16" s="19"/>
      <c r="Y16" s="19"/>
      <c r="Z16" s="19">
        <f>0.48*0.85</f>
        <v>0.40799999999999997</v>
      </c>
      <c r="AA16" s="19"/>
      <c r="AB16" s="19"/>
      <c r="AC16" s="36"/>
      <c r="AD16" s="36"/>
      <c r="AE16" s="19"/>
      <c r="AF16" s="19"/>
      <c r="AG16" s="19">
        <f>3.27*0.85</f>
        <v>2.7795000000000001</v>
      </c>
      <c r="AH16" s="19"/>
      <c r="AI16" s="19"/>
      <c r="AJ16" s="19"/>
      <c r="AK16" s="19"/>
      <c r="AL16" s="19"/>
      <c r="AM16" s="19"/>
      <c r="AN16" s="19">
        <v>0</v>
      </c>
      <c r="AO16" s="19">
        <v>0</v>
      </c>
      <c r="AP16" s="19">
        <v>0</v>
      </c>
      <c r="AQ16" s="19">
        <v>0</v>
      </c>
      <c r="AR16" s="19"/>
      <c r="AS16" s="19"/>
      <c r="AT16" s="21"/>
      <c r="AU16" s="21"/>
      <c r="AV16" s="21"/>
      <c r="AW16" s="21"/>
      <c r="AX16" s="21"/>
      <c r="AY16" s="21"/>
      <c r="AZ16" s="21"/>
      <c r="BA16" s="21"/>
      <c r="BB16" s="21"/>
      <c r="BC16" s="21"/>
      <c r="BD16" s="21">
        <v>0</v>
      </c>
      <c r="BE16" s="20"/>
      <c r="BF16" s="21"/>
      <c r="BG16" s="23"/>
      <c r="BH16" s="25">
        <f>0.032*0.85</f>
        <v>2.7199999999999998E-2</v>
      </c>
      <c r="BI16" s="25"/>
      <c r="BJ16" s="25"/>
      <c r="BK16" s="25">
        <v>0</v>
      </c>
      <c r="BL16" s="25">
        <v>0</v>
      </c>
      <c r="BM16" s="25">
        <v>0</v>
      </c>
      <c r="BN16" s="25">
        <v>0</v>
      </c>
      <c r="BO16" s="25">
        <v>0</v>
      </c>
      <c r="BP16" s="27"/>
      <c r="BQ16" s="27"/>
      <c r="BR16" s="25"/>
      <c r="BS16" s="27"/>
    </row>
    <row r="17" spans="1:71" ht="102" hidden="1" x14ac:dyDescent="0.2">
      <c r="A17" s="3">
        <v>16</v>
      </c>
      <c r="B17" s="2" t="s">
        <v>95</v>
      </c>
      <c r="C17" s="3" t="s">
        <v>74</v>
      </c>
      <c r="D17" s="5" t="s">
        <v>75</v>
      </c>
      <c r="E17" s="35" t="s">
        <v>97</v>
      </c>
      <c r="F17" s="3" t="s">
        <v>77</v>
      </c>
      <c r="G17" s="3" t="s">
        <v>0</v>
      </c>
      <c r="H17" s="3" t="s">
        <v>77</v>
      </c>
      <c r="I17" s="3">
        <v>1</v>
      </c>
      <c r="J17" s="3">
        <v>94</v>
      </c>
      <c r="K17" s="3" t="s">
        <v>0</v>
      </c>
      <c r="L17" s="3" t="s">
        <v>77</v>
      </c>
      <c r="M17" s="3">
        <v>1</v>
      </c>
      <c r="N17" s="3">
        <v>94</v>
      </c>
      <c r="O17" s="19">
        <v>0.98499999999999999</v>
      </c>
      <c r="P17" s="19">
        <v>4.4999999999999998E-2</v>
      </c>
      <c r="Q17" s="19"/>
      <c r="R17" s="19"/>
      <c r="S17" s="19"/>
      <c r="T17" s="19"/>
      <c r="U17" s="19"/>
      <c r="V17" s="19"/>
      <c r="W17" s="19"/>
      <c r="X17" s="19"/>
      <c r="Y17" s="19"/>
      <c r="Z17" s="19">
        <v>0.53</v>
      </c>
      <c r="AA17" s="19"/>
      <c r="AB17" s="19"/>
      <c r="AC17" s="36"/>
      <c r="AD17" s="36"/>
      <c r="AE17" s="19"/>
      <c r="AF17" s="19"/>
      <c r="AG17" s="19">
        <v>2.5099999999999998</v>
      </c>
      <c r="AH17" s="19"/>
      <c r="AI17" s="19"/>
      <c r="AJ17" s="19"/>
      <c r="AK17" s="19"/>
      <c r="AL17" s="19"/>
      <c r="AM17" s="19"/>
      <c r="AN17" s="19"/>
      <c r="AO17" s="19"/>
      <c r="AP17" s="19"/>
      <c r="AQ17" s="19"/>
      <c r="AR17" s="19"/>
      <c r="AS17" s="19"/>
      <c r="AT17" s="21"/>
      <c r="AU17" s="21"/>
      <c r="AV17" s="21"/>
      <c r="AW17" s="21"/>
      <c r="AX17" s="21"/>
      <c r="AY17" s="21"/>
      <c r="AZ17" s="21"/>
      <c r="BA17" s="21"/>
      <c r="BB17" s="21"/>
      <c r="BC17" s="21"/>
      <c r="BD17" s="21"/>
      <c r="BE17" s="20"/>
      <c r="BF17" s="21"/>
      <c r="BG17" s="23"/>
      <c r="BH17" s="25">
        <v>2.9000000000000001E-2</v>
      </c>
      <c r="BI17" s="25"/>
      <c r="BJ17" s="25"/>
      <c r="BK17" s="25"/>
      <c r="BL17" s="25"/>
      <c r="BM17" s="25"/>
      <c r="BN17" s="25"/>
      <c r="BO17" s="25"/>
      <c r="BP17" s="27"/>
      <c r="BQ17" s="27"/>
      <c r="BR17" s="25"/>
      <c r="BS17" s="27"/>
    </row>
    <row r="18" spans="1:71" ht="119" hidden="1" x14ac:dyDescent="0.2">
      <c r="A18" s="3">
        <v>17</v>
      </c>
      <c r="B18" s="2" t="s">
        <v>98</v>
      </c>
      <c r="C18" s="3" t="s">
        <v>74</v>
      </c>
      <c r="D18" s="5" t="s">
        <v>75</v>
      </c>
      <c r="E18" s="35" t="s">
        <v>99</v>
      </c>
      <c r="F18" s="3" t="s">
        <v>77</v>
      </c>
      <c r="G18" s="3" t="s">
        <v>77</v>
      </c>
      <c r="H18" s="3" t="s">
        <v>77</v>
      </c>
      <c r="I18" s="3">
        <v>30</v>
      </c>
      <c r="J18" s="3">
        <v>105</v>
      </c>
      <c r="K18" s="3" t="s">
        <v>0</v>
      </c>
      <c r="L18" s="3" t="s">
        <v>77</v>
      </c>
      <c r="M18" s="3">
        <v>1.01</v>
      </c>
      <c r="N18" s="3">
        <v>105</v>
      </c>
      <c r="O18" s="19">
        <v>0.83399999999999996</v>
      </c>
      <c r="P18" s="19">
        <f>90/1500</f>
        <v>0.06</v>
      </c>
      <c r="Q18" s="19">
        <v>0.59499999999999997</v>
      </c>
      <c r="R18" s="19">
        <v>252</v>
      </c>
      <c r="S18" s="19"/>
      <c r="T18" s="19"/>
      <c r="U18" s="19"/>
      <c r="V18" s="19"/>
      <c r="W18" s="19"/>
      <c r="X18" s="19"/>
      <c r="Y18" s="19">
        <f>4.054-0.296</f>
        <v>3.7580000000000005</v>
      </c>
      <c r="Z18" s="19">
        <v>0.29599999999999999</v>
      </c>
      <c r="AA18" s="19"/>
      <c r="AB18" s="19"/>
      <c r="AC18" s="19">
        <f>2.78+2.96</f>
        <v>5.74</v>
      </c>
      <c r="AD18" s="19"/>
      <c r="AE18" s="19"/>
      <c r="AF18" s="19"/>
      <c r="AG18" s="19"/>
      <c r="AH18" s="19"/>
      <c r="AI18" s="19"/>
      <c r="AJ18" s="19"/>
      <c r="AK18" s="19"/>
      <c r="AL18" s="19"/>
      <c r="AM18" s="19"/>
      <c r="AN18" s="19">
        <v>0</v>
      </c>
      <c r="AO18" s="19">
        <v>0</v>
      </c>
      <c r="AP18" s="19">
        <v>0</v>
      </c>
      <c r="AQ18" s="19">
        <v>0</v>
      </c>
      <c r="AR18" s="19"/>
      <c r="AS18" s="19"/>
      <c r="AT18" s="21"/>
      <c r="AU18" s="21">
        <v>0.47699999999999998</v>
      </c>
      <c r="AV18" s="21"/>
      <c r="AW18" s="21"/>
      <c r="AX18" s="21"/>
      <c r="AY18" s="21"/>
      <c r="AZ18" s="21"/>
      <c r="BA18" s="21"/>
      <c r="BB18" s="21"/>
      <c r="BC18" s="21"/>
      <c r="BD18" s="21">
        <v>0</v>
      </c>
      <c r="BE18" s="20"/>
      <c r="BF18" s="21"/>
      <c r="BG18" s="23"/>
      <c r="BH18" s="25"/>
      <c r="BI18" s="25">
        <v>0.06</v>
      </c>
      <c r="BJ18" s="25"/>
      <c r="BK18" s="25">
        <v>0</v>
      </c>
      <c r="BL18" s="25">
        <v>0</v>
      </c>
      <c r="BM18" s="25">
        <v>0</v>
      </c>
      <c r="BN18" s="25">
        <v>0</v>
      </c>
      <c r="BO18" s="25">
        <v>0</v>
      </c>
      <c r="BP18" s="27"/>
      <c r="BQ18" s="27"/>
      <c r="BR18" s="25"/>
      <c r="BS18" s="27"/>
    </row>
    <row r="19" spans="1:71" ht="85" hidden="1" x14ac:dyDescent="0.2">
      <c r="A19" s="3">
        <v>18</v>
      </c>
      <c r="B19" s="2" t="s">
        <v>100</v>
      </c>
      <c r="C19" s="3" t="s">
        <v>74</v>
      </c>
      <c r="D19" s="5" t="s">
        <v>75</v>
      </c>
      <c r="E19" s="35" t="s">
        <v>101</v>
      </c>
      <c r="F19" s="3" t="s">
        <v>77</v>
      </c>
      <c r="G19" s="3" t="s">
        <v>77</v>
      </c>
      <c r="H19" s="3" t="s">
        <v>77</v>
      </c>
      <c r="I19" s="3">
        <v>30</v>
      </c>
      <c r="J19" s="3">
        <v>105</v>
      </c>
      <c r="K19" s="3" t="s">
        <v>0</v>
      </c>
      <c r="L19" s="3" t="s">
        <v>77</v>
      </c>
      <c r="M19" s="3">
        <v>1.01</v>
      </c>
      <c r="N19" s="3">
        <v>105</v>
      </c>
      <c r="O19" s="19">
        <v>0.83399999999999996</v>
      </c>
      <c r="P19" s="19">
        <f>90/1500</f>
        <v>0.06</v>
      </c>
      <c r="Q19" s="19">
        <v>0.59499999999999997</v>
      </c>
      <c r="R19" s="19">
        <v>252</v>
      </c>
      <c r="S19" s="19"/>
      <c r="T19" s="19"/>
      <c r="U19" s="19"/>
      <c r="V19" s="19"/>
      <c r="W19" s="19"/>
      <c r="X19" s="19"/>
      <c r="Y19" s="19">
        <f>4.054-0.296</f>
        <v>3.7580000000000005</v>
      </c>
      <c r="Z19" s="19">
        <v>0.29599999999999999</v>
      </c>
      <c r="AA19" s="19"/>
      <c r="AB19" s="19"/>
      <c r="AC19" s="19">
        <f>2.78+2.96</f>
        <v>5.74</v>
      </c>
      <c r="AD19" s="19"/>
      <c r="AE19" s="19"/>
      <c r="AF19" s="19"/>
      <c r="AG19" s="19"/>
      <c r="AH19" s="19"/>
      <c r="AI19" s="19"/>
      <c r="AJ19" s="19"/>
      <c r="AK19" s="19"/>
      <c r="AL19" s="19"/>
      <c r="AM19" s="19"/>
      <c r="AN19" s="19">
        <v>0</v>
      </c>
      <c r="AO19" s="19">
        <v>0</v>
      </c>
      <c r="AP19" s="19">
        <v>0</v>
      </c>
      <c r="AQ19" s="19">
        <v>0</v>
      </c>
      <c r="AR19" s="19"/>
      <c r="AS19" s="19"/>
      <c r="AT19" s="21"/>
      <c r="AU19" s="21">
        <v>0.47699999999999998</v>
      </c>
      <c r="AV19" s="21"/>
      <c r="AW19" s="21"/>
      <c r="AX19" s="21"/>
      <c r="AY19" s="21"/>
      <c r="AZ19" s="21"/>
      <c r="BA19" s="21"/>
      <c r="BB19" s="21"/>
      <c r="BC19" s="21"/>
      <c r="BD19" s="21">
        <v>0</v>
      </c>
      <c r="BE19" s="20"/>
      <c r="BF19" s="21"/>
      <c r="BG19" s="23"/>
      <c r="BH19" s="25"/>
      <c r="BI19" s="25">
        <v>0.06</v>
      </c>
      <c r="BJ19" s="25"/>
      <c r="BK19" s="25">
        <v>0</v>
      </c>
      <c r="BL19" s="25">
        <v>0</v>
      </c>
      <c r="BM19" s="25">
        <v>0</v>
      </c>
      <c r="BN19" s="25">
        <v>0</v>
      </c>
      <c r="BO19" s="25">
        <v>0</v>
      </c>
      <c r="BP19" s="27"/>
      <c r="BQ19" s="27"/>
      <c r="BR19" s="25"/>
      <c r="BS19" s="27"/>
    </row>
    <row r="20" spans="1:71" ht="102" hidden="1" x14ac:dyDescent="0.2">
      <c r="A20" s="3">
        <v>19</v>
      </c>
      <c r="B20" s="2" t="s">
        <v>102</v>
      </c>
      <c r="C20" s="3" t="s">
        <v>74</v>
      </c>
      <c r="D20" s="5" t="s">
        <v>79</v>
      </c>
      <c r="E20" s="35" t="s">
        <v>103</v>
      </c>
      <c r="F20" s="3" t="s">
        <v>0</v>
      </c>
      <c r="G20" s="3" t="s">
        <v>1</v>
      </c>
      <c r="H20" s="3" t="s">
        <v>1</v>
      </c>
      <c r="I20" s="3" t="s">
        <v>1</v>
      </c>
      <c r="J20" s="3">
        <v>3</v>
      </c>
      <c r="K20" s="3" t="s">
        <v>0</v>
      </c>
      <c r="L20" s="3" t="s">
        <v>0</v>
      </c>
      <c r="M20" s="3" t="s">
        <v>2</v>
      </c>
      <c r="N20" s="3">
        <v>3</v>
      </c>
      <c r="O20" s="19">
        <f>1/1.02</f>
        <v>0.98039215686274506</v>
      </c>
      <c r="P20" s="19"/>
      <c r="Q20" s="19">
        <f>0.71/1.02</f>
        <v>0.69607843137254899</v>
      </c>
      <c r="R20" s="19"/>
      <c r="S20" s="19"/>
      <c r="T20" s="19"/>
      <c r="U20" s="19"/>
      <c r="V20" s="19"/>
      <c r="W20" s="19"/>
      <c r="X20" s="19"/>
      <c r="Y20" s="19"/>
      <c r="Z20" s="19">
        <f>9.2/1.02</f>
        <v>9.0196078431372548</v>
      </c>
      <c r="AA20" s="19"/>
      <c r="AB20" s="19"/>
      <c r="AC20" s="19"/>
      <c r="AD20" s="19"/>
      <c r="AE20" s="19">
        <f>35.78/1.02</f>
        <v>35.078431372549019</v>
      </c>
      <c r="AF20" s="19"/>
      <c r="AG20" s="19"/>
      <c r="AH20" s="19"/>
      <c r="AI20" s="19"/>
      <c r="AJ20" s="19"/>
      <c r="AK20" s="19"/>
      <c r="AL20" s="19"/>
      <c r="AM20" s="19"/>
      <c r="AN20" s="19">
        <v>0</v>
      </c>
      <c r="AO20" s="19">
        <v>0</v>
      </c>
      <c r="AP20" s="19">
        <v>0</v>
      </c>
      <c r="AQ20" s="19">
        <v>0</v>
      </c>
      <c r="AR20" s="19"/>
      <c r="AS20" s="19"/>
      <c r="AT20" s="21"/>
      <c r="AU20" s="21"/>
      <c r="AV20" s="21"/>
      <c r="AW20" s="21"/>
      <c r="AX20" s="21"/>
      <c r="AY20" s="21"/>
      <c r="AZ20" s="21"/>
      <c r="BA20" s="21"/>
      <c r="BB20" s="21"/>
      <c r="BC20" s="21"/>
      <c r="BD20" s="21">
        <v>0</v>
      </c>
      <c r="BE20" s="20"/>
      <c r="BF20" s="21"/>
      <c r="BG20" s="23"/>
      <c r="BH20" s="25"/>
      <c r="BI20" s="25"/>
      <c r="BJ20" s="25"/>
      <c r="BK20" s="25">
        <v>0</v>
      </c>
      <c r="BL20" s="25">
        <v>0</v>
      </c>
      <c r="BM20" s="25">
        <v>0</v>
      </c>
      <c r="BN20" s="25">
        <v>0</v>
      </c>
      <c r="BO20" s="25">
        <v>0</v>
      </c>
      <c r="BP20" s="27"/>
      <c r="BQ20" s="27"/>
      <c r="BR20" s="25"/>
      <c r="BS20" s="27"/>
    </row>
    <row r="21" spans="1:71" ht="170" hidden="1" x14ac:dyDescent="0.2">
      <c r="A21" s="3">
        <v>20</v>
      </c>
      <c r="B21" s="2" t="s">
        <v>102</v>
      </c>
      <c r="C21" s="3" t="s">
        <v>74</v>
      </c>
      <c r="D21" s="5" t="s">
        <v>75</v>
      </c>
      <c r="E21" s="35" t="s">
        <v>104</v>
      </c>
      <c r="F21" s="3" t="s">
        <v>77</v>
      </c>
      <c r="G21" s="3" t="s">
        <v>0</v>
      </c>
      <c r="H21" s="3" t="s">
        <v>77</v>
      </c>
      <c r="I21" s="3" t="s">
        <v>2</v>
      </c>
      <c r="J21" s="3" t="s">
        <v>2</v>
      </c>
      <c r="K21" s="3" t="s">
        <v>0</v>
      </c>
      <c r="L21" s="3" t="s">
        <v>77</v>
      </c>
      <c r="M21" s="3" t="s">
        <v>2</v>
      </c>
      <c r="N21" s="3" t="s">
        <v>2</v>
      </c>
      <c r="O21" s="19">
        <f>1/1.01</f>
        <v>0.99009900990099009</v>
      </c>
      <c r="P21" s="19">
        <f>0.045/1.01</f>
        <v>4.4554455445544552E-2</v>
      </c>
      <c r="Q21" s="19"/>
      <c r="R21" s="19"/>
      <c r="S21" s="19"/>
      <c r="T21" s="19"/>
      <c r="U21" s="19"/>
      <c r="V21" s="19"/>
      <c r="W21" s="19"/>
      <c r="X21" s="19"/>
      <c r="Y21" s="19"/>
      <c r="Z21" s="19">
        <f>0.53/1.01</f>
        <v>0.52475247524752477</v>
      </c>
      <c r="AA21" s="19"/>
      <c r="AB21" s="19"/>
      <c r="AC21" s="19"/>
      <c r="AD21" s="19"/>
      <c r="AE21" s="19">
        <f>9.17/1.02</f>
        <v>8.9901960784313726</v>
      </c>
      <c r="AF21" s="19"/>
      <c r="AG21" s="19"/>
      <c r="AH21" s="19"/>
      <c r="AI21" s="19"/>
      <c r="AJ21" s="19"/>
      <c r="AK21" s="19"/>
      <c r="AL21" s="19"/>
      <c r="AM21" s="19"/>
      <c r="AN21" s="19">
        <v>0</v>
      </c>
      <c r="AO21" s="19">
        <v>0</v>
      </c>
      <c r="AP21" s="19">
        <v>0</v>
      </c>
      <c r="AQ21" s="19">
        <v>0</v>
      </c>
      <c r="AR21" s="19"/>
      <c r="AS21" s="19"/>
      <c r="AT21" s="21"/>
      <c r="AU21" s="21"/>
      <c r="AV21" s="21"/>
      <c r="AW21" s="21"/>
      <c r="AX21" s="21"/>
      <c r="AY21" s="21"/>
      <c r="AZ21" s="21"/>
      <c r="BA21" s="21"/>
      <c r="BB21" s="21"/>
      <c r="BC21" s="21"/>
      <c r="BD21" s="21">
        <v>0</v>
      </c>
      <c r="BE21" s="20"/>
      <c r="BF21" s="21"/>
      <c r="BG21" s="23"/>
      <c r="BH21" s="25">
        <f>0.02/1.01</f>
        <v>1.9801980198019802E-2</v>
      </c>
      <c r="BI21" s="25"/>
      <c r="BJ21" s="25"/>
      <c r="BK21" s="25">
        <v>0</v>
      </c>
      <c r="BL21" s="25">
        <v>0</v>
      </c>
      <c r="BM21" s="25">
        <v>0</v>
      </c>
      <c r="BN21" s="25">
        <v>0</v>
      </c>
      <c r="BO21" s="25">
        <v>0</v>
      </c>
      <c r="BP21" s="27"/>
      <c r="BQ21" s="27"/>
      <c r="BR21" s="25"/>
      <c r="BS21" s="27"/>
    </row>
    <row r="22" spans="1:71" ht="170" hidden="1" x14ac:dyDescent="0.2">
      <c r="A22" s="3">
        <v>21</v>
      </c>
      <c r="B22" s="2" t="s">
        <v>105</v>
      </c>
      <c r="C22" s="3" t="s">
        <v>106</v>
      </c>
      <c r="D22" s="3" t="s">
        <v>1</v>
      </c>
      <c r="E22" s="2" t="s">
        <v>107</v>
      </c>
      <c r="F22" s="3" t="s">
        <v>0</v>
      </c>
      <c r="G22" s="3" t="s">
        <v>1</v>
      </c>
      <c r="H22" s="3" t="s">
        <v>1</v>
      </c>
      <c r="I22" s="3" t="s">
        <v>1</v>
      </c>
      <c r="J22" s="3" t="s">
        <v>1</v>
      </c>
      <c r="K22" s="3" t="s">
        <v>0</v>
      </c>
      <c r="L22" s="3" t="s">
        <v>0</v>
      </c>
      <c r="M22" s="3">
        <v>20</v>
      </c>
      <c r="N22" s="3">
        <v>20</v>
      </c>
      <c r="O22" s="19">
        <v>0.23</v>
      </c>
      <c r="P22" s="19">
        <v>0</v>
      </c>
      <c r="Q22" s="19">
        <v>0</v>
      </c>
      <c r="R22" s="19">
        <f>1.14+0.55</f>
        <v>1.69</v>
      </c>
      <c r="S22" s="19">
        <v>0</v>
      </c>
      <c r="T22" s="19">
        <v>0</v>
      </c>
      <c r="U22" s="19">
        <v>0</v>
      </c>
      <c r="V22" s="19"/>
      <c r="W22" s="19"/>
      <c r="X22" s="19"/>
      <c r="Y22" s="19"/>
      <c r="Z22" s="19">
        <v>0.01</v>
      </c>
      <c r="AA22" s="19"/>
      <c r="AB22" s="19"/>
      <c r="AC22" s="19">
        <v>0</v>
      </c>
      <c r="AD22" s="19"/>
      <c r="AE22" s="19">
        <v>0</v>
      </c>
      <c r="AF22" s="19">
        <v>0.05</v>
      </c>
      <c r="AG22" s="19"/>
      <c r="AH22" s="19"/>
      <c r="AI22" s="19"/>
      <c r="AJ22" s="19"/>
      <c r="AK22" s="19"/>
      <c r="AL22" s="19"/>
      <c r="AM22" s="19"/>
      <c r="AN22" s="37">
        <v>0.81</v>
      </c>
      <c r="AO22" s="19">
        <v>0.02</v>
      </c>
      <c r="AP22" s="19">
        <v>0.01</v>
      </c>
      <c r="AQ22" s="19">
        <f>0.00136</f>
        <v>1.3600000000000001E-3</v>
      </c>
      <c r="AR22" s="37"/>
      <c r="AS22" s="37"/>
      <c r="AT22" s="21">
        <v>0</v>
      </c>
      <c r="AU22" s="21">
        <v>0</v>
      </c>
      <c r="AV22" s="21"/>
      <c r="AW22" s="21"/>
      <c r="AX22" s="21"/>
      <c r="AY22" s="21"/>
      <c r="AZ22" s="21"/>
      <c r="BA22" s="21">
        <v>0</v>
      </c>
      <c r="BB22" s="21">
        <v>0</v>
      </c>
      <c r="BC22" s="21">
        <v>0</v>
      </c>
      <c r="BD22" s="21">
        <v>0</v>
      </c>
      <c r="BE22" s="20"/>
      <c r="BF22" s="28"/>
      <c r="BG22" s="23">
        <v>0</v>
      </c>
      <c r="BH22" s="25">
        <v>0</v>
      </c>
      <c r="BI22" s="25"/>
      <c r="BJ22" s="25"/>
      <c r="BK22" s="25">
        <f>0.000114</f>
        <v>1.1400000000000001E-4</v>
      </c>
      <c r="BL22" s="25">
        <v>0</v>
      </c>
      <c r="BM22" s="25">
        <v>0</v>
      </c>
      <c r="BN22" s="25">
        <v>0</v>
      </c>
      <c r="BO22" s="25">
        <v>0</v>
      </c>
      <c r="BP22" s="27"/>
      <c r="BQ22" s="27"/>
      <c r="BR22" s="25"/>
      <c r="BS22" s="27"/>
    </row>
    <row r="23" spans="1:71" ht="68" hidden="1" x14ac:dyDescent="0.2">
      <c r="A23" s="3">
        <v>22</v>
      </c>
      <c r="B23" s="2" t="s">
        <v>108</v>
      </c>
      <c r="C23" s="3" t="s">
        <v>106</v>
      </c>
      <c r="D23" s="3" t="s">
        <v>1</v>
      </c>
      <c r="E23" s="35" t="s">
        <v>109</v>
      </c>
      <c r="F23" s="3" t="s">
        <v>0</v>
      </c>
      <c r="G23" s="3" t="s">
        <v>1</v>
      </c>
      <c r="H23" s="3" t="s">
        <v>1</v>
      </c>
      <c r="I23" s="3" t="s">
        <v>1</v>
      </c>
      <c r="J23" s="3" t="s">
        <v>1</v>
      </c>
      <c r="K23" s="3" t="s">
        <v>0</v>
      </c>
      <c r="L23" s="3" t="s">
        <v>0</v>
      </c>
      <c r="M23" s="3" t="s">
        <v>2</v>
      </c>
      <c r="N23" s="3" t="s">
        <v>2</v>
      </c>
      <c r="O23" s="19">
        <v>0.42</v>
      </c>
      <c r="P23" s="19">
        <v>0</v>
      </c>
      <c r="Q23" s="19">
        <v>0</v>
      </c>
      <c r="R23" s="19">
        <v>0</v>
      </c>
      <c r="S23" s="19">
        <v>0</v>
      </c>
      <c r="T23" s="19">
        <v>0</v>
      </c>
      <c r="U23" s="19">
        <v>0</v>
      </c>
      <c r="V23" s="19"/>
      <c r="W23" s="19"/>
      <c r="X23" s="19"/>
      <c r="Y23" s="19"/>
      <c r="Z23" s="19">
        <v>0</v>
      </c>
      <c r="AA23" s="19"/>
      <c r="AB23" s="19"/>
      <c r="AC23" s="19">
        <v>0</v>
      </c>
      <c r="AD23" s="19"/>
      <c r="AE23" s="19">
        <v>0</v>
      </c>
      <c r="AF23" s="19">
        <v>0</v>
      </c>
      <c r="AG23" s="19"/>
      <c r="AH23" s="19"/>
      <c r="AI23" s="19"/>
      <c r="AJ23" s="19"/>
      <c r="AK23" s="19"/>
      <c r="AL23" s="19"/>
      <c r="AM23" s="19"/>
      <c r="AN23" s="19">
        <v>0.55400000000000005</v>
      </c>
      <c r="AO23" s="19">
        <v>2.5999999999999999E-2</v>
      </c>
      <c r="AP23" s="19">
        <v>0</v>
      </c>
      <c r="AQ23" s="19">
        <v>0</v>
      </c>
      <c r="AR23" s="19"/>
      <c r="AS23" s="19"/>
      <c r="AT23" s="21">
        <v>0</v>
      </c>
      <c r="AU23" s="21">
        <v>0</v>
      </c>
      <c r="AV23" s="21"/>
      <c r="AW23" s="21"/>
      <c r="AX23" s="21"/>
      <c r="AY23" s="21"/>
      <c r="AZ23" s="21"/>
      <c r="BA23" s="21">
        <v>0</v>
      </c>
      <c r="BB23" s="21">
        <v>0</v>
      </c>
      <c r="BC23" s="21">
        <v>0</v>
      </c>
      <c r="BD23" s="21">
        <v>0</v>
      </c>
      <c r="BE23" s="20"/>
      <c r="BF23" s="21"/>
      <c r="BG23" s="23">
        <v>0</v>
      </c>
      <c r="BH23" s="25">
        <v>0</v>
      </c>
      <c r="BI23" s="25"/>
      <c r="BJ23" s="25"/>
      <c r="BK23" s="25">
        <v>0</v>
      </c>
      <c r="BL23" s="25">
        <v>0</v>
      </c>
      <c r="BM23" s="25">
        <v>0</v>
      </c>
      <c r="BN23" s="25">
        <v>0</v>
      </c>
      <c r="BO23" s="25">
        <v>0</v>
      </c>
      <c r="BP23" s="27"/>
      <c r="BQ23" s="27"/>
      <c r="BR23" s="25"/>
      <c r="BS23" s="27"/>
    </row>
    <row r="24" spans="1:71" ht="119" hidden="1" x14ac:dyDescent="0.2">
      <c r="A24" s="3">
        <v>23</v>
      </c>
      <c r="B24" s="38" t="s">
        <v>110</v>
      </c>
      <c r="C24" s="3" t="s">
        <v>111</v>
      </c>
      <c r="D24" s="5" t="s">
        <v>112</v>
      </c>
      <c r="E24" s="35" t="s">
        <v>196</v>
      </c>
      <c r="F24" s="3" t="s">
        <v>77</v>
      </c>
      <c r="G24" s="3" t="s">
        <v>77</v>
      </c>
      <c r="H24" s="3" t="s">
        <v>77</v>
      </c>
      <c r="I24" s="3" t="s">
        <v>113</v>
      </c>
      <c r="J24" s="3" t="s">
        <v>2</v>
      </c>
      <c r="K24" s="3" t="s">
        <v>77</v>
      </c>
      <c r="L24" s="3" t="s">
        <v>77</v>
      </c>
      <c r="M24" s="3">
        <v>13.3</v>
      </c>
      <c r="N24" s="3" t="s">
        <v>2</v>
      </c>
      <c r="O24" s="19">
        <f>(1.836*80)/(0.62*80)</f>
        <v>2.9612903225806448</v>
      </c>
      <c r="P24" s="19">
        <f>(0.083*310)/(0.62*80)</f>
        <v>0.51875000000000004</v>
      </c>
      <c r="Q24" s="19">
        <f>P24*((252)/(0.083*312))</f>
        <v>5.0480769230769234</v>
      </c>
      <c r="R24" s="19">
        <v>0</v>
      </c>
      <c r="S24" s="19">
        <v>0</v>
      </c>
      <c r="T24" s="19">
        <v>0</v>
      </c>
      <c r="U24" s="19">
        <v>0</v>
      </c>
      <c r="V24" s="19"/>
      <c r="W24" s="19"/>
      <c r="X24" s="19"/>
      <c r="Y24" s="19"/>
      <c r="Z24" s="19">
        <f>((27.2*0.277)/(0.62*80))</f>
        <v>0.15190322580645163</v>
      </c>
      <c r="AA24" s="19"/>
      <c r="AB24" s="19"/>
      <c r="AC24" s="19">
        <v>0</v>
      </c>
      <c r="AD24" s="19"/>
      <c r="AE24" s="19">
        <v>0</v>
      </c>
      <c r="AF24" s="19">
        <v>0</v>
      </c>
      <c r="AG24" s="19"/>
      <c r="AH24" s="19"/>
      <c r="AI24" s="19"/>
      <c r="AJ24" s="19"/>
      <c r="AK24" s="19"/>
      <c r="AL24" s="19"/>
      <c r="AM24" s="19"/>
      <c r="AN24" s="19">
        <v>0</v>
      </c>
      <c r="AO24" s="19">
        <v>0</v>
      </c>
      <c r="AP24" s="19">
        <v>0</v>
      </c>
      <c r="AQ24" s="19">
        <v>0</v>
      </c>
      <c r="AR24" s="19"/>
      <c r="AS24" s="19"/>
      <c r="AT24" s="21">
        <v>0</v>
      </c>
      <c r="AU24" s="21"/>
      <c r="AV24" s="21"/>
      <c r="AW24" s="21"/>
      <c r="AX24" s="21"/>
      <c r="AY24" s="21">
        <f>615/(0.62*80)</f>
        <v>12.399193548387096</v>
      </c>
      <c r="AZ24" s="21"/>
      <c r="BA24" s="21">
        <v>0</v>
      </c>
      <c r="BB24" s="21">
        <v>0</v>
      </c>
      <c r="BC24" s="21">
        <v>0</v>
      </c>
      <c r="BD24" s="21">
        <v>0</v>
      </c>
      <c r="BE24" s="20"/>
      <c r="BF24" s="21"/>
      <c r="BG24" s="23">
        <v>0</v>
      </c>
      <c r="BH24" s="25">
        <v>0</v>
      </c>
      <c r="BI24" s="25"/>
      <c r="BJ24" s="25"/>
      <c r="BK24" s="25">
        <v>0</v>
      </c>
      <c r="BL24" s="25">
        <v>0</v>
      </c>
      <c r="BM24" s="25">
        <v>0</v>
      </c>
      <c r="BN24" s="25">
        <v>0</v>
      </c>
      <c r="BO24" s="25">
        <v>0</v>
      </c>
      <c r="BP24" s="25"/>
      <c r="BQ24" s="25"/>
      <c r="BR24" s="25"/>
      <c r="BS24" s="27"/>
    </row>
    <row r="25" spans="1:71" ht="102" hidden="1" x14ac:dyDescent="0.2">
      <c r="A25" s="3">
        <v>24</v>
      </c>
      <c r="B25" s="2" t="s">
        <v>110</v>
      </c>
      <c r="C25" s="3" t="s">
        <v>111</v>
      </c>
      <c r="D25" s="5" t="s">
        <v>112</v>
      </c>
      <c r="E25" s="35" t="s">
        <v>197</v>
      </c>
      <c r="F25" s="3" t="s">
        <v>77</v>
      </c>
      <c r="G25" s="3" t="s">
        <v>77</v>
      </c>
      <c r="H25" s="3" t="s">
        <v>77</v>
      </c>
      <c r="I25" s="3" t="s">
        <v>113</v>
      </c>
      <c r="J25" s="3" t="s">
        <v>2</v>
      </c>
      <c r="K25" s="3" t="s">
        <v>77</v>
      </c>
      <c r="L25" s="3" t="s">
        <v>77</v>
      </c>
      <c r="M25" s="3">
        <v>13.3</v>
      </c>
      <c r="N25" s="3" t="s">
        <v>2</v>
      </c>
      <c r="O25" s="19">
        <f>(1.836*95.1)/(0.627*98)</f>
        <v>2.8415779709012794</v>
      </c>
      <c r="P25" s="19">
        <f>(0.083*312)/(0.62*98)</f>
        <v>0.426201448321264</v>
      </c>
      <c r="Q25" s="19">
        <f>P25*((252)/(0.083*312))</f>
        <v>4.1474654377880187</v>
      </c>
      <c r="R25" s="19">
        <v>0</v>
      </c>
      <c r="S25" s="19">
        <v>0</v>
      </c>
      <c r="T25" s="19">
        <v>0</v>
      </c>
      <c r="U25" s="19">
        <v>0</v>
      </c>
      <c r="V25" s="19"/>
      <c r="W25" s="19"/>
      <c r="X25" s="19"/>
      <c r="Y25" s="19"/>
      <c r="Z25" s="19">
        <f>((33.3*0.277)/(0.62*80))</f>
        <v>0.18596975806451613</v>
      </c>
      <c r="AA25" s="19"/>
      <c r="AB25" s="19"/>
      <c r="AC25" s="19">
        <v>0</v>
      </c>
      <c r="AD25" s="19"/>
      <c r="AE25" s="19">
        <v>0</v>
      </c>
      <c r="AF25" s="19">
        <v>0</v>
      </c>
      <c r="AG25" s="19"/>
      <c r="AH25" s="19"/>
      <c r="AI25" s="19"/>
      <c r="AJ25" s="19"/>
      <c r="AK25" s="19"/>
      <c r="AL25" s="19"/>
      <c r="AM25" s="19"/>
      <c r="AN25" s="19">
        <v>0</v>
      </c>
      <c r="AO25" s="19">
        <v>0</v>
      </c>
      <c r="AP25" s="19">
        <v>0</v>
      </c>
      <c r="AQ25" s="19">
        <v>0</v>
      </c>
      <c r="AR25" s="19"/>
      <c r="AS25" s="19"/>
      <c r="AT25" s="21">
        <v>0</v>
      </c>
      <c r="AU25" s="21"/>
      <c r="AV25" s="21"/>
      <c r="AW25" s="21"/>
      <c r="AX25" s="21"/>
      <c r="AY25" s="21">
        <f>721/(0.62*80)</f>
        <v>14.536290322580644</v>
      </c>
      <c r="AZ25" s="21"/>
      <c r="BA25" s="21">
        <v>0</v>
      </c>
      <c r="BB25" s="21">
        <v>0</v>
      </c>
      <c r="BC25" s="21">
        <v>0</v>
      </c>
      <c r="BD25" s="21">
        <v>0</v>
      </c>
      <c r="BE25" s="20"/>
      <c r="BF25" s="21"/>
      <c r="BG25" s="23">
        <v>0</v>
      </c>
      <c r="BH25" s="25">
        <v>0</v>
      </c>
      <c r="BI25" s="25"/>
      <c r="BJ25" s="25"/>
      <c r="BK25" s="25">
        <v>0</v>
      </c>
      <c r="BL25" s="25">
        <v>0</v>
      </c>
      <c r="BM25" s="25">
        <v>0</v>
      </c>
      <c r="BN25" s="25">
        <v>0</v>
      </c>
      <c r="BO25" s="25">
        <v>0</v>
      </c>
      <c r="BP25" s="27"/>
      <c r="BQ25" s="27"/>
      <c r="BR25" s="25"/>
      <c r="BS25" s="27"/>
    </row>
    <row r="26" spans="1:71" ht="52" hidden="1" x14ac:dyDescent="0.2">
      <c r="A26" s="3">
        <v>25</v>
      </c>
      <c r="B26" s="2" t="s">
        <v>114</v>
      </c>
      <c r="C26" s="3" t="s">
        <v>111</v>
      </c>
      <c r="D26" s="5" t="s">
        <v>112</v>
      </c>
      <c r="E26" s="2" t="s">
        <v>115</v>
      </c>
      <c r="F26" s="3" t="s">
        <v>77</v>
      </c>
      <c r="G26" s="3" t="s">
        <v>77</v>
      </c>
      <c r="H26" s="3" t="s">
        <v>77</v>
      </c>
      <c r="I26" s="3" t="s">
        <v>2</v>
      </c>
      <c r="J26" s="3" t="s">
        <v>2</v>
      </c>
      <c r="K26" s="3" t="s">
        <v>0</v>
      </c>
      <c r="L26" s="3" t="s">
        <v>77</v>
      </c>
      <c r="M26" s="3" t="s">
        <v>2</v>
      </c>
      <c r="N26" s="3" t="s">
        <v>2</v>
      </c>
      <c r="O26" s="19">
        <v>2.75</v>
      </c>
      <c r="P26" s="19">
        <v>0.52</v>
      </c>
      <c r="Q26" s="19">
        <f>8.9*P26</f>
        <v>4.6280000000000001</v>
      </c>
      <c r="R26" s="19">
        <v>0</v>
      </c>
      <c r="S26" s="19">
        <v>0</v>
      </c>
      <c r="T26" s="19">
        <v>0</v>
      </c>
      <c r="U26" s="19">
        <v>0</v>
      </c>
      <c r="V26" s="19"/>
      <c r="W26" s="19"/>
      <c r="X26" s="19">
        <f>0.164*O26</f>
        <v>0.45100000000000001</v>
      </c>
      <c r="Y26" s="19">
        <f>54.727*P26</f>
        <v>28.45804</v>
      </c>
      <c r="Z26" s="19">
        <v>0.33</v>
      </c>
      <c r="AA26" s="19"/>
      <c r="AB26" s="19"/>
      <c r="AC26" s="19">
        <v>0</v>
      </c>
      <c r="AD26" s="19"/>
      <c r="AE26" s="19">
        <v>0</v>
      </c>
      <c r="AF26" s="19">
        <v>0</v>
      </c>
      <c r="AG26" s="19"/>
      <c r="AH26" s="19"/>
      <c r="AI26" s="19"/>
      <c r="AJ26" s="19"/>
      <c r="AK26" s="19"/>
      <c r="AL26" s="19"/>
      <c r="AM26" s="19"/>
      <c r="AN26" s="19">
        <v>0</v>
      </c>
      <c r="AO26" s="19">
        <v>0</v>
      </c>
      <c r="AP26" s="19">
        <v>0</v>
      </c>
      <c r="AQ26" s="19">
        <v>0</v>
      </c>
      <c r="AR26" s="19"/>
      <c r="AS26" s="19"/>
      <c r="AT26" s="21">
        <v>0</v>
      </c>
      <c r="AU26" s="21">
        <v>0</v>
      </c>
      <c r="AV26" s="21"/>
      <c r="AW26" s="21"/>
      <c r="AX26" s="21"/>
      <c r="AY26" s="21">
        <v>0</v>
      </c>
      <c r="AZ26" s="21">
        <v>1.02</v>
      </c>
      <c r="BA26" s="21">
        <v>0</v>
      </c>
      <c r="BB26" s="21">
        <v>0</v>
      </c>
      <c r="BC26" s="21">
        <v>0</v>
      </c>
      <c r="BD26" s="21">
        <v>0</v>
      </c>
      <c r="BE26" s="21"/>
      <c r="BF26" s="21"/>
      <c r="BG26" s="23">
        <v>0</v>
      </c>
      <c r="BH26" s="25">
        <v>0</v>
      </c>
      <c r="BI26" s="25">
        <v>0</v>
      </c>
      <c r="BJ26" s="25"/>
      <c r="BK26" s="25">
        <v>0</v>
      </c>
      <c r="BL26" s="25">
        <v>0</v>
      </c>
      <c r="BM26" s="25">
        <v>0</v>
      </c>
      <c r="BN26" s="25">
        <v>0</v>
      </c>
      <c r="BO26" s="25">
        <v>0</v>
      </c>
      <c r="BP26" s="27"/>
      <c r="BQ26" s="27"/>
      <c r="BR26" s="25"/>
      <c r="BS26" s="27"/>
    </row>
    <row r="27" spans="1:71" ht="221" hidden="1" x14ac:dyDescent="0.2">
      <c r="A27" s="3">
        <v>26</v>
      </c>
      <c r="B27" s="2" t="s">
        <v>116</v>
      </c>
      <c r="C27" s="3" t="s">
        <v>111</v>
      </c>
      <c r="D27" s="5" t="s">
        <v>112</v>
      </c>
      <c r="E27" s="35" t="s">
        <v>117</v>
      </c>
      <c r="F27" s="3" t="s">
        <v>77</v>
      </c>
      <c r="G27" s="3" t="s">
        <v>77</v>
      </c>
      <c r="H27" s="3" t="s">
        <v>0</v>
      </c>
      <c r="I27" s="3" t="s">
        <v>2</v>
      </c>
      <c r="J27" s="3">
        <v>7</v>
      </c>
      <c r="K27" s="3" t="s">
        <v>77</v>
      </c>
      <c r="L27" s="3" t="s">
        <v>0</v>
      </c>
      <c r="M27" s="3">
        <v>1</v>
      </c>
      <c r="N27" s="3">
        <v>7</v>
      </c>
      <c r="O27" s="19">
        <f>50*0.06</f>
        <v>3</v>
      </c>
      <c r="P27" s="19">
        <f>50*0.01</f>
        <v>0.5</v>
      </c>
      <c r="Q27" s="19">
        <f>P27*(120/1)*(0.14-0.08)</f>
        <v>3.6000000000000005</v>
      </c>
      <c r="R27" s="19">
        <v>0</v>
      </c>
      <c r="S27" s="19">
        <f>(O27*(1/1000)*0.08)</f>
        <v>2.4000000000000001E-4</v>
      </c>
      <c r="T27" s="19">
        <v>0</v>
      </c>
      <c r="U27" s="19">
        <v>0</v>
      </c>
      <c r="V27" s="19">
        <f>(3700/1000)*O27</f>
        <v>11.100000000000001</v>
      </c>
      <c r="W27" s="19"/>
      <c r="X27" s="19">
        <f>(60.5/1000)*O27</f>
        <v>0.18149999999999999</v>
      </c>
      <c r="Y27" s="19">
        <f>(P27*(120/1)*0.48)</f>
        <v>28.799999999999997</v>
      </c>
      <c r="Z27" s="19">
        <v>0</v>
      </c>
      <c r="AA27" s="19"/>
      <c r="AB27" s="19"/>
      <c r="AC27" s="19">
        <v>0</v>
      </c>
      <c r="AD27" s="19">
        <f>(O27*(1/1000)*(3700-3200))</f>
        <v>1.5</v>
      </c>
      <c r="AE27" s="19">
        <v>0</v>
      </c>
      <c r="AF27" s="19">
        <v>0</v>
      </c>
      <c r="AG27" s="19"/>
      <c r="AH27" s="19"/>
      <c r="AI27" s="19"/>
      <c r="AJ27" s="19"/>
      <c r="AK27" s="19"/>
      <c r="AL27" s="19"/>
      <c r="AM27" s="19"/>
      <c r="AN27" s="19">
        <v>0</v>
      </c>
      <c r="AO27" s="19">
        <v>0</v>
      </c>
      <c r="AP27" s="19">
        <v>0</v>
      </c>
      <c r="AQ27" s="19">
        <v>0</v>
      </c>
      <c r="AR27" s="19"/>
      <c r="AS27" s="19">
        <f>(O27*(1/1000)*0.045)</f>
        <v>1.35E-4</v>
      </c>
      <c r="AT27" s="21">
        <v>0</v>
      </c>
      <c r="AU27" s="21">
        <v>0</v>
      </c>
      <c r="AV27" s="21"/>
      <c r="AW27" s="21"/>
      <c r="AX27" s="21"/>
      <c r="AY27" s="21">
        <f>(50*0.18)+(P27*(120/1)*0.52)</f>
        <v>40.200000000000003</v>
      </c>
      <c r="AZ27" s="21"/>
      <c r="BA27" s="21">
        <v>0</v>
      </c>
      <c r="BB27" s="21">
        <v>0</v>
      </c>
      <c r="BC27" s="21">
        <v>0</v>
      </c>
      <c r="BD27" s="21">
        <v>0</v>
      </c>
      <c r="BE27" s="21"/>
      <c r="BF27" s="21"/>
      <c r="BG27" s="23">
        <v>0</v>
      </c>
      <c r="BH27" s="25">
        <v>0</v>
      </c>
      <c r="BI27" s="25">
        <f>50*0.05</f>
        <v>2.5</v>
      </c>
      <c r="BJ27" s="25"/>
      <c r="BK27" s="25">
        <v>0</v>
      </c>
      <c r="BL27" s="25">
        <v>0</v>
      </c>
      <c r="BM27" s="25">
        <v>0</v>
      </c>
      <c r="BN27" s="25">
        <v>0</v>
      </c>
      <c r="BO27" s="25">
        <v>0</v>
      </c>
      <c r="BP27" s="25">
        <f>(O27*(1/1000)*0.1)</f>
        <v>3.0000000000000003E-4</v>
      </c>
      <c r="BQ27" s="25">
        <f>(O27*(1/1000)*2.6)</f>
        <v>7.8000000000000005E-3</v>
      </c>
      <c r="BR27" s="25"/>
      <c r="BS27" s="27"/>
    </row>
    <row r="28" spans="1:71" ht="119" hidden="1" x14ac:dyDescent="0.2">
      <c r="A28" s="3">
        <v>27</v>
      </c>
      <c r="B28" s="2" t="s">
        <v>118</v>
      </c>
      <c r="C28" s="3" t="s">
        <v>111</v>
      </c>
      <c r="D28" s="5" t="s">
        <v>112</v>
      </c>
      <c r="E28" s="2" t="s">
        <v>119</v>
      </c>
      <c r="F28" s="3" t="s">
        <v>77</v>
      </c>
      <c r="G28" s="3" t="s">
        <v>0</v>
      </c>
      <c r="H28" s="3" t="s">
        <v>77</v>
      </c>
      <c r="I28" s="3" t="s">
        <v>2</v>
      </c>
      <c r="J28" s="3" t="s">
        <v>2</v>
      </c>
      <c r="K28" s="3" t="s">
        <v>0</v>
      </c>
      <c r="L28" s="3" t="s">
        <v>77</v>
      </c>
      <c r="M28" s="3" t="s">
        <v>2</v>
      </c>
      <c r="N28" s="3" t="s">
        <v>2</v>
      </c>
      <c r="O28" s="19">
        <v>2.9390000000000001</v>
      </c>
      <c r="P28" s="19">
        <v>0.50600000000000001</v>
      </c>
      <c r="Q28" s="19">
        <v>0</v>
      </c>
      <c r="R28" s="19">
        <v>0</v>
      </c>
      <c r="S28" s="19">
        <v>0</v>
      </c>
      <c r="T28" s="19">
        <v>0</v>
      </c>
      <c r="U28" s="19">
        <v>0</v>
      </c>
      <c r="V28" s="19"/>
      <c r="W28" s="19"/>
      <c r="X28" s="19"/>
      <c r="Y28" s="19"/>
      <c r="Z28" s="19">
        <v>0.33</v>
      </c>
      <c r="AA28" s="19"/>
      <c r="AB28" s="19"/>
      <c r="AC28" s="19">
        <v>0</v>
      </c>
      <c r="AD28" s="19"/>
      <c r="AE28" s="19">
        <v>0</v>
      </c>
      <c r="AF28" s="19">
        <v>0</v>
      </c>
      <c r="AG28" s="19"/>
      <c r="AH28" s="19"/>
      <c r="AI28" s="19"/>
      <c r="AJ28" s="19"/>
      <c r="AK28" s="19"/>
      <c r="AL28" s="19"/>
      <c r="AM28" s="19"/>
      <c r="AN28" s="19">
        <v>0</v>
      </c>
      <c r="AO28" s="19">
        <v>0</v>
      </c>
      <c r="AP28" s="19">
        <v>0</v>
      </c>
      <c r="AQ28" s="19">
        <v>0</v>
      </c>
      <c r="AR28" s="19"/>
      <c r="AS28" s="19"/>
      <c r="AT28" s="21">
        <v>8.9999999999999993E-3</v>
      </c>
      <c r="AU28" s="21">
        <v>0</v>
      </c>
      <c r="AV28" s="21"/>
      <c r="AW28" s="21"/>
      <c r="AX28" s="21"/>
      <c r="AY28" s="21">
        <v>0</v>
      </c>
      <c r="AZ28" s="21"/>
      <c r="BA28" s="21">
        <v>0</v>
      </c>
      <c r="BB28" s="21">
        <v>0</v>
      </c>
      <c r="BC28" s="21">
        <v>0</v>
      </c>
      <c r="BD28" s="21">
        <v>0</v>
      </c>
      <c r="BE28" s="21"/>
      <c r="BF28" s="21"/>
      <c r="BG28" s="23">
        <v>0</v>
      </c>
      <c r="BH28" s="25">
        <v>0.19400000000000001</v>
      </c>
      <c r="BI28" s="25">
        <v>0</v>
      </c>
      <c r="BJ28" s="25"/>
      <c r="BK28" s="25">
        <v>0</v>
      </c>
      <c r="BL28" s="25">
        <v>0</v>
      </c>
      <c r="BM28" s="25">
        <v>0</v>
      </c>
      <c r="BN28" s="25">
        <v>0</v>
      </c>
      <c r="BO28" s="25">
        <v>0</v>
      </c>
      <c r="BP28" s="27"/>
      <c r="BQ28" s="27"/>
      <c r="BR28" s="25"/>
      <c r="BS28" s="27"/>
    </row>
    <row r="29" spans="1:71" ht="187" hidden="1" x14ac:dyDescent="0.2">
      <c r="A29" s="3">
        <v>28</v>
      </c>
      <c r="B29" s="2" t="s">
        <v>120</v>
      </c>
      <c r="C29" s="3" t="s">
        <v>111</v>
      </c>
      <c r="D29" s="5" t="s">
        <v>112</v>
      </c>
      <c r="E29" s="35" t="s">
        <v>121</v>
      </c>
      <c r="F29" s="3" t="s">
        <v>77</v>
      </c>
      <c r="G29" s="3" t="s">
        <v>77</v>
      </c>
      <c r="H29" s="3" t="s">
        <v>77</v>
      </c>
      <c r="I29" s="3" t="s">
        <v>2</v>
      </c>
      <c r="J29" s="3" t="s">
        <v>2</v>
      </c>
      <c r="K29" s="3" t="s">
        <v>0</v>
      </c>
      <c r="L29" s="3" t="s">
        <v>77</v>
      </c>
      <c r="M29" s="3" t="s">
        <v>2</v>
      </c>
      <c r="N29" s="3" t="s">
        <v>2</v>
      </c>
      <c r="O29" s="19">
        <v>2.9390000000000001</v>
      </c>
      <c r="P29" s="19">
        <v>0.50600000000000001</v>
      </c>
      <c r="Q29" s="19">
        <v>0</v>
      </c>
      <c r="R29" s="19">
        <v>0</v>
      </c>
      <c r="S29" s="19">
        <v>0</v>
      </c>
      <c r="T29" s="19">
        <v>0</v>
      </c>
      <c r="U29" s="19">
        <v>0</v>
      </c>
      <c r="V29" s="19"/>
      <c r="W29" s="19"/>
      <c r="X29" s="19"/>
      <c r="Y29" s="19">
        <f>50*P29</f>
        <v>25.3</v>
      </c>
      <c r="Z29" s="19">
        <f>0.33</f>
        <v>0.33</v>
      </c>
      <c r="AA29" s="19"/>
      <c r="AB29" s="19"/>
      <c r="AC29" s="19">
        <v>0</v>
      </c>
      <c r="AD29" s="19"/>
      <c r="AE29" s="19">
        <v>0</v>
      </c>
      <c r="AF29" s="19">
        <v>0</v>
      </c>
      <c r="AG29" s="19"/>
      <c r="AH29" s="19"/>
      <c r="AI29" s="19"/>
      <c r="AJ29" s="19"/>
      <c r="AK29" s="19"/>
      <c r="AL29" s="19"/>
      <c r="AM29" s="19"/>
      <c r="AN29" s="19">
        <v>0</v>
      </c>
      <c r="AO29" s="19">
        <v>0</v>
      </c>
      <c r="AP29" s="19">
        <v>0</v>
      </c>
      <c r="AQ29" s="19">
        <v>0</v>
      </c>
      <c r="AR29" s="19"/>
      <c r="AS29" s="19"/>
      <c r="AT29" s="21">
        <v>8.9999999999999993E-3</v>
      </c>
      <c r="AU29" s="21">
        <v>0</v>
      </c>
      <c r="AV29" s="21"/>
      <c r="AW29" s="21"/>
      <c r="AX29" s="21"/>
      <c r="AY29" s="21"/>
      <c r="AZ29" s="21">
        <v>3.008</v>
      </c>
      <c r="BA29" s="21">
        <v>0</v>
      </c>
      <c r="BB29" s="21">
        <v>0</v>
      </c>
      <c r="BC29" s="21">
        <v>0</v>
      </c>
      <c r="BD29" s="21">
        <v>0</v>
      </c>
      <c r="BE29" s="21"/>
      <c r="BF29" s="21"/>
      <c r="BG29" s="23">
        <v>0</v>
      </c>
      <c r="BH29" s="25">
        <v>0.19400000000000001</v>
      </c>
      <c r="BI29" s="25">
        <v>0</v>
      </c>
      <c r="BJ29" s="25"/>
      <c r="BK29" s="25">
        <v>0</v>
      </c>
      <c r="BL29" s="25">
        <v>0</v>
      </c>
      <c r="BM29" s="25">
        <v>0</v>
      </c>
      <c r="BN29" s="25">
        <v>0</v>
      </c>
      <c r="BO29" s="25">
        <v>0</v>
      </c>
      <c r="BP29" s="27"/>
      <c r="BQ29" s="27"/>
      <c r="BR29" s="25"/>
      <c r="BS29" s="27"/>
    </row>
    <row r="30" spans="1:71" ht="238" hidden="1" x14ac:dyDescent="0.2">
      <c r="A30" s="3">
        <v>29</v>
      </c>
      <c r="B30" s="6" t="s">
        <v>122</v>
      </c>
      <c r="C30" s="3" t="s">
        <v>111</v>
      </c>
      <c r="D30" s="5" t="s">
        <v>112</v>
      </c>
      <c r="E30" s="2" t="s">
        <v>123</v>
      </c>
      <c r="F30" s="3" t="s">
        <v>77</v>
      </c>
      <c r="G30" s="3" t="s">
        <v>0</v>
      </c>
      <c r="H30" s="3" t="s">
        <v>0</v>
      </c>
      <c r="I30" s="3" t="s">
        <v>2</v>
      </c>
      <c r="J30" s="3" t="s">
        <v>2</v>
      </c>
      <c r="K30" s="3" t="s">
        <v>77</v>
      </c>
      <c r="L30" s="3" t="s">
        <v>0</v>
      </c>
      <c r="M30" s="3" t="s">
        <v>2</v>
      </c>
      <c r="N30" s="3" t="s">
        <v>2</v>
      </c>
      <c r="O30" s="19">
        <v>2.89</v>
      </c>
      <c r="P30" s="19">
        <v>0.53</v>
      </c>
      <c r="Q30" s="19">
        <v>0</v>
      </c>
      <c r="R30" s="19">
        <v>0</v>
      </c>
      <c r="S30" s="19">
        <v>0</v>
      </c>
      <c r="T30" s="19">
        <v>0</v>
      </c>
      <c r="U30" s="19">
        <v>0</v>
      </c>
      <c r="V30" s="19">
        <f>((2280/1000)*0.277)*O30</f>
        <v>1.8252084000000002</v>
      </c>
      <c r="W30" s="19"/>
      <c r="X30" s="19">
        <f>((695/1000)*0.277)*O30</f>
        <v>0.55636834999999996</v>
      </c>
      <c r="Y30" s="19"/>
      <c r="Z30" s="19">
        <f>(1.19*0.277)</f>
        <v>0.32963000000000003</v>
      </c>
      <c r="AA30" s="19"/>
      <c r="AB30" s="19"/>
      <c r="AC30" s="19">
        <v>0</v>
      </c>
      <c r="AD30" s="19"/>
      <c r="AE30" s="19">
        <v>0</v>
      </c>
      <c r="AF30" s="19">
        <v>0</v>
      </c>
      <c r="AG30" s="19"/>
      <c r="AH30" s="19"/>
      <c r="AI30" s="19"/>
      <c r="AJ30" s="19"/>
      <c r="AK30" s="19"/>
      <c r="AL30" s="19"/>
      <c r="AM30" s="19"/>
      <c r="AN30" s="19">
        <v>0</v>
      </c>
      <c r="AO30" s="19">
        <v>0</v>
      </c>
      <c r="AP30" s="19">
        <v>0</v>
      </c>
      <c r="AQ30" s="19">
        <v>0</v>
      </c>
      <c r="AR30" s="19"/>
      <c r="AS30" s="19"/>
      <c r="AT30" s="21"/>
      <c r="AU30" s="21">
        <v>0</v>
      </c>
      <c r="AV30" s="21"/>
      <c r="AW30" s="21"/>
      <c r="AX30" s="21"/>
      <c r="AY30" s="21">
        <f>10.53</f>
        <v>10.53</v>
      </c>
      <c r="AZ30" s="21"/>
      <c r="BA30" s="21">
        <v>0</v>
      </c>
      <c r="BB30" s="21">
        <v>0</v>
      </c>
      <c r="BC30" s="21">
        <v>0</v>
      </c>
      <c r="BD30" s="21">
        <v>0</v>
      </c>
      <c r="BE30" s="24"/>
      <c r="BF30" s="21"/>
      <c r="BG30" s="23">
        <v>2.25</v>
      </c>
      <c r="BH30" s="25">
        <v>0.14000000000000001</v>
      </c>
      <c r="BI30" s="25">
        <v>0</v>
      </c>
      <c r="BJ30" s="25"/>
      <c r="BK30" s="25">
        <v>0</v>
      </c>
      <c r="BL30" s="25">
        <v>0</v>
      </c>
      <c r="BM30" s="25">
        <v>0</v>
      </c>
      <c r="BN30" s="25">
        <v>0</v>
      </c>
      <c r="BO30" s="25">
        <v>0</v>
      </c>
      <c r="BP30" s="27"/>
      <c r="BQ30" s="27"/>
      <c r="BR30" s="25"/>
      <c r="BS30" s="27"/>
    </row>
    <row r="31" spans="1:71" ht="306" hidden="1" x14ac:dyDescent="0.2">
      <c r="A31" s="3">
        <v>30</v>
      </c>
      <c r="B31" s="6" t="s">
        <v>124</v>
      </c>
      <c r="C31" s="3" t="s">
        <v>111</v>
      </c>
      <c r="D31" s="5" t="s">
        <v>112</v>
      </c>
      <c r="E31" s="2" t="s">
        <v>125</v>
      </c>
      <c r="F31" s="3" t="s">
        <v>77</v>
      </c>
      <c r="G31" s="3" t="s">
        <v>0</v>
      </c>
      <c r="H31" s="3" t="s">
        <v>0</v>
      </c>
      <c r="I31" s="3" t="s">
        <v>2</v>
      </c>
      <c r="J31" s="3" t="s">
        <v>2</v>
      </c>
      <c r="K31" s="3" t="s">
        <v>0</v>
      </c>
      <c r="L31" s="3" t="s">
        <v>0</v>
      </c>
      <c r="M31" s="3" t="s">
        <v>2</v>
      </c>
      <c r="N31" s="3" t="s">
        <v>2</v>
      </c>
      <c r="O31" s="19">
        <f>1.84/0.7168</f>
        <v>2.566964285714286</v>
      </c>
      <c r="P31" s="19">
        <f>(4*0.08988)/0.7168</f>
        <v>0.50156250000000002</v>
      </c>
      <c r="Q31" s="19">
        <v>0</v>
      </c>
      <c r="R31" s="19">
        <v>0</v>
      </c>
      <c r="S31" s="19">
        <v>0</v>
      </c>
      <c r="T31" s="19">
        <v>0</v>
      </c>
      <c r="U31" s="19">
        <v>0</v>
      </c>
      <c r="V31" s="19"/>
      <c r="W31" s="19"/>
      <c r="X31" s="19"/>
      <c r="Y31" s="19"/>
      <c r="Z31" s="19">
        <v>0</v>
      </c>
      <c r="AA31" s="19"/>
      <c r="AB31" s="19"/>
      <c r="AC31" s="19">
        <v>0</v>
      </c>
      <c r="AD31" s="19"/>
      <c r="AE31" s="19">
        <v>0</v>
      </c>
      <c r="AF31" s="19">
        <v>0</v>
      </c>
      <c r="AG31" s="19"/>
      <c r="AH31" s="19"/>
      <c r="AI31" s="19"/>
      <c r="AJ31" s="19"/>
      <c r="AK31" s="19"/>
      <c r="AL31" s="19"/>
      <c r="AM31" s="19"/>
      <c r="AN31" s="19">
        <v>0</v>
      </c>
      <c r="AO31" s="19">
        <v>0</v>
      </c>
      <c r="AP31" s="19">
        <v>0</v>
      </c>
      <c r="AQ31" s="19">
        <v>0</v>
      </c>
      <c r="AR31" s="19"/>
      <c r="AS31" s="19"/>
      <c r="AT31" s="21">
        <v>0</v>
      </c>
      <c r="AU31" s="21"/>
      <c r="AV31" s="21"/>
      <c r="AW31" s="21"/>
      <c r="AX31" s="21"/>
      <c r="AY31" s="21">
        <f>10.56/0.7168</f>
        <v>14.732142857142858</v>
      </c>
      <c r="AZ31" s="21"/>
      <c r="BA31" s="21">
        <v>0</v>
      </c>
      <c r="BB31" s="21">
        <v>0</v>
      </c>
      <c r="BC31" s="21">
        <v>0</v>
      </c>
      <c r="BD31" s="21">
        <v>0</v>
      </c>
      <c r="BE31" s="24"/>
      <c r="BF31" s="21"/>
      <c r="BG31" s="23">
        <f>1.5/0.7168</f>
        <v>2.0926339285714284</v>
      </c>
      <c r="BH31" s="25">
        <v>0</v>
      </c>
      <c r="BI31" s="25">
        <v>0</v>
      </c>
      <c r="BJ31" s="25"/>
      <c r="BK31" s="25">
        <v>0</v>
      </c>
      <c r="BL31" s="25">
        <v>0</v>
      </c>
      <c r="BM31" s="25">
        <v>0</v>
      </c>
      <c r="BN31" s="25">
        <v>0</v>
      </c>
      <c r="BO31" s="25">
        <v>0</v>
      </c>
      <c r="BP31" s="27"/>
      <c r="BQ31" s="27"/>
      <c r="BR31" s="25"/>
      <c r="BS31" s="27"/>
    </row>
    <row r="32" spans="1:71" ht="102" hidden="1" x14ac:dyDescent="0.2">
      <c r="A32" s="39">
        <v>31</v>
      </c>
      <c r="B32" s="7" t="s">
        <v>126</v>
      </c>
      <c r="C32" s="39" t="s">
        <v>127</v>
      </c>
      <c r="D32" s="40" t="s">
        <v>128</v>
      </c>
      <c r="E32" s="41" t="s">
        <v>129</v>
      </c>
      <c r="F32" s="3" t="s">
        <v>0</v>
      </c>
      <c r="G32" s="3" t="s">
        <v>1</v>
      </c>
      <c r="H32" s="3" t="s">
        <v>1</v>
      </c>
      <c r="I32" s="3" t="s">
        <v>1</v>
      </c>
      <c r="J32" s="3" t="s">
        <v>1</v>
      </c>
      <c r="K32" s="3" t="s">
        <v>0</v>
      </c>
      <c r="L32" s="3" t="s">
        <v>1</v>
      </c>
      <c r="M32" s="3" t="s">
        <v>1</v>
      </c>
      <c r="N32" s="3" t="s">
        <v>1</v>
      </c>
      <c r="O32" s="19">
        <v>0.49</v>
      </c>
      <c r="P32" s="19">
        <v>0</v>
      </c>
      <c r="Q32" s="19">
        <v>0</v>
      </c>
      <c r="R32" s="19">
        <v>9000</v>
      </c>
      <c r="S32" s="19">
        <v>0</v>
      </c>
      <c r="T32" s="19">
        <v>0</v>
      </c>
      <c r="U32" s="19">
        <v>0</v>
      </c>
      <c r="V32" s="19"/>
      <c r="W32" s="19"/>
      <c r="X32" s="19"/>
      <c r="Y32" s="19"/>
      <c r="Z32" s="19">
        <f>(497+477+19.6)*0.277</f>
        <v>275.22720000000004</v>
      </c>
      <c r="AA32" s="19"/>
      <c r="AB32" s="19"/>
      <c r="AC32" s="19">
        <v>0</v>
      </c>
      <c r="AD32" s="19"/>
      <c r="AE32" s="19">
        <v>827</v>
      </c>
      <c r="AF32" s="19">
        <v>0</v>
      </c>
      <c r="AG32" s="19"/>
      <c r="AH32" s="19">
        <v>0.71</v>
      </c>
      <c r="AI32" s="19"/>
      <c r="AJ32" s="19"/>
      <c r="AK32" s="19">
        <f>0.000000031</f>
        <v>3.1E-8</v>
      </c>
      <c r="AL32" s="19">
        <f>0.000000031</f>
        <v>3.1E-8</v>
      </c>
      <c r="AM32" s="19">
        <f>0.0003</f>
        <v>2.9999999999999997E-4</v>
      </c>
      <c r="AN32" s="19">
        <v>0</v>
      </c>
      <c r="AO32" s="19">
        <v>0</v>
      </c>
      <c r="AP32" s="19">
        <v>0</v>
      </c>
      <c r="AQ32" s="19">
        <v>0</v>
      </c>
      <c r="AR32" s="19"/>
      <c r="AS32" s="19"/>
      <c r="AT32" s="21">
        <v>0</v>
      </c>
      <c r="AU32" s="21">
        <v>0</v>
      </c>
      <c r="AV32" s="21"/>
      <c r="AW32" s="21"/>
      <c r="AX32" s="21"/>
      <c r="AY32" s="21">
        <v>0</v>
      </c>
      <c r="AZ32" s="21"/>
      <c r="BA32" s="21">
        <v>0</v>
      </c>
      <c r="BB32" s="21">
        <v>0</v>
      </c>
      <c r="BC32" s="21">
        <v>0</v>
      </c>
      <c r="BD32" s="21">
        <v>0</v>
      </c>
      <c r="BE32" s="24"/>
      <c r="BF32" s="21"/>
      <c r="BG32" s="23">
        <v>0</v>
      </c>
      <c r="BH32" s="25">
        <v>0</v>
      </c>
      <c r="BI32" s="25">
        <v>0.20100000000000001</v>
      </c>
      <c r="BJ32" s="25"/>
      <c r="BK32" s="25">
        <v>0</v>
      </c>
      <c r="BL32" s="25">
        <v>1.4E-3</v>
      </c>
      <c r="BM32" s="25">
        <v>0</v>
      </c>
      <c r="BN32" s="25">
        <v>0</v>
      </c>
      <c r="BO32" s="25">
        <v>0</v>
      </c>
      <c r="BP32" s="27"/>
      <c r="BQ32" s="27"/>
      <c r="BR32" s="25">
        <f>0.0003</f>
        <v>2.9999999999999997E-4</v>
      </c>
      <c r="BS32" s="27"/>
    </row>
    <row r="33" spans="1:71" ht="102" hidden="1" x14ac:dyDescent="0.2">
      <c r="A33" s="3">
        <v>32</v>
      </c>
      <c r="B33" s="2" t="s">
        <v>126</v>
      </c>
      <c r="C33" s="3" t="s">
        <v>127</v>
      </c>
      <c r="D33" s="5" t="s">
        <v>128</v>
      </c>
      <c r="E33" s="35" t="s">
        <v>130</v>
      </c>
      <c r="F33" s="3" t="s">
        <v>0</v>
      </c>
      <c r="G33" s="3" t="s">
        <v>1</v>
      </c>
      <c r="H33" s="3" t="s">
        <v>1</v>
      </c>
      <c r="I33" s="3" t="s">
        <v>1</v>
      </c>
      <c r="J33" s="3" t="s">
        <v>1</v>
      </c>
      <c r="K33" s="3" t="s">
        <v>0</v>
      </c>
      <c r="L33" s="3" t="s">
        <v>1</v>
      </c>
      <c r="M33" s="3" t="s">
        <v>1</v>
      </c>
      <c r="N33" s="3" t="s">
        <v>1</v>
      </c>
      <c r="O33" s="19">
        <v>0.49</v>
      </c>
      <c r="P33" s="19">
        <v>0</v>
      </c>
      <c r="Q33" s="19">
        <v>0</v>
      </c>
      <c r="R33" s="19">
        <v>5000</v>
      </c>
      <c r="S33" s="19">
        <v>0</v>
      </c>
      <c r="T33" s="19">
        <v>0</v>
      </c>
      <c r="U33" s="19">
        <v>0</v>
      </c>
      <c r="V33" s="19"/>
      <c r="W33" s="19"/>
      <c r="X33" s="19"/>
      <c r="Y33" s="19"/>
      <c r="Z33" s="19">
        <f>(497+477+19.6)*0.277</f>
        <v>275.22720000000004</v>
      </c>
      <c r="AA33" s="19"/>
      <c r="AB33" s="19"/>
      <c r="AC33" s="19">
        <v>0</v>
      </c>
      <c r="AD33" s="19"/>
      <c r="AE33" s="19">
        <v>471</v>
      </c>
      <c r="AF33" s="19">
        <v>0</v>
      </c>
      <c r="AG33" s="19"/>
      <c r="AH33" s="19">
        <v>0.71</v>
      </c>
      <c r="AI33" s="19"/>
      <c r="AJ33" s="19"/>
      <c r="AK33" s="19">
        <f>0.00000048</f>
        <v>4.7999999999999996E-7</v>
      </c>
      <c r="AL33" s="19">
        <f>0.00000048</f>
        <v>4.7999999999999996E-7</v>
      </c>
      <c r="AM33" s="19"/>
      <c r="AN33" s="19">
        <v>0</v>
      </c>
      <c r="AO33" s="19">
        <v>0</v>
      </c>
      <c r="AP33" s="19">
        <v>0</v>
      </c>
      <c r="AQ33" s="19">
        <v>0</v>
      </c>
      <c r="AR33" s="19"/>
      <c r="AS33" s="19"/>
      <c r="AT33" s="21">
        <v>0</v>
      </c>
      <c r="AU33" s="21">
        <v>0</v>
      </c>
      <c r="AV33" s="21"/>
      <c r="AW33" s="21"/>
      <c r="AX33" s="21"/>
      <c r="AY33" s="21">
        <v>0</v>
      </c>
      <c r="AZ33" s="21"/>
      <c r="BA33" s="21">
        <v>0</v>
      </c>
      <c r="BB33" s="21">
        <v>0</v>
      </c>
      <c r="BC33" s="21">
        <v>0</v>
      </c>
      <c r="BD33" s="21">
        <v>0</v>
      </c>
      <c r="BE33" s="24"/>
      <c r="BF33" s="21"/>
      <c r="BG33" s="23">
        <v>0</v>
      </c>
      <c r="BH33" s="25">
        <v>0</v>
      </c>
      <c r="BI33" s="25">
        <v>0.2</v>
      </c>
      <c r="BJ33" s="25"/>
      <c r="BK33" s="25">
        <v>0</v>
      </c>
      <c r="BL33" s="25">
        <v>5.4999999999999997E-3</v>
      </c>
      <c r="BM33" s="25">
        <v>0</v>
      </c>
      <c r="BN33" s="25">
        <v>0</v>
      </c>
      <c r="BO33" s="25">
        <v>0</v>
      </c>
      <c r="BP33" s="27"/>
      <c r="BQ33" s="27"/>
      <c r="BR33" s="25"/>
      <c r="BS33" s="27"/>
    </row>
    <row r="34" spans="1:71" ht="306" hidden="1" x14ac:dyDescent="0.2">
      <c r="A34" s="3">
        <v>33</v>
      </c>
      <c r="B34" s="2" t="s">
        <v>131</v>
      </c>
      <c r="C34" s="3" t="s">
        <v>127</v>
      </c>
      <c r="D34" s="5" t="s">
        <v>132</v>
      </c>
      <c r="E34" s="35" t="s">
        <v>133</v>
      </c>
      <c r="F34" s="3" t="s">
        <v>0</v>
      </c>
      <c r="G34" s="3" t="s">
        <v>1</v>
      </c>
      <c r="H34" s="3" t="s">
        <v>1</v>
      </c>
      <c r="I34" s="3" t="s">
        <v>1</v>
      </c>
      <c r="J34" s="3" t="s">
        <v>1</v>
      </c>
      <c r="K34" s="3" t="s">
        <v>0</v>
      </c>
      <c r="L34" s="3" t="s">
        <v>0</v>
      </c>
      <c r="M34" s="3" t="s">
        <v>1</v>
      </c>
      <c r="N34" s="3" t="s">
        <v>1</v>
      </c>
      <c r="O34" s="19">
        <f>(7921)/3969</f>
        <v>1.9957168052406147</v>
      </c>
      <c r="P34" s="19">
        <v>0</v>
      </c>
      <c r="Q34" s="19">
        <v>0</v>
      </c>
      <c r="R34" s="19">
        <v>0</v>
      </c>
      <c r="S34" s="19">
        <v>0</v>
      </c>
      <c r="T34" s="19">
        <v>0</v>
      </c>
      <c r="U34" s="19">
        <v>0</v>
      </c>
      <c r="V34" s="19"/>
      <c r="W34" s="19"/>
      <c r="X34" s="19"/>
      <c r="Y34" s="19"/>
      <c r="Z34" s="19">
        <v>0</v>
      </c>
      <c r="AA34" s="19"/>
      <c r="AB34" s="19"/>
      <c r="AC34" s="19">
        <v>0</v>
      </c>
      <c r="AD34" s="19"/>
      <c r="AE34" s="19">
        <f>(116516/3969)</f>
        <v>29.356512975560594</v>
      </c>
      <c r="AF34" s="19">
        <v>0</v>
      </c>
      <c r="AG34" s="19"/>
      <c r="AH34" s="19">
        <f>(4806-1795)/3969</f>
        <v>0.75862937767699667</v>
      </c>
      <c r="AI34" s="19">
        <v>0</v>
      </c>
      <c r="AJ34" s="19">
        <f>3348/3969</f>
        <v>0.84353741496598644</v>
      </c>
      <c r="AK34" s="19">
        <v>0</v>
      </c>
      <c r="AL34" s="19">
        <v>0</v>
      </c>
      <c r="AM34" s="19"/>
      <c r="AN34" s="19">
        <v>0</v>
      </c>
      <c r="AO34" s="19">
        <v>0</v>
      </c>
      <c r="AP34" s="19">
        <v>0</v>
      </c>
      <c r="AQ34" s="19">
        <v>0</v>
      </c>
      <c r="AR34" s="19"/>
      <c r="AS34" s="19"/>
      <c r="AT34" s="21">
        <v>0</v>
      </c>
      <c r="AU34" s="21">
        <v>0</v>
      </c>
      <c r="AV34" s="21"/>
      <c r="AW34" s="21"/>
      <c r="AX34" s="21"/>
      <c r="AY34" s="21">
        <v>0</v>
      </c>
      <c r="AZ34" s="21"/>
      <c r="BA34" s="21">
        <v>0</v>
      </c>
      <c r="BB34" s="21">
        <v>0</v>
      </c>
      <c r="BC34" s="21">
        <v>0</v>
      </c>
      <c r="BD34" s="21">
        <f>2731/3969</f>
        <v>0.6880826404635928</v>
      </c>
      <c r="BE34" s="21">
        <f>1602/3969</f>
        <v>0.40362811791383219</v>
      </c>
      <c r="BF34" s="21"/>
      <c r="BG34" s="23">
        <v>0</v>
      </c>
      <c r="BH34" s="25">
        <f>0.452</f>
        <v>0.45200000000000001</v>
      </c>
      <c r="BI34" s="25">
        <v>0</v>
      </c>
      <c r="BJ34" s="25"/>
      <c r="BK34" s="25">
        <v>0</v>
      </c>
      <c r="BL34" s="25">
        <v>0</v>
      </c>
      <c r="BM34" s="25">
        <v>0</v>
      </c>
      <c r="BN34" s="25">
        <v>0</v>
      </c>
      <c r="BO34" s="25">
        <v>0</v>
      </c>
      <c r="BP34" s="27"/>
      <c r="BQ34" s="27"/>
      <c r="BR34" s="25"/>
      <c r="BS34" s="27"/>
    </row>
    <row r="35" spans="1:71" ht="323" hidden="1" x14ac:dyDescent="0.2">
      <c r="A35" s="3">
        <v>34</v>
      </c>
      <c r="B35" s="2" t="s">
        <v>131</v>
      </c>
      <c r="C35" s="3" t="s">
        <v>127</v>
      </c>
      <c r="D35" s="5" t="s">
        <v>134</v>
      </c>
      <c r="E35" s="35" t="s">
        <v>135</v>
      </c>
      <c r="F35" s="3" t="s">
        <v>0</v>
      </c>
      <c r="G35" s="3" t="s">
        <v>1</v>
      </c>
      <c r="H35" s="3" t="s">
        <v>1</v>
      </c>
      <c r="I35" s="3" t="s">
        <v>1</v>
      </c>
      <c r="J35" s="3" t="s">
        <v>1</v>
      </c>
      <c r="K35" s="3" t="s">
        <v>0</v>
      </c>
      <c r="L35" s="3" t="s">
        <v>0</v>
      </c>
      <c r="M35" s="3" t="s">
        <v>1</v>
      </c>
      <c r="N35" s="3" t="s">
        <v>1</v>
      </c>
      <c r="O35" s="19">
        <f>3520/3773</f>
        <v>0.93294460641399413</v>
      </c>
      <c r="P35" s="19">
        <v>0</v>
      </c>
      <c r="Q35" s="19">
        <v>0</v>
      </c>
      <c r="R35" s="19">
        <v>0</v>
      </c>
      <c r="S35" s="19">
        <v>0</v>
      </c>
      <c r="T35" s="19">
        <v>0</v>
      </c>
      <c r="U35" s="19">
        <v>0</v>
      </c>
      <c r="V35" s="19"/>
      <c r="W35" s="19"/>
      <c r="X35" s="19"/>
      <c r="Y35" s="19"/>
      <c r="Z35" s="19">
        <v>0</v>
      </c>
      <c r="AA35" s="19"/>
      <c r="AB35" s="19"/>
      <c r="AC35" s="19">
        <v>0</v>
      </c>
      <c r="AD35" s="19"/>
      <c r="AE35" s="19">
        <f>272282/3773</f>
        <v>72.165915716936127</v>
      </c>
      <c r="AF35" s="19">
        <v>0</v>
      </c>
      <c r="AG35" s="19"/>
      <c r="AH35" s="19">
        <f>(16405-12279-679-152)/3773</f>
        <v>0.87331036310628152</v>
      </c>
      <c r="AI35" s="19">
        <f>(5790-1510-142)/3773</f>
        <v>1.0967399946991783</v>
      </c>
      <c r="AJ35" s="19">
        <v>0</v>
      </c>
      <c r="AK35" s="19">
        <v>0</v>
      </c>
      <c r="AL35" s="19">
        <v>0</v>
      </c>
      <c r="AM35" s="19"/>
      <c r="AN35" s="19">
        <v>0</v>
      </c>
      <c r="AO35" s="19">
        <v>0</v>
      </c>
      <c r="AP35" s="19">
        <v>0</v>
      </c>
      <c r="AQ35" s="19">
        <v>0</v>
      </c>
      <c r="AR35" s="19"/>
      <c r="AS35" s="19"/>
      <c r="AT35" s="21">
        <v>0</v>
      </c>
      <c r="AU35" s="21">
        <v>0</v>
      </c>
      <c r="AV35" s="21"/>
      <c r="AW35" s="21"/>
      <c r="AX35" s="21"/>
      <c r="AY35" s="21">
        <v>0</v>
      </c>
      <c r="AZ35" s="21"/>
      <c r="BA35" s="21">
        <v>0</v>
      </c>
      <c r="BB35" s="21">
        <v>0</v>
      </c>
      <c r="BC35" s="21">
        <v>0</v>
      </c>
      <c r="BD35" s="21">
        <v>0</v>
      </c>
      <c r="BE35" s="21">
        <v>0</v>
      </c>
      <c r="BF35" s="21"/>
      <c r="BG35" s="23">
        <v>0</v>
      </c>
      <c r="BH35" s="25">
        <v>2.9380000000000002</v>
      </c>
      <c r="BI35" s="25">
        <f>1153/3773</f>
        <v>0.30559236681685659</v>
      </c>
      <c r="BJ35" s="25"/>
      <c r="BK35" s="25">
        <v>0</v>
      </c>
      <c r="BL35" s="25">
        <v>0</v>
      </c>
      <c r="BM35" s="25">
        <v>0</v>
      </c>
      <c r="BN35" s="25">
        <v>0</v>
      </c>
      <c r="BO35" s="25">
        <v>0</v>
      </c>
      <c r="BP35" s="27"/>
      <c r="BQ35" s="27"/>
      <c r="BR35" s="25"/>
      <c r="BS35" s="27"/>
    </row>
    <row r="36" spans="1:71" ht="136" hidden="1" x14ac:dyDescent="0.2">
      <c r="A36" s="3">
        <v>35</v>
      </c>
      <c r="B36" s="2" t="s">
        <v>120</v>
      </c>
      <c r="C36" s="3" t="s">
        <v>136</v>
      </c>
      <c r="D36" s="5" t="s">
        <v>137</v>
      </c>
      <c r="E36" s="2" t="s">
        <v>138</v>
      </c>
      <c r="F36" s="3" t="s">
        <v>77</v>
      </c>
      <c r="G36" s="3" t="s">
        <v>0</v>
      </c>
      <c r="H36" s="3" t="s">
        <v>0</v>
      </c>
      <c r="I36" s="3" t="s">
        <v>2</v>
      </c>
      <c r="J36" s="3" t="s">
        <v>2</v>
      </c>
      <c r="K36" s="3" t="s">
        <v>0</v>
      </c>
      <c r="L36" s="3" t="s">
        <v>0</v>
      </c>
      <c r="M36" s="3" t="s">
        <v>2</v>
      </c>
      <c r="N36" s="3" t="s">
        <v>2</v>
      </c>
      <c r="O36" s="19">
        <v>1.581</v>
      </c>
      <c r="P36" s="19">
        <v>7.1999999999999995E-2</v>
      </c>
      <c r="Q36" s="19"/>
      <c r="R36" s="19"/>
      <c r="S36" s="19"/>
      <c r="T36" s="19"/>
      <c r="U36" s="19"/>
      <c r="V36" s="19"/>
      <c r="W36" s="19"/>
      <c r="X36" s="19"/>
      <c r="Y36" s="19"/>
      <c r="Z36" s="19">
        <v>1.34</v>
      </c>
      <c r="AA36" s="19"/>
      <c r="AB36" s="19"/>
      <c r="AC36" s="19">
        <f>0.61</f>
        <v>0.61</v>
      </c>
      <c r="AD36" s="19"/>
      <c r="AE36" s="19"/>
      <c r="AF36" s="19"/>
      <c r="AG36" s="19"/>
      <c r="AH36" s="19"/>
      <c r="AI36" s="19"/>
      <c r="AJ36" s="19"/>
      <c r="AK36" s="19"/>
      <c r="AL36" s="19"/>
      <c r="AM36" s="19"/>
      <c r="AN36" s="19"/>
      <c r="AO36" s="19"/>
      <c r="AP36" s="19"/>
      <c r="AQ36" s="19"/>
      <c r="AR36" s="19"/>
      <c r="AS36" s="19"/>
      <c r="AT36" s="21"/>
      <c r="AU36" s="21"/>
      <c r="AV36" s="21"/>
      <c r="AW36" s="21"/>
      <c r="AX36" s="21"/>
      <c r="AY36" s="21"/>
      <c r="AZ36" s="21">
        <v>1.6E-2</v>
      </c>
      <c r="BA36" s="21"/>
      <c r="BB36" s="21"/>
      <c r="BC36" s="21"/>
      <c r="BD36" s="21">
        <v>0</v>
      </c>
      <c r="BE36" s="21">
        <v>0</v>
      </c>
      <c r="BF36" s="21"/>
      <c r="BG36" s="23"/>
      <c r="BH36" s="25"/>
      <c r="BI36" s="25"/>
      <c r="BJ36" s="25"/>
      <c r="BK36" s="25">
        <v>0</v>
      </c>
      <c r="BL36" s="25">
        <v>0</v>
      </c>
      <c r="BM36" s="25">
        <v>0</v>
      </c>
      <c r="BN36" s="25">
        <v>0</v>
      </c>
      <c r="BO36" s="25">
        <v>0</v>
      </c>
      <c r="BP36" s="27"/>
      <c r="BQ36" s="27"/>
      <c r="BR36" s="25"/>
      <c r="BS36" s="27"/>
    </row>
    <row r="37" spans="1:71" ht="68" hidden="1" x14ac:dyDescent="0.2">
      <c r="A37" s="3">
        <v>36</v>
      </c>
      <c r="B37" s="2" t="s">
        <v>120</v>
      </c>
      <c r="C37" s="3" t="s">
        <v>136</v>
      </c>
      <c r="D37" s="5" t="s">
        <v>139</v>
      </c>
      <c r="E37" s="2" t="s">
        <v>140</v>
      </c>
      <c r="F37" s="3" t="s">
        <v>0</v>
      </c>
      <c r="G37" s="3" t="s">
        <v>1</v>
      </c>
      <c r="H37" s="3" t="s">
        <v>1</v>
      </c>
      <c r="I37" s="3" t="s">
        <v>1</v>
      </c>
      <c r="J37" s="3" t="s">
        <v>1</v>
      </c>
      <c r="K37" s="3" t="s">
        <v>0</v>
      </c>
      <c r="L37" s="3" t="s">
        <v>0</v>
      </c>
      <c r="M37" s="3" t="s">
        <v>2</v>
      </c>
      <c r="N37" s="3" t="s">
        <v>2</v>
      </c>
      <c r="O37" s="19">
        <v>0.91</v>
      </c>
      <c r="P37" s="19"/>
      <c r="Q37" s="19"/>
      <c r="R37" s="19"/>
      <c r="S37" s="19"/>
      <c r="T37" s="19"/>
      <c r="U37" s="19"/>
      <c r="V37" s="19"/>
      <c r="W37" s="19"/>
      <c r="X37" s="19"/>
      <c r="Y37" s="19"/>
      <c r="Z37" s="19">
        <v>1.98</v>
      </c>
      <c r="AA37" s="19">
        <v>0.26</v>
      </c>
      <c r="AB37" s="19"/>
      <c r="AC37" s="19"/>
      <c r="AD37" s="19"/>
      <c r="AE37" s="19"/>
      <c r="AF37" s="19"/>
      <c r="AG37" s="19"/>
      <c r="AH37" s="19"/>
      <c r="AI37" s="19"/>
      <c r="AJ37" s="19"/>
      <c r="AK37" s="19"/>
      <c r="AL37" s="19"/>
      <c r="AM37" s="19"/>
      <c r="AN37" s="19"/>
      <c r="AO37" s="19"/>
      <c r="AP37" s="19"/>
      <c r="AQ37" s="19"/>
      <c r="AR37" s="19"/>
      <c r="AS37" s="19"/>
      <c r="AT37" s="21">
        <v>0.05</v>
      </c>
      <c r="AU37" s="21"/>
      <c r="AV37" s="21">
        <v>0.20100000000000001</v>
      </c>
      <c r="AW37" s="21"/>
      <c r="AX37" s="21"/>
      <c r="AY37" s="21"/>
      <c r="AZ37" s="21">
        <v>0.33600000000000002</v>
      </c>
      <c r="BA37" s="21"/>
      <c r="BB37" s="21"/>
      <c r="BC37" s="21"/>
      <c r="BD37" s="21">
        <v>0</v>
      </c>
      <c r="BE37" s="21">
        <v>0</v>
      </c>
      <c r="BF37" s="21"/>
      <c r="BG37" s="23"/>
      <c r="BH37" s="25"/>
      <c r="BI37" s="25"/>
      <c r="BJ37" s="25"/>
      <c r="BK37" s="25">
        <v>0</v>
      </c>
      <c r="BL37" s="25">
        <v>0</v>
      </c>
      <c r="BM37" s="25">
        <v>0</v>
      </c>
      <c r="BN37" s="25">
        <v>0</v>
      </c>
      <c r="BO37" s="25">
        <v>0</v>
      </c>
      <c r="BP37" s="27"/>
      <c r="BQ37" s="27"/>
      <c r="BR37" s="25"/>
      <c r="BS37" s="27"/>
    </row>
    <row r="38" spans="1:71" ht="119" hidden="1" x14ac:dyDescent="0.2">
      <c r="A38" s="3">
        <v>37</v>
      </c>
      <c r="B38" s="2" t="s">
        <v>141</v>
      </c>
      <c r="C38" s="3" t="s">
        <v>136</v>
      </c>
      <c r="D38" s="5" t="s">
        <v>137</v>
      </c>
      <c r="E38" s="35" t="s">
        <v>142</v>
      </c>
      <c r="F38" s="3" t="s">
        <v>77</v>
      </c>
      <c r="G38" s="3" t="s">
        <v>0</v>
      </c>
      <c r="H38" s="3" t="s">
        <v>77</v>
      </c>
      <c r="I38" s="3">
        <v>1</v>
      </c>
      <c r="J38" s="3">
        <v>12</v>
      </c>
      <c r="K38" s="3" t="s">
        <v>0</v>
      </c>
      <c r="L38" s="3" t="s">
        <v>77</v>
      </c>
      <c r="M38" s="3">
        <v>1</v>
      </c>
      <c r="N38" s="3">
        <v>12</v>
      </c>
      <c r="O38" s="19">
        <v>1.581</v>
      </c>
      <c r="P38" s="19">
        <v>7.1999999999999995E-2</v>
      </c>
      <c r="Q38" s="19"/>
      <c r="R38" s="19"/>
      <c r="S38" s="19"/>
      <c r="T38" s="19"/>
      <c r="U38" s="19"/>
      <c r="V38" s="19"/>
      <c r="W38" s="19"/>
      <c r="X38" s="19"/>
      <c r="Y38" s="19"/>
      <c r="Z38" s="19">
        <v>1.54</v>
      </c>
      <c r="AA38" s="19"/>
      <c r="AB38" s="19"/>
      <c r="AC38" s="19"/>
      <c r="AD38" s="19"/>
      <c r="AE38" s="19"/>
      <c r="AF38" s="19"/>
      <c r="AG38" s="19">
        <v>0.71</v>
      </c>
      <c r="AH38" s="19"/>
      <c r="AI38" s="19"/>
      <c r="AJ38" s="19"/>
      <c r="AK38" s="19"/>
      <c r="AL38" s="19"/>
      <c r="AM38" s="19"/>
      <c r="AN38" s="19"/>
      <c r="AO38" s="19"/>
      <c r="AP38" s="19"/>
      <c r="AQ38" s="19"/>
      <c r="AR38" s="19"/>
      <c r="AS38" s="19"/>
      <c r="AT38" s="21"/>
      <c r="AU38" s="21"/>
      <c r="AV38" s="21"/>
      <c r="AW38" s="21"/>
      <c r="AX38" s="21"/>
      <c r="AY38" s="21"/>
      <c r="AZ38" s="21"/>
      <c r="BA38" s="21"/>
      <c r="BB38" s="21"/>
      <c r="BC38" s="21"/>
      <c r="BD38" s="21">
        <v>0</v>
      </c>
      <c r="BE38" s="21">
        <v>0</v>
      </c>
      <c r="BF38" s="21"/>
      <c r="BG38" s="23"/>
      <c r="BH38" s="25">
        <v>0.01</v>
      </c>
      <c r="BI38" s="25"/>
      <c r="BJ38" s="25"/>
      <c r="BK38" s="25">
        <v>0</v>
      </c>
      <c r="BL38" s="25">
        <v>0</v>
      </c>
      <c r="BM38" s="25">
        <v>0</v>
      </c>
      <c r="BN38" s="25">
        <v>0</v>
      </c>
      <c r="BO38" s="25">
        <v>0</v>
      </c>
      <c r="BP38" s="27"/>
      <c r="BQ38" s="27"/>
      <c r="BR38" s="25"/>
      <c r="BS38" s="27"/>
    </row>
    <row r="39" spans="1:71" ht="119" hidden="1" x14ac:dyDescent="0.2">
      <c r="A39" s="3">
        <v>38</v>
      </c>
      <c r="B39" s="2" t="s">
        <v>141</v>
      </c>
      <c r="C39" s="3" t="s">
        <v>136</v>
      </c>
      <c r="D39" s="5" t="s">
        <v>137</v>
      </c>
      <c r="E39" s="35" t="s">
        <v>143</v>
      </c>
      <c r="F39" s="3" t="s">
        <v>77</v>
      </c>
      <c r="G39" s="3" t="s">
        <v>0</v>
      </c>
      <c r="H39" s="3" t="s">
        <v>77</v>
      </c>
      <c r="I39" s="3">
        <v>1</v>
      </c>
      <c r="J39" s="3">
        <v>12</v>
      </c>
      <c r="K39" s="3" t="s">
        <v>0</v>
      </c>
      <c r="L39" s="3" t="s">
        <v>77</v>
      </c>
      <c r="M39" s="3">
        <v>1</v>
      </c>
      <c r="N39" s="3">
        <v>12</v>
      </c>
      <c r="O39" s="19">
        <v>1.581</v>
      </c>
      <c r="P39" s="19">
        <v>7.1999999999999995E-2</v>
      </c>
      <c r="Q39" s="19"/>
      <c r="R39" s="19"/>
      <c r="S39" s="19"/>
      <c r="T39" s="19"/>
      <c r="U39" s="19"/>
      <c r="V39" s="19"/>
      <c r="W39" s="19"/>
      <c r="X39" s="19"/>
      <c r="Y39" s="19"/>
      <c r="Z39" s="19">
        <v>1.1299999999999999</v>
      </c>
      <c r="AA39" s="19"/>
      <c r="AB39" s="19"/>
      <c r="AC39" s="19"/>
      <c r="AD39" s="19"/>
      <c r="AE39" s="19"/>
      <c r="AF39" s="19"/>
      <c r="AG39" s="19">
        <v>1.1100000000000001</v>
      </c>
      <c r="AH39" s="19"/>
      <c r="AI39" s="19"/>
      <c r="AJ39" s="19"/>
      <c r="AK39" s="19"/>
      <c r="AL39" s="19"/>
      <c r="AM39" s="19"/>
      <c r="AN39" s="19"/>
      <c r="AO39" s="19"/>
      <c r="AP39" s="19"/>
      <c r="AQ39" s="19"/>
      <c r="AR39" s="19"/>
      <c r="AS39" s="19"/>
      <c r="AT39" s="21"/>
      <c r="AU39" s="21"/>
      <c r="AV39" s="21"/>
      <c r="AW39" s="21"/>
      <c r="AX39" s="21"/>
      <c r="AY39" s="21"/>
      <c r="AZ39" s="21"/>
      <c r="BA39" s="21"/>
      <c r="BB39" s="21"/>
      <c r="BC39" s="21"/>
      <c r="BD39" s="21">
        <v>0</v>
      </c>
      <c r="BE39" s="21">
        <v>0</v>
      </c>
      <c r="BF39" s="21"/>
      <c r="BG39" s="23"/>
      <c r="BH39" s="25">
        <v>0.01</v>
      </c>
      <c r="BI39" s="25"/>
      <c r="BJ39" s="25"/>
      <c r="BK39" s="25">
        <v>0</v>
      </c>
      <c r="BL39" s="25">
        <v>0</v>
      </c>
      <c r="BM39" s="25">
        <v>0</v>
      </c>
      <c r="BN39" s="25">
        <v>0</v>
      </c>
      <c r="BO39" s="25">
        <v>0</v>
      </c>
      <c r="BP39" s="27"/>
      <c r="BQ39" s="27"/>
      <c r="BR39" s="25"/>
      <c r="BS39" s="27"/>
    </row>
    <row r="40" spans="1:71" ht="190" hidden="1" customHeight="1" x14ac:dyDescent="0.2">
      <c r="A40" s="3">
        <v>39</v>
      </c>
      <c r="B40" s="2" t="s">
        <v>141</v>
      </c>
      <c r="C40" s="3" t="s">
        <v>136</v>
      </c>
      <c r="D40" s="5" t="s">
        <v>139</v>
      </c>
      <c r="E40" s="35" t="s">
        <v>144</v>
      </c>
      <c r="F40" s="3" t="s">
        <v>77</v>
      </c>
      <c r="G40" s="3" t="s">
        <v>0</v>
      </c>
      <c r="H40" s="3" t="s">
        <v>77</v>
      </c>
      <c r="I40" s="3">
        <v>1</v>
      </c>
      <c r="J40" s="3">
        <v>4</v>
      </c>
      <c r="K40" s="3" t="s">
        <v>0</v>
      </c>
      <c r="L40" s="3" t="s">
        <v>77</v>
      </c>
      <c r="M40" s="3">
        <v>1</v>
      </c>
      <c r="N40" s="3">
        <v>4</v>
      </c>
      <c r="O40" s="19">
        <v>0.91</v>
      </c>
      <c r="P40" s="19"/>
      <c r="Q40" s="19"/>
      <c r="R40" s="19"/>
      <c r="S40" s="19"/>
      <c r="T40" s="19"/>
      <c r="U40" s="19"/>
      <c r="V40" s="19"/>
      <c r="W40" s="19"/>
      <c r="X40" s="19"/>
      <c r="Y40" s="19"/>
      <c r="Z40" s="19">
        <v>1.98</v>
      </c>
      <c r="AA40" s="19">
        <f>13.02/45</f>
        <v>0.28933333333333333</v>
      </c>
      <c r="AB40" s="19"/>
      <c r="AC40" s="19"/>
      <c r="AD40" s="19"/>
      <c r="AE40" s="19"/>
      <c r="AF40" s="19"/>
      <c r="AG40" s="19"/>
      <c r="AH40" s="19"/>
      <c r="AI40" s="19"/>
      <c r="AJ40" s="19"/>
      <c r="AK40" s="19"/>
      <c r="AL40" s="19"/>
      <c r="AM40" s="19"/>
      <c r="AN40" s="19"/>
      <c r="AO40" s="19"/>
      <c r="AP40" s="19"/>
      <c r="AQ40" s="19"/>
      <c r="AR40" s="19"/>
      <c r="AS40" s="19"/>
      <c r="AT40" s="21">
        <v>0.05</v>
      </c>
      <c r="AU40" s="21"/>
      <c r="AV40" s="21"/>
      <c r="AW40" s="21"/>
      <c r="AX40" s="21"/>
      <c r="AY40" s="21"/>
      <c r="AZ40" s="21"/>
      <c r="BA40" s="21"/>
      <c r="BB40" s="21"/>
      <c r="BC40" s="21"/>
      <c r="BD40" s="21">
        <v>0</v>
      </c>
      <c r="BE40" s="21">
        <v>0</v>
      </c>
      <c r="BF40" s="21"/>
      <c r="BG40" s="23"/>
      <c r="BH40" s="25">
        <v>5.2999999999999999E-2</v>
      </c>
      <c r="BI40" s="25"/>
      <c r="BJ40" s="25"/>
      <c r="BK40" s="25">
        <v>0</v>
      </c>
      <c r="BL40" s="25">
        <v>0</v>
      </c>
      <c r="BM40" s="25">
        <v>0</v>
      </c>
      <c r="BN40" s="25">
        <v>0</v>
      </c>
      <c r="BO40" s="25">
        <v>0</v>
      </c>
      <c r="BP40" s="27"/>
      <c r="BQ40" s="27"/>
      <c r="BR40" s="25"/>
      <c r="BS40" s="27"/>
    </row>
    <row r="41" spans="1:71" ht="191" hidden="1" customHeight="1" x14ac:dyDescent="0.2">
      <c r="A41" s="3">
        <v>40</v>
      </c>
      <c r="B41" s="2" t="s">
        <v>141</v>
      </c>
      <c r="C41" s="3" t="s">
        <v>136</v>
      </c>
      <c r="D41" s="5" t="s">
        <v>139</v>
      </c>
      <c r="E41" s="35" t="s">
        <v>145</v>
      </c>
      <c r="F41" s="3" t="s">
        <v>77</v>
      </c>
      <c r="G41" s="3" t="s">
        <v>0</v>
      </c>
      <c r="H41" s="3" t="s">
        <v>77</v>
      </c>
      <c r="I41" s="3">
        <v>1</v>
      </c>
      <c r="J41" s="3">
        <v>4</v>
      </c>
      <c r="K41" s="3" t="s">
        <v>0</v>
      </c>
      <c r="L41" s="3" t="s">
        <v>77</v>
      </c>
      <c r="M41" s="3">
        <v>1</v>
      </c>
      <c r="N41" s="3">
        <v>4</v>
      </c>
      <c r="O41" s="19">
        <v>0.91</v>
      </c>
      <c r="P41" s="19"/>
      <c r="Q41" s="19"/>
      <c r="R41" s="19"/>
      <c r="S41" s="19"/>
      <c r="T41" s="19"/>
      <c r="U41" s="19"/>
      <c r="V41" s="19"/>
      <c r="W41" s="19"/>
      <c r="X41" s="19"/>
      <c r="Y41" s="19"/>
      <c r="Z41" s="19">
        <v>0.76</v>
      </c>
      <c r="AA41" s="19">
        <f>13.02/45</f>
        <v>0.28933333333333333</v>
      </c>
      <c r="AB41" s="19"/>
      <c r="AC41" s="19"/>
      <c r="AD41" s="19"/>
      <c r="AE41" s="19"/>
      <c r="AF41" s="19"/>
      <c r="AG41" s="19">
        <v>1.22</v>
      </c>
      <c r="AH41" s="19"/>
      <c r="AI41" s="19"/>
      <c r="AJ41" s="19"/>
      <c r="AK41" s="19"/>
      <c r="AL41" s="19"/>
      <c r="AM41" s="19"/>
      <c r="AN41" s="19"/>
      <c r="AO41" s="19"/>
      <c r="AP41" s="19"/>
      <c r="AQ41" s="19"/>
      <c r="AR41" s="19"/>
      <c r="AS41" s="19"/>
      <c r="AT41" s="21">
        <v>0.05</v>
      </c>
      <c r="AU41" s="21"/>
      <c r="AV41" s="21"/>
      <c r="AW41" s="21"/>
      <c r="AX41" s="21"/>
      <c r="AY41" s="21"/>
      <c r="AZ41" s="21"/>
      <c r="BA41" s="21"/>
      <c r="BB41" s="21"/>
      <c r="BC41" s="21"/>
      <c r="BD41" s="21">
        <v>0</v>
      </c>
      <c r="BE41" s="21">
        <v>0</v>
      </c>
      <c r="BF41" s="21"/>
      <c r="BG41" s="23"/>
      <c r="BH41" s="25">
        <v>5.2999999999999999E-2</v>
      </c>
      <c r="BI41" s="25"/>
      <c r="BJ41" s="25"/>
      <c r="BK41" s="25">
        <v>0</v>
      </c>
      <c r="BL41" s="25">
        <v>0</v>
      </c>
      <c r="BM41" s="25">
        <v>0</v>
      </c>
      <c r="BN41" s="25">
        <v>0</v>
      </c>
      <c r="BO41" s="25">
        <v>0</v>
      </c>
      <c r="BP41" s="27"/>
      <c r="BQ41" s="27"/>
      <c r="BR41" s="25"/>
      <c r="BS41" s="27"/>
    </row>
    <row r="42" spans="1:71" ht="204" hidden="1" x14ac:dyDescent="0.2">
      <c r="A42" s="3">
        <v>41</v>
      </c>
      <c r="B42" s="2" t="s">
        <v>102</v>
      </c>
      <c r="C42" s="3" t="s">
        <v>136</v>
      </c>
      <c r="D42" s="5" t="s">
        <v>137</v>
      </c>
      <c r="E42" s="35" t="s">
        <v>146</v>
      </c>
      <c r="F42" s="3" t="s">
        <v>77</v>
      </c>
      <c r="G42" s="3" t="s">
        <v>0</v>
      </c>
      <c r="H42" s="3" t="s">
        <v>0</v>
      </c>
      <c r="I42" s="3" t="s">
        <v>2</v>
      </c>
      <c r="J42" s="3" t="s">
        <v>2</v>
      </c>
      <c r="K42" s="3" t="s">
        <v>0</v>
      </c>
      <c r="L42" s="3" t="s">
        <v>0</v>
      </c>
      <c r="M42" s="3" t="s">
        <v>2</v>
      </c>
      <c r="N42" s="3" t="s">
        <v>2</v>
      </c>
      <c r="O42" s="19">
        <f>1/0.63</f>
        <v>1.5873015873015872</v>
      </c>
      <c r="P42" s="19">
        <f>0.045/0.63</f>
        <v>7.1428571428571425E-2</v>
      </c>
      <c r="Q42" s="19"/>
      <c r="R42" s="19"/>
      <c r="S42" s="19"/>
      <c r="T42" s="19"/>
      <c r="U42" s="19"/>
      <c r="V42" s="19"/>
      <c r="W42" s="19"/>
      <c r="X42" s="19"/>
      <c r="Y42" s="19"/>
      <c r="Z42" s="42">
        <f>0.974067046173308/0.63</f>
        <v>1.5461381685290603</v>
      </c>
      <c r="AA42" s="19"/>
      <c r="AB42" s="19"/>
      <c r="AC42" s="43"/>
      <c r="AD42" s="43"/>
      <c r="AE42" s="42">
        <f>1.61669829222011/0.63</f>
        <v>2.5661877654287459</v>
      </c>
      <c r="AF42" s="19"/>
      <c r="AG42" s="19"/>
      <c r="AH42" s="19"/>
      <c r="AI42" s="19"/>
      <c r="AJ42" s="19"/>
      <c r="AK42" s="19"/>
      <c r="AL42" s="19"/>
      <c r="AM42" s="19"/>
      <c r="AN42" s="19"/>
      <c r="AO42" s="19"/>
      <c r="AP42" s="19"/>
      <c r="AQ42" s="19"/>
      <c r="AR42" s="19"/>
      <c r="AS42" s="19"/>
      <c r="AT42" s="24"/>
      <c r="AU42" s="24"/>
      <c r="AV42" s="24"/>
      <c r="AW42" s="24"/>
      <c r="AX42" s="24"/>
      <c r="AY42" s="24"/>
      <c r="AZ42" s="24"/>
      <c r="BA42" s="24"/>
      <c r="BB42" s="24"/>
      <c r="BC42" s="24"/>
      <c r="BD42" s="21">
        <v>0</v>
      </c>
      <c r="BE42" s="21">
        <v>0</v>
      </c>
      <c r="BF42" s="21"/>
      <c r="BG42" s="23"/>
      <c r="BH42" s="25">
        <f>0.006/0.63</f>
        <v>9.5238095238095247E-3</v>
      </c>
      <c r="BI42" s="27"/>
      <c r="BJ42" s="27"/>
      <c r="BK42" s="25">
        <v>0</v>
      </c>
      <c r="BL42" s="25">
        <v>0</v>
      </c>
      <c r="BM42" s="25">
        <v>0</v>
      </c>
      <c r="BN42" s="25">
        <v>0</v>
      </c>
      <c r="BO42" s="25">
        <v>0</v>
      </c>
      <c r="BP42" s="27"/>
      <c r="BQ42" s="27"/>
      <c r="BR42" s="25"/>
      <c r="BS42" s="27"/>
    </row>
    <row r="43" spans="1:71" ht="136" hidden="1" x14ac:dyDescent="0.2">
      <c r="A43" s="3">
        <v>42</v>
      </c>
      <c r="B43" s="2" t="s">
        <v>147</v>
      </c>
      <c r="C43" s="3" t="s">
        <v>148</v>
      </c>
      <c r="D43" s="3"/>
      <c r="E43" s="6" t="s">
        <v>149</v>
      </c>
      <c r="F43" s="3" t="s">
        <v>0</v>
      </c>
      <c r="G43" s="3" t="s">
        <v>1</v>
      </c>
      <c r="H43" s="3" t="s">
        <v>1</v>
      </c>
      <c r="I43" s="3" t="s">
        <v>1</v>
      </c>
      <c r="J43" s="3" t="s">
        <v>1</v>
      </c>
      <c r="K43" s="3" t="s">
        <v>0</v>
      </c>
      <c r="L43" s="3" t="s">
        <v>0</v>
      </c>
      <c r="M43" s="3" t="s">
        <v>2</v>
      </c>
      <c r="N43" s="3">
        <v>2</v>
      </c>
      <c r="O43" s="19">
        <f>337/192</f>
        <v>1.7552083333333333</v>
      </c>
      <c r="P43" s="19"/>
      <c r="Q43" s="19"/>
      <c r="R43" s="19">
        <f>14700/192</f>
        <v>76.5625</v>
      </c>
      <c r="S43" s="19"/>
      <c r="T43" s="19"/>
      <c r="U43" s="19"/>
      <c r="V43" s="19"/>
      <c r="W43" s="19"/>
      <c r="X43" s="19"/>
      <c r="Y43" s="19"/>
      <c r="Z43" s="19">
        <f>155000000/192000000</f>
        <v>0.80729166666666663</v>
      </c>
      <c r="AA43" s="19">
        <f>123/192</f>
        <v>0.640625</v>
      </c>
      <c r="AB43" s="19"/>
      <c r="AC43" s="19"/>
      <c r="AD43" s="19"/>
      <c r="AE43" s="19"/>
      <c r="AF43" s="19">
        <f>14/192</f>
        <v>7.2916666666666671E-2</v>
      </c>
      <c r="AG43" s="19"/>
      <c r="AH43" s="19"/>
      <c r="AI43" s="19"/>
      <c r="AJ43" s="19"/>
      <c r="AK43" s="19"/>
      <c r="AL43" s="19"/>
      <c r="AM43" s="19"/>
      <c r="AN43" s="19"/>
      <c r="AO43" s="19"/>
      <c r="AP43" s="19"/>
      <c r="AQ43" s="19"/>
      <c r="AR43" s="19">
        <f>0.000016/192</f>
        <v>8.3333333333333325E-8</v>
      </c>
      <c r="AS43" s="19"/>
      <c r="AT43" s="21"/>
      <c r="AU43" s="21"/>
      <c r="AV43" s="21"/>
      <c r="AW43" s="21"/>
      <c r="AX43" s="21"/>
      <c r="AY43" s="21"/>
      <c r="AZ43" s="21"/>
      <c r="BA43" s="21"/>
      <c r="BB43" s="21"/>
      <c r="BC43" s="21"/>
      <c r="BD43" s="24"/>
      <c r="BE43" s="24"/>
      <c r="BF43" s="21"/>
      <c r="BG43" s="23"/>
      <c r="BH43" s="25">
        <f>308/192</f>
        <v>1.6041666666666667</v>
      </c>
      <c r="BI43" s="25">
        <f>4.91/192</f>
        <v>2.5572916666666667E-2</v>
      </c>
      <c r="BJ43" s="25"/>
      <c r="BK43" s="25"/>
      <c r="BL43" s="25"/>
      <c r="BM43" s="25">
        <f>4.27/192</f>
        <v>2.223958333333333E-2</v>
      </c>
      <c r="BN43" s="25">
        <f>316/192</f>
        <v>1.6458333333333333</v>
      </c>
      <c r="BO43" s="25">
        <f>46.7/192</f>
        <v>0.24322916666666669</v>
      </c>
      <c r="BP43" s="27"/>
      <c r="BQ43" s="27"/>
      <c r="BR43" s="25"/>
      <c r="BS43" s="27"/>
    </row>
    <row r="44" spans="1:71" ht="102" hidden="1" x14ac:dyDescent="0.2">
      <c r="A44" s="3">
        <v>43</v>
      </c>
      <c r="B44" s="2" t="s">
        <v>147</v>
      </c>
      <c r="C44" s="3" t="s">
        <v>106</v>
      </c>
      <c r="D44" s="3" t="s">
        <v>1</v>
      </c>
      <c r="E44" s="6" t="s">
        <v>150</v>
      </c>
      <c r="F44" s="3" t="s">
        <v>0</v>
      </c>
      <c r="G44" s="3" t="s">
        <v>1</v>
      </c>
      <c r="H44" s="3" t="s">
        <v>1</v>
      </c>
      <c r="I44" s="3" t="s">
        <v>1</v>
      </c>
      <c r="J44" s="3" t="s">
        <v>1</v>
      </c>
      <c r="K44" s="3" t="s">
        <v>0</v>
      </c>
      <c r="L44" s="3" t="s">
        <v>0</v>
      </c>
      <c r="M44" s="3" t="s">
        <v>2</v>
      </c>
      <c r="N44" s="3">
        <v>20</v>
      </c>
      <c r="O44" s="19">
        <f>57.7/250</f>
        <v>0.23080000000000001</v>
      </c>
      <c r="P44" s="19"/>
      <c r="Q44" s="19"/>
      <c r="R44" s="19">
        <f>(285+137)/250</f>
        <v>1.6879999999999999</v>
      </c>
      <c r="S44" s="19"/>
      <c r="T44" s="19"/>
      <c r="U44" s="19"/>
      <c r="V44" s="19"/>
      <c r="W44" s="19"/>
      <c r="X44" s="19"/>
      <c r="Y44" s="19"/>
      <c r="Z44" s="19">
        <f>3379000/250000000</f>
        <v>1.3516E-2</v>
      </c>
      <c r="AA44" s="19"/>
      <c r="AB44" s="19"/>
      <c r="AC44" s="19"/>
      <c r="AD44" s="19"/>
      <c r="AE44" s="19"/>
      <c r="AF44" s="19">
        <f>12.92/250</f>
        <v>5.1679999999999997E-2</v>
      </c>
      <c r="AG44" s="19"/>
      <c r="AH44" s="19"/>
      <c r="AI44" s="19"/>
      <c r="AJ44" s="19"/>
      <c r="AK44" s="19"/>
      <c r="AL44" s="19"/>
      <c r="AM44" s="19"/>
      <c r="AN44" s="19">
        <f>202/250</f>
        <v>0.80800000000000005</v>
      </c>
      <c r="AO44" s="19">
        <f>4.54/250</f>
        <v>1.8159999999999999E-2</v>
      </c>
      <c r="AP44" s="19">
        <f>1.5/250</f>
        <v>6.0000000000000001E-3</v>
      </c>
      <c r="AQ44" s="19"/>
      <c r="AR44" s="19"/>
      <c r="AS44" s="19"/>
      <c r="AT44" s="21"/>
      <c r="AU44" s="21"/>
      <c r="AV44" s="21"/>
      <c r="AW44" s="21"/>
      <c r="AX44" s="21"/>
      <c r="AY44" s="21"/>
      <c r="AZ44" s="21"/>
      <c r="BA44" s="21"/>
      <c r="BB44" s="21"/>
      <c r="BC44" s="21"/>
      <c r="BD44" s="21"/>
      <c r="BE44" s="21"/>
      <c r="BF44" s="21"/>
      <c r="BG44" s="23"/>
      <c r="BH44" s="25"/>
      <c r="BI44" s="25"/>
      <c r="BJ44" s="25"/>
      <c r="BK44" s="25"/>
      <c r="BL44" s="25"/>
      <c r="BM44" s="25"/>
      <c r="BN44" s="25"/>
      <c r="BO44" s="25"/>
      <c r="BP44" s="27"/>
      <c r="BQ44" s="27"/>
      <c r="BR44" s="25"/>
      <c r="BS44" s="27"/>
    </row>
    <row r="45" spans="1:71" ht="102" hidden="1" x14ac:dyDescent="0.2">
      <c r="A45" s="3">
        <v>44</v>
      </c>
      <c r="B45" s="2" t="s">
        <v>151</v>
      </c>
      <c r="C45" s="3" t="s">
        <v>148</v>
      </c>
      <c r="D45" s="44"/>
      <c r="E45" s="35" t="s">
        <v>152</v>
      </c>
      <c r="F45" s="3" t="s">
        <v>0</v>
      </c>
      <c r="G45" s="3" t="s">
        <v>1</v>
      </c>
      <c r="H45" s="3" t="s">
        <v>1</v>
      </c>
      <c r="I45" s="3" t="s">
        <v>1</v>
      </c>
      <c r="J45" s="3" t="s">
        <v>1</v>
      </c>
      <c r="K45" s="3" t="s">
        <v>0</v>
      </c>
      <c r="L45" s="3" t="s">
        <v>0</v>
      </c>
      <c r="M45" s="3" t="s">
        <v>2</v>
      </c>
      <c r="N45" s="3" t="s">
        <v>2</v>
      </c>
      <c r="O45" s="19">
        <f>60.8/34.6</f>
        <v>1.7572254335260113</v>
      </c>
      <c r="P45" s="19"/>
      <c r="Q45" s="19"/>
      <c r="R45" s="19">
        <f>(2.7*1000)/34.6</f>
        <v>78.034682080924853</v>
      </c>
      <c r="S45" s="19"/>
      <c r="T45" s="19"/>
      <c r="U45" s="19"/>
      <c r="V45" s="19"/>
      <c r="W45" s="19"/>
      <c r="X45" s="19"/>
      <c r="Y45" s="19"/>
      <c r="Z45" s="19">
        <f>28/34.6</f>
        <v>0.80924855491329473</v>
      </c>
      <c r="AA45" s="19">
        <f>22.2/34.6</f>
        <v>0.64161849710982655</v>
      </c>
      <c r="AB45" s="19"/>
      <c r="AC45" s="19"/>
      <c r="AD45" s="19"/>
      <c r="AE45" s="19"/>
      <c r="AF45" s="19"/>
      <c r="AG45" s="19"/>
      <c r="AH45" s="19"/>
      <c r="AI45" s="19"/>
      <c r="AJ45" s="19"/>
      <c r="AK45" s="19"/>
      <c r="AL45" s="19"/>
      <c r="AM45" s="19"/>
      <c r="AN45" s="19"/>
      <c r="AO45" s="19"/>
      <c r="AP45" s="19"/>
      <c r="AQ45" s="19"/>
      <c r="AR45" s="19">
        <f>0.0000031/34.6</f>
        <v>8.959537572254335E-8</v>
      </c>
      <c r="AS45" s="19"/>
      <c r="AT45" s="21"/>
      <c r="AU45" s="21"/>
      <c r="AV45" s="21"/>
      <c r="AW45" s="21"/>
      <c r="AX45" s="21"/>
      <c r="AY45" s="21">
        <f>700/34.6</f>
        <v>20.23121387283237</v>
      </c>
      <c r="AZ45" s="21"/>
      <c r="BA45" s="21"/>
      <c r="BB45" s="21"/>
      <c r="BC45" s="21"/>
      <c r="BD45" s="21"/>
      <c r="BE45" s="21"/>
      <c r="BF45" s="21"/>
      <c r="BG45" s="23"/>
      <c r="BH45" s="25">
        <f>55.5/34.6</f>
        <v>1.6040462427745663</v>
      </c>
      <c r="BI45" s="25"/>
      <c r="BJ45" s="25"/>
      <c r="BK45" s="25"/>
      <c r="BL45" s="25"/>
      <c r="BM45" s="25"/>
      <c r="BN45" s="25"/>
      <c r="BO45" s="25"/>
      <c r="BP45" s="27"/>
      <c r="BQ45" s="27"/>
      <c r="BR45" s="25"/>
      <c r="BS45" s="27"/>
    </row>
    <row r="46" spans="1:71" ht="85" hidden="1" x14ac:dyDescent="0.2">
      <c r="A46" s="3">
        <v>45</v>
      </c>
      <c r="B46" s="2" t="s">
        <v>102</v>
      </c>
      <c r="C46" s="3" t="s">
        <v>148</v>
      </c>
      <c r="D46" s="5"/>
      <c r="E46" s="35" t="s">
        <v>153</v>
      </c>
      <c r="F46" s="3" t="s">
        <v>0</v>
      </c>
      <c r="G46" s="3" t="s">
        <v>1</v>
      </c>
      <c r="H46" s="3" t="s">
        <v>1</v>
      </c>
      <c r="I46" s="3" t="s">
        <v>1</v>
      </c>
      <c r="J46" s="3" t="s">
        <v>1</v>
      </c>
      <c r="K46" s="3" t="s">
        <v>0</v>
      </c>
      <c r="L46" s="3" t="s">
        <v>0</v>
      </c>
      <c r="M46" s="3" t="s">
        <v>2</v>
      </c>
      <c r="N46" s="3" t="s">
        <v>2</v>
      </c>
      <c r="O46" s="19">
        <f>1/0.569</f>
        <v>1.7574692442882252</v>
      </c>
      <c r="P46" s="19"/>
      <c r="Q46" s="19"/>
      <c r="R46" s="19">
        <f>43.62/0.569</f>
        <v>76.660808435852374</v>
      </c>
      <c r="S46" s="19"/>
      <c r="T46" s="19"/>
      <c r="U46" s="19"/>
      <c r="V46" s="19"/>
      <c r="W46" s="19"/>
      <c r="X46" s="19"/>
      <c r="Y46" s="19"/>
      <c r="Z46" s="19">
        <f>0.459/0.569</f>
        <v>0.80667838312829532</v>
      </c>
      <c r="AA46" s="19"/>
      <c r="AB46" s="19">
        <f>0.434/0.569</f>
        <v>0.76274165202108968</v>
      </c>
      <c r="AC46" s="19"/>
      <c r="AD46" s="19"/>
      <c r="AE46" s="19"/>
      <c r="AF46" s="19">
        <f>0.0415/0.569</f>
        <v>7.2934973637961351E-2</v>
      </c>
      <c r="AG46" s="19"/>
      <c r="AH46" s="19"/>
      <c r="AI46" s="19"/>
      <c r="AJ46" s="19"/>
      <c r="AK46" s="19"/>
      <c r="AL46" s="19"/>
      <c r="AM46" s="19"/>
      <c r="AN46" s="19"/>
      <c r="AO46" s="19"/>
      <c r="AP46" s="19"/>
      <c r="AQ46" s="19"/>
      <c r="AR46" s="19"/>
      <c r="AS46" s="19"/>
      <c r="AT46" s="21"/>
      <c r="AU46" s="21"/>
      <c r="AV46" s="21"/>
      <c r="AW46" s="21"/>
      <c r="AX46" s="21"/>
      <c r="AY46" s="21"/>
      <c r="AZ46" s="21"/>
      <c r="BA46" s="21"/>
      <c r="BB46" s="21"/>
      <c r="BC46" s="21"/>
      <c r="BD46" s="24"/>
      <c r="BE46" s="24"/>
      <c r="BF46" s="21"/>
      <c r="BG46" s="23"/>
      <c r="BH46" s="25">
        <f>0.913/0.569</f>
        <v>1.6045694200351497</v>
      </c>
      <c r="BI46" s="25">
        <f>0.0145/0.569</f>
        <v>2.5483304042179265E-2</v>
      </c>
      <c r="BJ46" s="25"/>
      <c r="BK46" s="27"/>
      <c r="BL46" s="27"/>
      <c r="BM46" s="27"/>
      <c r="BN46" s="27"/>
      <c r="BO46" s="27"/>
      <c r="BP46" s="27"/>
      <c r="BQ46" s="27"/>
      <c r="BR46" s="25"/>
      <c r="BS46" s="27"/>
    </row>
    <row r="47" spans="1:71" ht="102" hidden="1" x14ac:dyDescent="0.2">
      <c r="A47" s="3">
        <v>46</v>
      </c>
      <c r="B47" s="2" t="s">
        <v>154</v>
      </c>
      <c r="C47" s="3" t="s">
        <v>155</v>
      </c>
      <c r="D47" s="44"/>
      <c r="E47" s="2" t="s">
        <v>156</v>
      </c>
      <c r="F47" s="3" t="s">
        <v>0</v>
      </c>
      <c r="G47" s="3" t="s">
        <v>1</v>
      </c>
      <c r="H47" s="3" t="s">
        <v>1</v>
      </c>
      <c r="I47" s="3" t="s">
        <v>1</v>
      </c>
      <c r="J47" s="3" t="s">
        <v>1</v>
      </c>
      <c r="K47" s="3" t="s">
        <v>0</v>
      </c>
      <c r="L47" s="3" t="s">
        <v>0</v>
      </c>
      <c r="M47" s="3" t="s">
        <v>2</v>
      </c>
      <c r="N47" s="3" t="s">
        <v>2</v>
      </c>
      <c r="O47" s="19">
        <f>5.6/0.8</f>
        <v>6.9999999999999991</v>
      </c>
      <c r="P47" s="19"/>
      <c r="Q47" s="19">
        <f>13.4/0.8</f>
        <v>16.75</v>
      </c>
      <c r="R47" s="19"/>
      <c r="S47" s="19"/>
      <c r="T47" s="19"/>
      <c r="U47" s="19"/>
      <c r="V47" s="19"/>
      <c r="W47" s="19"/>
      <c r="X47" s="19"/>
      <c r="Y47" s="19"/>
      <c r="Z47" s="19">
        <f>((33.8+2.3+1.9+0.3)/3.6)/0.8</f>
        <v>13.298611111111107</v>
      </c>
      <c r="AA47" s="19"/>
      <c r="AB47" s="19"/>
      <c r="AC47" s="19"/>
      <c r="AD47" s="19"/>
      <c r="AE47" s="19">
        <f>(494.2+1.9)/0.8</f>
        <v>620.12499999999989</v>
      </c>
      <c r="AF47" s="19"/>
      <c r="AG47" s="19"/>
      <c r="AH47" s="19"/>
      <c r="AI47" s="19"/>
      <c r="AJ47" s="19"/>
      <c r="AK47" s="19"/>
      <c r="AL47" s="19"/>
      <c r="AM47" s="19"/>
      <c r="AN47" s="19"/>
      <c r="AO47" s="19"/>
      <c r="AP47" s="19"/>
      <c r="AQ47" s="19"/>
      <c r="AR47" s="19"/>
      <c r="AS47" s="19"/>
      <c r="AT47" s="21"/>
      <c r="AU47" s="21"/>
      <c r="AV47" s="21"/>
      <c r="AW47" s="21"/>
      <c r="AX47" s="21"/>
      <c r="AY47" s="21"/>
      <c r="AZ47" s="21"/>
      <c r="BA47" s="21"/>
      <c r="BB47" s="21"/>
      <c r="BC47" s="21"/>
      <c r="BD47" s="21"/>
      <c r="BE47" s="21"/>
      <c r="BF47" s="21">
        <f>(0.87*0.74)/0.8</f>
        <v>0.80474999999999997</v>
      </c>
      <c r="BG47" s="23"/>
      <c r="BH47" s="25"/>
      <c r="BI47" s="25"/>
      <c r="BJ47" s="25"/>
      <c r="BK47" s="25"/>
      <c r="BL47" s="25"/>
      <c r="BM47" s="25"/>
      <c r="BN47" s="25"/>
      <c r="BO47" s="25"/>
      <c r="BP47" s="27"/>
      <c r="BQ47" s="27"/>
      <c r="BR47" s="25"/>
      <c r="BS47" s="27"/>
    </row>
    <row r="48" spans="1:71" ht="119" x14ac:dyDescent="0.2">
      <c r="A48" s="3">
        <v>47</v>
      </c>
      <c r="B48" s="2" t="s">
        <v>157</v>
      </c>
      <c r="C48" s="3" t="s">
        <v>158</v>
      </c>
      <c r="D48" s="5" t="s">
        <v>112</v>
      </c>
      <c r="E48" s="2" t="s">
        <v>159</v>
      </c>
      <c r="F48" s="3" t="s">
        <v>77</v>
      </c>
      <c r="G48" s="3" t="s">
        <v>0</v>
      </c>
      <c r="H48" s="3" t="s">
        <v>0</v>
      </c>
      <c r="I48" s="3">
        <v>25</v>
      </c>
      <c r="J48" s="3">
        <v>78</v>
      </c>
      <c r="K48" s="3" t="s">
        <v>0</v>
      </c>
      <c r="L48" s="3" t="s">
        <v>0</v>
      </c>
      <c r="M48" s="3">
        <v>1</v>
      </c>
      <c r="N48" s="3">
        <v>78</v>
      </c>
      <c r="O48" s="19">
        <v>1.37</v>
      </c>
      <c r="P48" s="19">
        <v>0.19900000000000001</v>
      </c>
      <c r="Q48" s="19"/>
      <c r="R48" s="19"/>
      <c r="S48" s="19"/>
      <c r="T48" s="19"/>
      <c r="U48" s="19"/>
      <c r="V48" s="19"/>
      <c r="W48" s="19"/>
      <c r="X48" s="19"/>
      <c r="Y48" s="19"/>
      <c r="Z48" s="19">
        <f>0.169+0.439+0.862</f>
        <v>1.47</v>
      </c>
      <c r="AA48" s="19"/>
      <c r="AB48" s="19"/>
      <c r="AC48" s="19"/>
      <c r="AD48" s="19"/>
      <c r="AE48" s="19"/>
      <c r="AF48" s="19"/>
      <c r="AG48" s="19"/>
      <c r="AH48" s="19"/>
      <c r="AI48" s="19"/>
      <c r="AJ48" s="19"/>
      <c r="AK48" s="19"/>
      <c r="AL48" s="19"/>
      <c r="AM48" s="19"/>
      <c r="AN48" s="19"/>
      <c r="AO48" s="19"/>
      <c r="AP48" s="19"/>
      <c r="AQ48" s="19"/>
      <c r="AR48" s="19"/>
      <c r="AS48" s="19"/>
      <c r="AT48" s="21"/>
      <c r="AU48" s="21"/>
      <c r="AV48" s="21"/>
      <c r="AW48" s="21"/>
      <c r="AX48" s="21">
        <v>0.68</v>
      </c>
      <c r="AY48" s="21"/>
      <c r="AZ48" s="21"/>
      <c r="BA48" s="21"/>
      <c r="BB48" s="21"/>
      <c r="BC48" s="21"/>
      <c r="BD48" s="24"/>
      <c r="BE48" s="24"/>
      <c r="BF48" s="24"/>
      <c r="BG48" s="23"/>
      <c r="BH48" s="25"/>
      <c r="BI48" s="25">
        <v>0.56899999999999995</v>
      </c>
      <c r="BJ48" s="25">
        <v>0.90500000000000003</v>
      </c>
      <c r="BK48" s="25"/>
      <c r="BL48" s="25"/>
      <c r="BM48" s="25"/>
      <c r="BN48" s="27"/>
      <c r="BO48" s="27"/>
      <c r="BP48" s="27"/>
      <c r="BQ48" s="27"/>
      <c r="BR48" s="25"/>
      <c r="BS48" s="27"/>
    </row>
    <row r="49" spans="1:71" ht="204" x14ac:dyDescent="0.2">
      <c r="A49" s="3">
        <v>48</v>
      </c>
      <c r="B49" s="2" t="s">
        <v>160</v>
      </c>
      <c r="C49" s="3" t="s">
        <v>158</v>
      </c>
      <c r="D49" s="5" t="s">
        <v>112</v>
      </c>
      <c r="E49" s="2" t="s">
        <v>161</v>
      </c>
      <c r="F49" s="3" t="s">
        <v>77</v>
      </c>
      <c r="G49" s="3" t="s">
        <v>77</v>
      </c>
      <c r="H49" s="3" t="s">
        <v>77</v>
      </c>
      <c r="I49" s="3" t="s">
        <v>2</v>
      </c>
      <c r="J49" s="3">
        <v>50</v>
      </c>
      <c r="K49" s="3" t="s">
        <v>77</v>
      </c>
      <c r="L49" s="3" t="s">
        <v>77</v>
      </c>
      <c r="M49" s="3" t="s">
        <v>2</v>
      </c>
      <c r="N49" s="3">
        <v>50</v>
      </c>
      <c r="O49" s="19">
        <v>1.37</v>
      </c>
      <c r="P49" s="19">
        <v>0.189</v>
      </c>
      <c r="Q49" s="19">
        <f>8.921*P49</f>
        <v>1.6860689999999998</v>
      </c>
      <c r="R49" s="19"/>
      <c r="S49" s="19"/>
      <c r="T49" s="19"/>
      <c r="U49" s="19"/>
      <c r="V49" s="19"/>
      <c r="W49" s="19"/>
      <c r="X49" s="19">
        <f>0.164*O49</f>
        <v>0.22468000000000002</v>
      </c>
      <c r="Y49" s="19">
        <f>54.72*P49</f>
        <v>10.342079999999999</v>
      </c>
      <c r="Z49" s="19">
        <v>1.27</v>
      </c>
      <c r="AA49" s="19"/>
      <c r="AB49" s="19"/>
      <c r="AC49" s="19"/>
      <c r="AD49" s="19"/>
      <c r="AE49" s="19"/>
      <c r="AF49" s="19"/>
      <c r="AG49" s="19"/>
      <c r="AH49" s="19"/>
      <c r="AI49" s="19"/>
      <c r="AJ49" s="19"/>
      <c r="AK49" s="19"/>
      <c r="AL49" s="19"/>
      <c r="AM49" s="19"/>
      <c r="AN49" s="19"/>
      <c r="AO49" s="19"/>
      <c r="AP49" s="19"/>
      <c r="AQ49" s="19"/>
      <c r="AR49" s="19"/>
      <c r="AS49" s="19"/>
      <c r="AT49" s="21"/>
      <c r="AU49" s="21"/>
      <c r="AV49" s="21"/>
      <c r="AW49" s="21"/>
      <c r="AX49" s="21">
        <f>0.1</f>
        <v>0.1</v>
      </c>
      <c r="AY49" s="21"/>
      <c r="AZ49" s="21"/>
      <c r="BA49" s="21"/>
      <c r="BB49" s="21"/>
      <c r="BC49" s="21"/>
      <c r="BD49" s="24"/>
      <c r="BE49" s="24"/>
      <c r="BF49" s="24"/>
      <c r="BG49" s="23"/>
      <c r="BH49" s="25"/>
      <c r="BI49" s="25"/>
      <c r="BJ49" s="25"/>
      <c r="BK49" s="25"/>
      <c r="BL49" s="25"/>
      <c r="BM49" s="25"/>
      <c r="BN49" s="27"/>
      <c r="BO49" s="27"/>
      <c r="BP49" s="27"/>
      <c r="BQ49" s="27"/>
      <c r="BR49" s="25"/>
      <c r="BS49" s="27"/>
    </row>
    <row r="50" spans="1:71" ht="170" x14ac:dyDescent="0.2">
      <c r="A50" s="3">
        <v>49</v>
      </c>
      <c r="B50" s="2" t="s">
        <v>162</v>
      </c>
      <c r="C50" s="3" t="s">
        <v>158</v>
      </c>
      <c r="D50" s="5" t="s">
        <v>112</v>
      </c>
      <c r="E50" s="2" t="s">
        <v>163</v>
      </c>
      <c r="F50" s="3" t="s">
        <v>77</v>
      </c>
      <c r="G50" s="3" t="s">
        <v>77</v>
      </c>
      <c r="H50" s="3" t="s">
        <v>77</v>
      </c>
      <c r="I50" s="3">
        <v>1</v>
      </c>
      <c r="J50" s="3">
        <v>80</v>
      </c>
      <c r="K50" s="3" t="s">
        <v>0</v>
      </c>
      <c r="L50" s="3" t="s">
        <v>77</v>
      </c>
      <c r="M50" s="3">
        <v>1</v>
      </c>
      <c r="N50" s="3">
        <v>80</v>
      </c>
      <c r="O50" s="19">
        <v>1.41</v>
      </c>
      <c r="P50" s="19">
        <v>0.19400000000000001</v>
      </c>
      <c r="Q50" s="19">
        <v>1.73</v>
      </c>
      <c r="R50" s="19"/>
      <c r="S50" s="19"/>
      <c r="T50" s="19"/>
      <c r="U50" s="19"/>
      <c r="V50" s="19"/>
      <c r="W50" s="19"/>
      <c r="X50" s="19">
        <f>2860/12500</f>
        <v>0.2288</v>
      </c>
      <c r="Y50" s="19">
        <f>129420/12500</f>
        <v>10.3536</v>
      </c>
      <c r="Z50" s="19">
        <f>(-2040-1760-390+640)/12500</f>
        <v>-0.28399999999999997</v>
      </c>
      <c r="AA50" s="19"/>
      <c r="AB50" s="19"/>
      <c r="AC50" s="19"/>
      <c r="AD50" s="19"/>
      <c r="AE50" s="19"/>
      <c r="AF50" s="19"/>
      <c r="AG50" s="19"/>
      <c r="AH50" s="19"/>
      <c r="AI50" s="19"/>
      <c r="AJ50" s="19"/>
      <c r="AK50" s="19"/>
      <c r="AL50" s="19"/>
      <c r="AM50" s="19"/>
      <c r="AN50" s="19"/>
      <c r="AO50" s="19"/>
      <c r="AP50" s="19"/>
      <c r="AQ50" s="19"/>
      <c r="AR50" s="19"/>
      <c r="AS50" s="19"/>
      <c r="AT50" s="21"/>
      <c r="AU50" s="21"/>
      <c r="AV50" s="21"/>
      <c r="AW50" s="21"/>
      <c r="AX50" s="21"/>
      <c r="AY50" s="21"/>
      <c r="AZ50" s="21"/>
      <c r="BA50" s="21"/>
      <c r="BB50" s="21"/>
      <c r="BC50" s="21"/>
      <c r="BD50" s="24"/>
      <c r="BE50" s="24"/>
      <c r="BF50" s="24"/>
      <c r="BG50" s="23"/>
      <c r="BH50" s="25"/>
      <c r="BI50" s="25">
        <v>0.56599999999999995</v>
      </c>
      <c r="BJ50" s="25">
        <v>0.56000000000000005</v>
      </c>
      <c r="BK50" s="25"/>
      <c r="BL50" s="25"/>
      <c r="BM50" s="25"/>
      <c r="BN50" s="27"/>
      <c r="BO50" s="27"/>
      <c r="BP50" s="27"/>
      <c r="BQ50" s="27"/>
      <c r="BR50" s="25"/>
      <c r="BS50" s="27"/>
    </row>
    <row r="51" spans="1:71" ht="119" x14ac:dyDescent="0.2">
      <c r="A51" s="3">
        <v>50</v>
      </c>
      <c r="B51" s="2" t="s">
        <v>164</v>
      </c>
      <c r="C51" s="3" t="s">
        <v>158</v>
      </c>
      <c r="D51" s="5" t="s">
        <v>112</v>
      </c>
      <c r="E51" s="2" t="s">
        <v>165</v>
      </c>
      <c r="F51" s="3" t="s">
        <v>77</v>
      </c>
      <c r="G51" s="3" t="s">
        <v>77</v>
      </c>
      <c r="H51" s="3" t="s">
        <v>77</v>
      </c>
      <c r="I51" s="3">
        <v>30</v>
      </c>
      <c r="J51" s="3">
        <v>78</v>
      </c>
      <c r="K51" s="3" t="s">
        <v>77</v>
      </c>
      <c r="L51" s="3" t="s">
        <v>77</v>
      </c>
      <c r="M51" s="3">
        <v>1</v>
      </c>
      <c r="N51" s="3">
        <v>78</v>
      </c>
      <c r="O51" s="19">
        <f>(88-5.82)/59.3</f>
        <v>1.3858347386172007</v>
      </c>
      <c r="P51" s="19">
        <f>(96/8)/59.3</f>
        <v>0.20236087689713322</v>
      </c>
      <c r="Q51" s="19">
        <f>108.1/59.3</f>
        <v>1.8229342327150084</v>
      </c>
      <c r="R51" s="19"/>
      <c r="S51" s="19"/>
      <c r="T51" s="19"/>
      <c r="U51" s="19"/>
      <c r="V51" s="19"/>
      <c r="W51" s="19">
        <f>(4.74*1000)/1000</f>
        <v>4.74</v>
      </c>
      <c r="X51" s="19">
        <f>(0.236*1000*0.277)/1000</f>
        <v>6.5372E-2</v>
      </c>
      <c r="Y51" s="19">
        <f>(39.3*1000*0.277)/1000</f>
        <v>10.886100000000001</v>
      </c>
      <c r="Z51" s="19">
        <f>(16.9+2.9-2.2)*1000/(59.3*1000)</f>
        <v>0.29679595278246201</v>
      </c>
      <c r="AA51" s="19"/>
      <c r="AB51" s="19"/>
      <c r="AC51" s="36"/>
      <c r="AD51" s="36"/>
      <c r="AE51" s="19"/>
      <c r="AF51" s="19"/>
      <c r="AG51" s="19"/>
      <c r="AH51" s="19"/>
      <c r="AI51" s="19"/>
      <c r="AJ51" s="19"/>
      <c r="AK51" s="19"/>
      <c r="AL51" s="19"/>
      <c r="AM51" s="19"/>
      <c r="AN51" s="19"/>
      <c r="AO51" s="19"/>
      <c r="AP51" s="19"/>
      <c r="AQ51" s="19"/>
      <c r="AR51" s="19"/>
      <c r="AS51" s="19"/>
      <c r="AT51" s="21">
        <f>0.87/59.3</f>
        <v>1.4671163575042159E-2</v>
      </c>
      <c r="AU51" s="21">
        <f>96/59.3</f>
        <v>1.6188870151770658</v>
      </c>
      <c r="AV51" s="21"/>
      <c r="AW51" s="21">
        <f>(1.72*1000/1000)</f>
        <v>1.72</v>
      </c>
      <c r="AX51" s="21"/>
      <c r="AY51" s="21"/>
      <c r="AZ51" s="21"/>
      <c r="BA51" s="21"/>
      <c r="BB51" s="21"/>
      <c r="BC51" s="21"/>
      <c r="BD51" s="24"/>
      <c r="BE51" s="24"/>
      <c r="BF51" s="24"/>
      <c r="BG51" s="23"/>
      <c r="BH51" s="25"/>
      <c r="BI51" s="25">
        <f>33.7/59.3</f>
        <v>0.56829679595278249</v>
      </c>
      <c r="BJ51" s="25"/>
      <c r="BK51" s="25"/>
      <c r="BL51" s="25"/>
      <c r="BM51" s="25"/>
      <c r="BN51" s="27"/>
      <c r="BO51" s="27"/>
      <c r="BP51" s="27"/>
      <c r="BQ51" s="27"/>
      <c r="BR51" s="25"/>
      <c r="BS51" s="25">
        <f>0.51/(59.3)</f>
        <v>8.6003372681281616E-3</v>
      </c>
    </row>
    <row r="52" spans="1:71" ht="68" x14ac:dyDescent="0.2">
      <c r="A52" s="39">
        <v>51</v>
      </c>
      <c r="B52" s="7" t="s">
        <v>166</v>
      </c>
      <c r="C52" s="39" t="s">
        <v>158</v>
      </c>
      <c r="D52" s="40" t="s">
        <v>112</v>
      </c>
      <c r="E52" s="7" t="s">
        <v>167</v>
      </c>
      <c r="F52" s="3" t="s">
        <v>77</v>
      </c>
      <c r="G52" s="3" t="s">
        <v>77</v>
      </c>
      <c r="H52" s="3" t="s">
        <v>77</v>
      </c>
      <c r="I52" s="3" t="s">
        <v>2</v>
      </c>
      <c r="J52" s="3" t="s">
        <v>2</v>
      </c>
      <c r="K52" s="3" t="s">
        <v>77</v>
      </c>
      <c r="L52" s="3" t="s">
        <v>77</v>
      </c>
      <c r="M52" s="3" t="s">
        <v>2</v>
      </c>
      <c r="N52" s="3" t="s">
        <v>2</v>
      </c>
      <c r="O52" s="19">
        <f>44000/28757</f>
        <v>1.5300622457140871</v>
      </c>
      <c r="P52" s="19">
        <f>5790/28757</f>
        <v>0.20134228187919462</v>
      </c>
      <c r="Q52" s="19"/>
      <c r="R52" s="19"/>
      <c r="S52" s="19"/>
      <c r="T52" s="19"/>
      <c r="U52" s="19"/>
      <c r="V52" s="19"/>
      <c r="W52" s="19"/>
      <c r="X52" s="19">
        <f>7.95*1000/28757</f>
        <v>0.2764544284869771</v>
      </c>
      <c r="Y52" s="19">
        <f>309.3*1000/28757</f>
        <v>10.75564210453107</v>
      </c>
      <c r="Z52" s="19">
        <f>(1.07)*1000/28757</f>
        <v>3.720833188441075E-2</v>
      </c>
      <c r="AA52" s="19"/>
      <c r="AB52" s="19"/>
      <c r="AC52" s="19"/>
      <c r="AD52" s="19"/>
      <c r="AE52" s="19"/>
      <c r="AF52" s="19"/>
      <c r="AG52" s="19"/>
      <c r="AH52" s="19"/>
      <c r="AI52" s="19"/>
      <c r="AJ52" s="19"/>
      <c r="AK52" s="19"/>
      <c r="AL52" s="19"/>
      <c r="AM52" s="19"/>
      <c r="AN52" s="19"/>
      <c r="AO52" s="19"/>
      <c r="AP52" s="19"/>
      <c r="AQ52" s="19"/>
      <c r="AR52" s="19"/>
      <c r="AS52" s="19"/>
      <c r="AT52" s="21"/>
      <c r="AU52" s="21">
        <f>46320/28757</f>
        <v>1.6107382550335569</v>
      </c>
      <c r="AV52" s="21"/>
      <c r="AW52" s="21"/>
      <c r="AX52" s="21"/>
      <c r="AY52" s="21"/>
      <c r="AZ52" s="21"/>
      <c r="BA52" s="21"/>
      <c r="BB52" s="21"/>
      <c r="BC52" s="21"/>
      <c r="BD52" s="24"/>
      <c r="BE52" s="24"/>
      <c r="BF52" s="24"/>
      <c r="BG52" s="23"/>
      <c r="BH52" s="25"/>
      <c r="BI52" s="25"/>
      <c r="BJ52" s="25"/>
      <c r="BK52" s="27"/>
      <c r="BL52" s="27"/>
      <c r="BM52" s="27"/>
      <c r="BN52" s="27"/>
      <c r="BO52" s="27"/>
      <c r="BP52" s="27"/>
      <c r="BQ52" s="27"/>
      <c r="BR52" s="25"/>
      <c r="BS52" s="27"/>
    </row>
    <row r="53" spans="1:71" ht="85" x14ac:dyDescent="0.2">
      <c r="A53" s="3">
        <v>52</v>
      </c>
      <c r="B53" s="2" t="s">
        <v>168</v>
      </c>
      <c r="C53" s="3" t="s">
        <v>158</v>
      </c>
      <c r="D53" s="5" t="s">
        <v>112</v>
      </c>
      <c r="E53" s="2" t="s">
        <v>169</v>
      </c>
      <c r="F53" s="3" t="s">
        <v>77</v>
      </c>
      <c r="G53" s="3" t="s">
        <v>77</v>
      </c>
      <c r="H53" s="3" t="s">
        <v>77</v>
      </c>
      <c r="I53" s="3">
        <v>30</v>
      </c>
      <c r="J53" s="3">
        <v>80</v>
      </c>
      <c r="K53" s="3" t="s">
        <v>77</v>
      </c>
      <c r="L53" s="3" t="s">
        <v>77</v>
      </c>
      <c r="M53" s="3">
        <v>2</v>
      </c>
      <c r="N53" s="3">
        <v>80</v>
      </c>
      <c r="O53" s="19">
        <f>(688/483)</f>
        <v>1.4244306418219461</v>
      </c>
      <c r="P53" s="19">
        <f>(94/483)</f>
        <v>0.19461697722567287</v>
      </c>
      <c r="Q53" s="19"/>
      <c r="R53" s="19">
        <f>(285/19)*P53</f>
        <v>2.9192546583850931</v>
      </c>
      <c r="S53" s="19"/>
      <c r="T53" s="19"/>
      <c r="U53" s="19"/>
      <c r="V53" s="19"/>
      <c r="W53" s="19">
        <f>(117/140)*O53</f>
        <v>1.1904170363797693</v>
      </c>
      <c r="X53" s="19">
        <f>(7/140)*O53</f>
        <v>7.1221532091097314E-2</v>
      </c>
      <c r="Y53" s="19">
        <f>((1.03*1000)/19)*P53</f>
        <v>10.550288765391739</v>
      </c>
      <c r="Z53" s="19">
        <f>((9.8*((44/50)*782)/140)+(13*782/159))/483</f>
        <v>0.23210829589697515</v>
      </c>
      <c r="AA53" s="19"/>
      <c r="AB53" s="19"/>
      <c r="AC53" s="19"/>
      <c r="AD53" s="19"/>
      <c r="AE53" s="19"/>
      <c r="AF53" s="19"/>
      <c r="AG53" s="19"/>
      <c r="AH53" s="19"/>
      <c r="AI53" s="19"/>
      <c r="AJ53" s="19"/>
      <c r="AK53" s="19"/>
      <c r="AL53" s="19"/>
      <c r="AM53" s="19"/>
      <c r="AN53" s="19"/>
      <c r="AO53" s="19"/>
      <c r="AP53" s="19"/>
      <c r="AQ53" s="19"/>
      <c r="AR53" s="19"/>
      <c r="AS53" s="19"/>
      <c r="AT53" s="21"/>
      <c r="AU53" s="21">
        <f>(752/483)</f>
        <v>1.5569358178053829</v>
      </c>
      <c r="AV53" s="21"/>
      <c r="AW53" s="21"/>
      <c r="AX53" s="21">
        <f>31/97</f>
        <v>0.31958762886597936</v>
      </c>
      <c r="AY53" s="21"/>
      <c r="AZ53" s="21"/>
      <c r="BA53" s="21"/>
      <c r="BB53" s="21"/>
      <c r="BC53" s="21"/>
      <c r="BD53" s="24"/>
      <c r="BE53" s="24"/>
      <c r="BF53" s="24"/>
      <c r="BG53" s="23"/>
      <c r="BH53" s="25"/>
      <c r="BI53" s="25"/>
      <c r="BJ53" s="25"/>
      <c r="BK53" s="27"/>
      <c r="BL53" s="27"/>
      <c r="BM53" s="27"/>
      <c r="BN53" s="27"/>
      <c r="BO53" s="27"/>
      <c r="BP53" s="27"/>
      <c r="BQ53" s="27"/>
      <c r="BR53" s="25"/>
      <c r="BS53" s="27"/>
    </row>
    <row r="54" spans="1:71" ht="85" x14ac:dyDescent="0.2">
      <c r="A54" s="3">
        <v>53</v>
      </c>
      <c r="B54" s="2" t="s">
        <v>168</v>
      </c>
      <c r="C54" s="3" t="s">
        <v>158</v>
      </c>
      <c r="D54" s="5" t="s">
        <v>112</v>
      </c>
      <c r="E54" s="2" t="s">
        <v>170</v>
      </c>
      <c r="F54" s="3" t="s">
        <v>77</v>
      </c>
      <c r="G54" s="3" t="s">
        <v>0</v>
      </c>
      <c r="H54" s="3" t="s">
        <v>77</v>
      </c>
      <c r="I54" s="3">
        <v>30</v>
      </c>
      <c r="J54" s="3">
        <v>80</v>
      </c>
      <c r="K54" s="3" t="s">
        <v>77</v>
      </c>
      <c r="L54" s="3" t="s">
        <v>77</v>
      </c>
      <c r="M54" s="3">
        <v>2</v>
      </c>
      <c r="N54" s="3">
        <v>80</v>
      </c>
      <c r="O54" s="19">
        <f>(1810/1265)</f>
        <v>1.4308300395256917</v>
      </c>
      <c r="P54" s="19">
        <f>(247/1265)</f>
        <v>0.19525691699604744</v>
      </c>
      <c r="Q54" s="19"/>
      <c r="R54" s="19">
        <f t="shared" ref="R54:R55" si="0">(285/19)*P54</f>
        <v>2.9288537549407114</v>
      </c>
      <c r="S54" s="19"/>
      <c r="T54" s="19"/>
      <c r="U54" s="19"/>
      <c r="V54" s="19"/>
      <c r="W54" s="19">
        <f t="shared" ref="W54:W55" si="1">(117/140)*O54</f>
        <v>1.1957651044607567</v>
      </c>
      <c r="X54" s="19">
        <f t="shared" ref="X54:X55" si="2">(7/140)*O54</f>
        <v>7.1541501976284588E-2</v>
      </c>
      <c r="Y54" s="19">
        <f t="shared" ref="Y54:Y55" si="3">((1.03*1000)/19)*P54</f>
        <v>10.58498023715415</v>
      </c>
      <c r="Z54" s="19">
        <f>((9.8*((44/50)*2058)/140)+(13*2058/159))/1265</f>
        <v>0.23323079125960181</v>
      </c>
      <c r="AA54" s="19"/>
      <c r="AB54" s="19"/>
      <c r="AC54" s="19"/>
      <c r="AD54" s="19"/>
      <c r="AE54" s="19"/>
      <c r="AF54" s="19"/>
      <c r="AG54" s="19"/>
      <c r="AH54" s="19"/>
      <c r="AI54" s="19"/>
      <c r="AJ54" s="19"/>
      <c r="AK54" s="19"/>
      <c r="AL54" s="19"/>
      <c r="AM54" s="19"/>
      <c r="AN54" s="19"/>
      <c r="AO54" s="19"/>
      <c r="AP54" s="19"/>
      <c r="AQ54" s="19"/>
      <c r="AR54" s="19"/>
      <c r="AS54" s="19"/>
      <c r="AT54" s="21"/>
      <c r="AU54" s="21">
        <f>(1976/1265)</f>
        <v>1.5620553359683795</v>
      </c>
      <c r="AV54" s="21"/>
      <c r="AW54" s="21"/>
      <c r="AX54" s="21">
        <f>31/97</f>
        <v>0.31958762886597936</v>
      </c>
      <c r="AY54" s="21"/>
      <c r="AZ54" s="21"/>
      <c r="BA54" s="21"/>
      <c r="BB54" s="21"/>
      <c r="BC54" s="21"/>
      <c r="BD54" s="24"/>
      <c r="BE54" s="24"/>
      <c r="BF54" s="24"/>
      <c r="BG54" s="23"/>
      <c r="BH54" s="25"/>
      <c r="BI54" s="25"/>
      <c r="BJ54" s="25"/>
      <c r="BK54" s="27"/>
      <c r="BL54" s="27"/>
      <c r="BM54" s="27"/>
      <c r="BN54" s="27"/>
      <c r="BO54" s="27"/>
      <c r="BP54" s="27"/>
      <c r="BQ54" s="27"/>
      <c r="BR54" s="25"/>
      <c r="BS54" s="27"/>
    </row>
    <row r="55" spans="1:71" ht="85" x14ac:dyDescent="0.2">
      <c r="A55" s="3">
        <v>54</v>
      </c>
      <c r="B55" s="2" t="s">
        <v>168</v>
      </c>
      <c r="C55" s="3" t="s">
        <v>158</v>
      </c>
      <c r="D55" s="5" t="s">
        <v>112</v>
      </c>
      <c r="E55" s="2" t="s">
        <v>171</v>
      </c>
      <c r="F55" s="3" t="s">
        <v>77</v>
      </c>
      <c r="G55" s="3" t="s">
        <v>0</v>
      </c>
      <c r="H55" s="3" t="s">
        <v>77</v>
      </c>
      <c r="I55" s="3">
        <v>30</v>
      </c>
      <c r="J55" s="3">
        <v>80</v>
      </c>
      <c r="K55" s="3" t="s">
        <v>77</v>
      </c>
      <c r="L55" s="3" t="s">
        <v>77</v>
      </c>
      <c r="M55" s="3">
        <v>2</v>
      </c>
      <c r="N55" s="3">
        <v>80</v>
      </c>
      <c r="O55" s="19">
        <f>(8778/6130)</f>
        <v>1.431973898858075</v>
      </c>
      <c r="P55" s="19">
        <f>(1197/6130)</f>
        <v>0.19526916802610114</v>
      </c>
      <c r="Q55" s="19"/>
      <c r="R55" s="19">
        <f t="shared" si="0"/>
        <v>2.9290375203915171</v>
      </c>
      <c r="S55" s="19"/>
      <c r="T55" s="19"/>
      <c r="U55" s="19"/>
      <c r="V55" s="19"/>
      <c r="W55" s="19">
        <f t="shared" si="1"/>
        <v>1.196721044045677</v>
      </c>
      <c r="X55" s="19">
        <f t="shared" si="2"/>
        <v>7.1598694942903759E-2</v>
      </c>
      <c r="Y55" s="19">
        <f t="shared" si="3"/>
        <v>10.585644371941273</v>
      </c>
      <c r="Z55" s="19">
        <f>((9.8*((44/50)*9975)/140)+(13*9975/159))/6130</f>
        <v>0.2332832035458155</v>
      </c>
      <c r="AA55" s="19"/>
      <c r="AB55" s="19"/>
      <c r="AC55" s="19"/>
      <c r="AD55" s="19"/>
      <c r="AE55" s="19"/>
      <c r="AF55" s="19"/>
      <c r="AG55" s="19"/>
      <c r="AH55" s="19"/>
      <c r="AI55" s="19"/>
      <c r="AJ55" s="19"/>
      <c r="AK55" s="19"/>
      <c r="AL55" s="19"/>
      <c r="AM55" s="19"/>
      <c r="AN55" s="19"/>
      <c r="AO55" s="19"/>
      <c r="AP55" s="19"/>
      <c r="AQ55" s="19"/>
      <c r="AR55" s="19"/>
      <c r="AS55" s="19"/>
      <c r="AT55" s="21"/>
      <c r="AU55" s="21">
        <f>(9576/6130)</f>
        <v>1.5621533442088091</v>
      </c>
      <c r="AV55" s="21"/>
      <c r="AW55" s="21"/>
      <c r="AX55" s="21">
        <f>31/97</f>
        <v>0.31958762886597936</v>
      </c>
      <c r="AY55" s="21"/>
      <c r="AZ55" s="21"/>
      <c r="BA55" s="21"/>
      <c r="BB55" s="21"/>
      <c r="BC55" s="21"/>
      <c r="BD55" s="24"/>
      <c r="BE55" s="24"/>
      <c r="BF55" s="24"/>
      <c r="BG55" s="23"/>
      <c r="BH55" s="25"/>
      <c r="BI55" s="25"/>
      <c r="BJ55" s="25"/>
      <c r="BK55" s="27"/>
      <c r="BL55" s="27"/>
      <c r="BM55" s="27"/>
      <c r="BN55" s="27"/>
      <c r="BO55" s="27"/>
      <c r="BP55" s="27"/>
      <c r="BQ55" s="27"/>
      <c r="BR55" s="25"/>
      <c r="BS55" s="27"/>
    </row>
    <row r="56" spans="1:71" ht="51" x14ac:dyDescent="0.2">
      <c r="A56" s="3">
        <v>55</v>
      </c>
      <c r="B56" s="2" t="s">
        <v>172</v>
      </c>
      <c r="C56" s="3" t="s">
        <v>158</v>
      </c>
      <c r="D56" s="5" t="s">
        <v>112</v>
      </c>
      <c r="E56" s="45" t="s">
        <v>173</v>
      </c>
      <c r="F56" s="3" t="s">
        <v>77</v>
      </c>
      <c r="G56" s="3" t="s">
        <v>0</v>
      </c>
      <c r="H56" s="3" t="s">
        <v>0</v>
      </c>
      <c r="I56" s="3" t="s">
        <v>2</v>
      </c>
      <c r="J56" s="3" t="s">
        <v>2</v>
      </c>
      <c r="K56" s="3" t="s">
        <v>0</v>
      </c>
      <c r="L56" s="3" t="s">
        <v>0</v>
      </c>
      <c r="M56" s="3" t="s">
        <v>2</v>
      </c>
      <c r="N56" s="3" t="s">
        <v>2</v>
      </c>
      <c r="O56" s="19">
        <f>15.4/10</f>
        <v>1.54</v>
      </c>
      <c r="P56" s="19">
        <f>2.3/10</f>
        <v>0.22999999999999998</v>
      </c>
      <c r="Q56" s="19"/>
      <c r="R56" s="19"/>
      <c r="S56" s="19"/>
      <c r="T56" s="19"/>
      <c r="U56" s="19"/>
      <c r="V56" s="19"/>
      <c r="W56" s="19"/>
      <c r="X56" s="19"/>
      <c r="Y56" s="19"/>
      <c r="Z56" s="19">
        <f>(8760*1000*1.56)/(10*1000*1000)</f>
        <v>1.36656</v>
      </c>
      <c r="AA56" s="19"/>
      <c r="AB56" s="19"/>
      <c r="AC56" s="19">
        <f>(8760*1000*1.02)/(10*1000*1000)</f>
        <v>0.89351999999999998</v>
      </c>
      <c r="AD56" s="19"/>
      <c r="AE56" s="19"/>
      <c r="AF56" s="19"/>
      <c r="AG56" s="19"/>
      <c r="AH56" s="19"/>
      <c r="AI56" s="19"/>
      <c r="AJ56" s="19"/>
      <c r="AK56" s="19"/>
      <c r="AL56" s="19"/>
      <c r="AM56" s="19"/>
      <c r="AN56" s="19"/>
      <c r="AO56" s="19"/>
      <c r="AP56" s="19"/>
      <c r="AQ56" s="19"/>
      <c r="AR56" s="19"/>
      <c r="AS56" s="19"/>
      <c r="AT56" s="21"/>
      <c r="AU56" s="21"/>
      <c r="AV56" s="21"/>
      <c r="AW56" s="21"/>
      <c r="AX56" s="21"/>
      <c r="AY56" s="21"/>
      <c r="AZ56" s="21"/>
      <c r="BA56" s="21"/>
      <c r="BB56" s="21"/>
      <c r="BC56" s="21"/>
      <c r="BD56" s="24"/>
      <c r="BE56" s="24"/>
      <c r="BF56" s="24"/>
      <c r="BG56" s="23"/>
      <c r="BH56" s="25"/>
      <c r="BI56" s="25"/>
      <c r="BJ56" s="25"/>
      <c r="BK56" s="27"/>
      <c r="BL56" s="27"/>
      <c r="BM56" s="27"/>
      <c r="BN56" s="27"/>
      <c r="BO56" s="27"/>
      <c r="BP56" s="27"/>
      <c r="BQ56" s="27"/>
      <c r="BR56" s="25"/>
      <c r="BS56" s="27"/>
    </row>
    <row r="57" spans="1:71" ht="68" x14ac:dyDescent="0.2">
      <c r="A57" s="3">
        <v>56</v>
      </c>
      <c r="B57" s="46" t="s">
        <v>174</v>
      </c>
      <c r="C57" s="47" t="s">
        <v>158</v>
      </c>
      <c r="D57" s="5" t="s">
        <v>112</v>
      </c>
      <c r="E57" s="46" t="s">
        <v>175</v>
      </c>
      <c r="F57" s="47" t="s">
        <v>77</v>
      </c>
      <c r="G57" s="47" t="s">
        <v>77</v>
      </c>
      <c r="H57" s="47" t="s">
        <v>77</v>
      </c>
      <c r="I57" s="47">
        <v>30</v>
      </c>
      <c r="J57" s="47">
        <v>78</v>
      </c>
      <c r="K57" s="47" t="s">
        <v>77</v>
      </c>
      <c r="L57" s="47" t="s">
        <v>77</v>
      </c>
      <c r="M57" s="47">
        <v>1</v>
      </c>
      <c r="N57" s="47">
        <v>78</v>
      </c>
      <c r="O57" s="19">
        <f>88/59.3</f>
        <v>1.4839797639123105</v>
      </c>
      <c r="P57" s="19">
        <f>12.1/59.3</f>
        <v>0.20404721753794267</v>
      </c>
      <c r="Q57" s="19"/>
      <c r="R57" s="19"/>
      <c r="S57" s="19"/>
      <c r="T57" s="19"/>
      <c r="U57" s="19"/>
      <c r="V57" s="19"/>
      <c r="W57" s="19">
        <f>((77.7*1000)/(88*1000))*O57</f>
        <v>1.3102866779089377</v>
      </c>
      <c r="X57" s="19">
        <f>((3.9*1000)/(88*1000))*O57</f>
        <v>6.5767284991568309E-2</v>
      </c>
      <c r="Y57" s="19">
        <f>((645.1*1000)/(12.1*1000))*P57</f>
        <v>10.87858347386172</v>
      </c>
      <c r="Z57" s="19">
        <f>(15.9+2.9-1.9)/59.3</f>
        <v>0.28499156829679601</v>
      </c>
      <c r="AA57" s="19"/>
      <c r="AB57" s="19"/>
      <c r="AC57" s="19"/>
      <c r="AD57" s="19"/>
      <c r="AE57" s="19"/>
      <c r="AF57" s="19"/>
      <c r="AG57" s="19"/>
      <c r="AH57" s="19"/>
      <c r="AI57" s="19"/>
      <c r="AJ57" s="19"/>
      <c r="AK57" s="19"/>
      <c r="AL57" s="19"/>
      <c r="AM57" s="19"/>
      <c r="AN57" s="19"/>
      <c r="AO57" s="19"/>
      <c r="AP57" s="19"/>
      <c r="AQ57" s="19"/>
      <c r="AR57" s="19"/>
      <c r="AS57" s="48"/>
      <c r="AT57" s="21"/>
      <c r="AU57" s="21"/>
      <c r="AV57" s="21"/>
      <c r="AW57" s="21"/>
      <c r="AX57" s="21">
        <f>35.7/59.3</f>
        <v>0.60202360876897143</v>
      </c>
      <c r="AY57" s="21"/>
      <c r="AZ57" s="21"/>
      <c r="BA57" s="21"/>
      <c r="BB57" s="21"/>
      <c r="BC57" s="21"/>
      <c r="BD57" s="24"/>
      <c r="BE57" s="24"/>
      <c r="BF57" s="24"/>
      <c r="BG57" s="23"/>
      <c r="BH57" s="25">
        <f>6.6/59.3</f>
        <v>0.11129848229342328</v>
      </c>
      <c r="BI57" s="25">
        <f>41.4/59.3</f>
        <v>0.69814502529510958</v>
      </c>
      <c r="BJ57" s="25"/>
      <c r="BK57" s="27"/>
      <c r="BL57" s="27"/>
      <c r="BM57" s="27"/>
      <c r="BN57" s="27"/>
      <c r="BO57" s="27"/>
      <c r="BP57" s="27"/>
      <c r="BQ57" s="27"/>
      <c r="BR57" s="25"/>
      <c r="BS57" s="27"/>
    </row>
    <row r="58" spans="1:71" ht="34" x14ac:dyDescent="0.2">
      <c r="A58" s="3">
        <v>57</v>
      </c>
      <c r="B58" s="46" t="s">
        <v>176</v>
      </c>
      <c r="C58" s="3" t="s">
        <v>158</v>
      </c>
      <c r="D58" s="5" t="s">
        <v>112</v>
      </c>
      <c r="E58" s="2" t="s">
        <v>177</v>
      </c>
      <c r="F58" s="47" t="s">
        <v>77</v>
      </c>
      <c r="G58" s="47" t="s">
        <v>77</v>
      </c>
      <c r="H58" s="47" t="s">
        <v>77</v>
      </c>
      <c r="I58" s="3" t="s">
        <v>2</v>
      </c>
      <c r="J58" s="3">
        <v>50</v>
      </c>
      <c r="K58" s="47" t="s">
        <v>77</v>
      </c>
      <c r="L58" s="47" t="s">
        <v>77</v>
      </c>
      <c r="M58" s="3" t="s">
        <v>2</v>
      </c>
      <c r="N58" s="3">
        <v>50</v>
      </c>
      <c r="O58" s="19">
        <f>467/323</f>
        <v>1.4458204334365325</v>
      </c>
      <c r="P58" s="19">
        <f>63.7/323</f>
        <v>0.19721362229102168</v>
      </c>
      <c r="Q58" s="19"/>
      <c r="R58" s="19"/>
      <c r="S58" s="19"/>
      <c r="T58" s="19"/>
      <c r="U58" s="19"/>
      <c r="V58" s="19"/>
      <c r="W58" s="19"/>
      <c r="X58" s="19">
        <f>((200*1000)/(467*1000))*O58</f>
        <v>0.61919504643962853</v>
      </c>
      <c r="Y58" s="19">
        <f>(((2997+5.3)*1000)/((63.7+1.1)*1000))*P58</f>
        <v>9.1372601574742962</v>
      </c>
      <c r="Z58" s="19">
        <f>(19.4*1000)/(323*1000)</f>
        <v>6.0061919504643964E-2</v>
      </c>
      <c r="AA58" s="19"/>
      <c r="AB58" s="19"/>
      <c r="AC58" s="19"/>
      <c r="AD58" s="19"/>
      <c r="AE58" s="19"/>
      <c r="AF58" s="19"/>
      <c r="AG58" s="19"/>
      <c r="AH58" s="19"/>
      <c r="AI58" s="19"/>
      <c r="AJ58" s="19"/>
      <c r="AK58" s="19"/>
      <c r="AL58" s="19"/>
      <c r="AM58" s="19"/>
      <c r="AN58" s="19"/>
      <c r="AO58" s="19"/>
      <c r="AP58" s="19"/>
      <c r="AQ58" s="19"/>
      <c r="AR58" s="19"/>
      <c r="AS58" s="19"/>
      <c r="AT58" s="21"/>
      <c r="AU58" s="21"/>
      <c r="AV58" s="21"/>
      <c r="AW58" s="21"/>
      <c r="AX58" s="21"/>
      <c r="AY58" s="21"/>
      <c r="AZ58" s="21"/>
      <c r="BA58" s="21"/>
      <c r="BB58" s="21"/>
      <c r="BC58" s="21"/>
      <c r="BD58" s="24"/>
      <c r="BE58" s="24"/>
      <c r="BF58" s="24"/>
      <c r="BG58" s="23"/>
      <c r="BH58" s="25">
        <f>23/323</f>
        <v>7.1207430340557279E-2</v>
      </c>
      <c r="BI58" s="25"/>
      <c r="BJ58" s="25"/>
      <c r="BK58" s="27"/>
      <c r="BL58" s="27"/>
      <c r="BM58" s="27"/>
      <c r="BN58" s="27"/>
      <c r="BO58" s="27"/>
      <c r="BP58" s="27"/>
      <c r="BQ58" s="27"/>
      <c r="BR58" s="25"/>
      <c r="BS58" s="27"/>
    </row>
    <row r="59" spans="1:71" ht="85" x14ac:dyDescent="0.2">
      <c r="A59" s="3">
        <v>58</v>
      </c>
      <c r="B59" s="46" t="s">
        <v>178</v>
      </c>
      <c r="C59" s="3" t="s">
        <v>158</v>
      </c>
      <c r="D59" s="5" t="s">
        <v>112</v>
      </c>
      <c r="E59" s="2" t="s">
        <v>179</v>
      </c>
      <c r="F59" s="47" t="s">
        <v>77</v>
      </c>
      <c r="G59" s="47" t="s">
        <v>77</v>
      </c>
      <c r="H59" s="47" t="s">
        <v>77</v>
      </c>
      <c r="I59" s="3" t="s">
        <v>2</v>
      </c>
      <c r="J59" s="47">
        <v>50</v>
      </c>
      <c r="K59" s="47" t="s">
        <v>77</v>
      </c>
      <c r="L59" s="47" t="s">
        <v>77</v>
      </c>
      <c r="M59" s="3" t="s">
        <v>2</v>
      </c>
      <c r="N59" s="47">
        <v>50</v>
      </c>
      <c r="O59" s="19">
        <v>1.27</v>
      </c>
      <c r="P59" s="19">
        <v>0.188</v>
      </c>
      <c r="Q59" s="19"/>
      <c r="R59" s="19">
        <v>0.56000000000000005</v>
      </c>
      <c r="S59" s="19"/>
      <c r="T59" s="19"/>
      <c r="U59" s="19"/>
      <c r="V59" s="19"/>
      <c r="W59" s="19"/>
      <c r="X59" s="19">
        <f>0.88*O59</f>
        <v>1.1175999999999999</v>
      </c>
      <c r="Y59" s="19">
        <f>17.89*P59</f>
        <v>3.3633200000000003</v>
      </c>
      <c r="Z59" s="19">
        <v>0.88600000000000001</v>
      </c>
      <c r="AA59" s="19"/>
      <c r="AB59" s="19"/>
      <c r="AC59" s="19"/>
      <c r="AD59" s="19"/>
      <c r="AE59" s="19"/>
      <c r="AF59" s="19"/>
      <c r="AG59" s="19"/>
      <c r="AH59" s="19"/>
      <c r="AI59" s="19"/>
      <c r="AJ59" s="19"/>
      <c r="AK59" s="19"/>
      <c r="AL59" s="19"/>
      <c r="AM59" s="19"/>
      <c r="AN59" s="19"/>
      <c r="AO59" s="19"/>
      <c r="AP59" s="19"/>
      <c r="AQ59" s="19"/>
      <c r="AR59" s="19"/>
      <c r="AS59" s="19"/>
      <c r="AT59" s="21"/>
      <c r="AU59" s="21">
        <v>1.49</v>
      </c>
      <c r="AV59" s="21"/>
      <c r="AW59" s="21"/>
      <c r="AX59" s="21"/>
      <c r="AY59" s="21"/>
      <c r="AZ59" s="21"/>
      <c r="BA59" s="21"/>
      <c r="BB59" s="21"/>
      <c r="BC59" s="21"/>
      <c r="BD59" s="24"/>
      <c r="BE59" s="24"/>
      <c r="BF59" s="24"/>
      <c r="BG59" s="23"/>
      <c r="BH59" s="25"/>
      <c r="BI59" s="25">
        <v>0.56299999999999994</v>
      </c>
      <c r="BJ59" s="25"/>
      <c r="BK59" s="27"/>
      <c r="BL59" s="27"/>
      <c r="BM59" s="27"/>
      <c r="BN59" s="27"/>
      <c r="BO59" s="27"/>
      <c r="BP59" s="27"/>
      <c r="BQ59" s="27"/>
      <c r="BR59" s="25"/>
      <c r="BS59" s="27"/>
    </row>
    <row r="60" spans="1:71" ht="68" x14ac:dyDescent="0.2">
      <c r="A60" s="3">
        <v>59</v>
      </c>
      <c r="B60" s="46" t="s">
        <v>180</v>
      </c>
      <c r="C60" s="3" t="s">
        <v>158</v>
      </c>
      <c r="D60" s="5" t="s">
        <v>112</v>
      </c>
      <c r="E60" s="2" t="s">
        <v>181</v>
      </c>
      <c r="F60" s="47" t="s">
        <v>77</v>
      </c>
      <c r="G60" s="47" t="s">
        <v>77</v>
      </c>
      <c r="H60" s="47" t="s">
        <v>77</v>
      </c>
      <c r="I60" s="3" t="s">
        <v>2</v>
      </c>
      <c r="J60" s="47">
        <v>50</v>
      </c>
      <c r="K60" s="47" t="s">
        <v>77</v>
      </c>
      <c r="L60" s="47" t="s">
        <v>77</v>
      </c>
      <c r="M60" s="3" t="s">
        <v>2</v>
      </c>
      <c r="N60" s="47">
        <v>50</v>
      </c>
      <c r="O60" s="19">
        <v>1.4</v>
      </c>
      <c r="P60" s="19">
        <v>0.19</v>
      </c>
      <c r="Q60" s="19"/>
      <c r="R60" s="19">
        <f>48.59/26.56</f>
        <v>1.8294427710843375</v>
      </c>
      <c r="S60" s="19"/>
      <c r="T60" s="19"/>
      <c r="U60" s="19"/>
      <c r="V60" s="19"/>
      <c r="W60" s="19">
        <f>0.89/26.56</f>
        <v>3.3509036144578314E-2</v>
      </c>
      <c r="X60" s="19">
        <f>0.27/26.56</f>
        <v>1.0165662650602411E-2</v>
      </c>
      <c r="Y60" s="19">
        <f>273/26.56</f>
        <v>10.278614457831326</v>
      </c>
      <c r="Z60" s="19">
        <f>(2.1+6.16+13.2+0.7)/26.56</f>
        <v>0.83433734939759041</v>
      </c>
      <c r="AA60" s="19"/>
      <c r="AB60" s="19"/>
      <c r="AC60" s="19"/>
      <c r="AD60" s="19"/>
      <c r="AE60" s="19"/>
      <c r="AF60" s="19"/>
      <c r="AG60" s="19"/>
      <c r="AH60" s="19"/>
      <c r="AI60" s="19"/>
      <c r="AJ60" s="19"/>
      <c r="AK60" s="19"/>
      <c r="AL60" s="19"/>
      <c r="AM60" s="19"/>
      <c r="AN60" s="19"/>
      <c r="AO60" s="19"/>
      <c r="AP60" s="19"/>
      <c r="AQ60" s="19"/>
      <c r="AR60" s="19"/>
      <c r="AS60" s="19"/>
      <c r="AT60" s="21"/>
      <c r="AU60" s="21">
        <f>43.15/26.56</f>
        <v>1.6246234939759037</v>
      </c>
      <c r="AV60" s="21"/>
      <c r="AW60" s="21"/>
      <c r="AX60" s="21"/>
      <c r="AY60" s="21"/>
      <c r="AZ60" s="21"/>
      <c r="BA60" s="21"/>
      <c r="BB60" s="21"/>
      <c r="BC60" s="21"/>
      <c r="BD60" s="24"/>
      <c r="BE60" s="24"/>
      <c r="BF60" s="24"/>
      <c r="BG60" s="23"/>
      <c r="BH60" s="25">
        <v>5.7000000000000002E-3</v>
      </c>
      <c r="BI60" s="25">
        <v>0.57999999999999996</v>
      </c>
      <c r="BJ60" s="25"/>
      <c r="BK60" s="27"/>
      <c r="BL60" s="27"/>
      <c r="BM60" s="27"/>
      <c r="BN60" s="27"/>
      <c r="BO60" s="27"/>
      <c r="BP60" s="27"/>
      <c r="BQ60" s="27"/>
      <c r="BR60" s="25"/>
      <c r="BS60" s="27"/>
    </row>
    <row r="61" spans="1:71" ht="170" customHeight="1" x14ac:dyDescent="0.2">
      <c r="A61" s="3">
        <v>60</v>
      </c>
      <c r="B61" s="2" t="s">
        <v>182</v>
      </c>
      <c r="C61" s="3" t="s">
        <v>158</v>
      </c>
      <c r="D61" s="5" t="s">
        <v>112</v>
      </c>
      <c r="E61" s="2" t="s">
        <v>183</v>
      </c>
      <c r="F61" s="47" t="s">
        <v>77</v>
      </c>
      <c r="G61" s="47" t="s">
        <v>77</v>
      </c>
      <c r="H61" s="47" t="s">
        <v>77</v>
      </c>
      <c r="I61" s="47">
        <v>30</v>
      </c>
      <c r="J61" s="47">
        <v>78</v>
      </c>
      <c r="K61" s="47" t="s">
        <v>0</v>
      </c>
      <c r="L61" s="47" t="s">
        <v>0</v>
      </c>
      <c r="M61" s="49" t="s">
        <v>2</v>
      </c>
      <c r="N61" s="47">
        <v>78</v>
      </c>
      <c r="O61" s="19">
        <f>(73/(1000/20))</f>
        <v>1.46</v>
      </c>
      <c r="P61" s="19">
        <f>(2.5/120)/(2.1/20)</f>
        <v>0.19841269841269837</v>
      </c>
      <c r="Q61" s="19">
        <f>(112.8/(1000/20))</f>
        <v>2.2559999999999998</v>
      </c>
      <c r="R61" s="19">
        <f>(3.5/(1000/20))</f>
        <v>7.0000000000000007E-2</v>
      </c>
      <c r="S61" s="19"/>
      <c r="T61" s="19"/>
      <c r="U61" s="19"/>
      <c r="V61" s="19"/>
      <c r="W61" s="19"/>
      <c r="X61" s="19"/>
      <c r="Y61" s="19">
        <f>(397/(1000/20))</f>
        <v>7.94</v>
      </c>
      <c r="Z61" s="19">
        <f>(7/(1000/20))</f>
        <v>0.14000000000000001</v>
      </c>
      <c r="AA61" s="19"/>
      <c r="AB61" s="19"/>
      <c r="AC61" s="19"/>
      <c r="AD61" s="19"/>
      <c r="AE61" s="19"/>
      <c r="AF61" s="19"/>
      <c r="AG61" s="19"/>
      <c r="AH61" s="19"/>
      <c r="AI61" s="19"/>
      <c r="AJ61" s="19"/>
      <c r="AK61" s="19"/>
      <c r="AL61" s="19"/>
      <c r="AM61" s="19"/>
      <c r="AN61" s="19"/>
      <c r="AO61" s="19"/>
      <c r="AP61" s="19"/>
      <c r="AQ61" s="19"/>
      <c r="AR61" s="19"/>
      <c r="AS61" s="19"/>
      <c r="AT61" s="21"/>
      <c r="AU61" s="21">
        <f>(80.2/(1000/20))</f>
        <v>1.6040000000000001</v>
      </c>
      <c r="AV61" s="21"/>
      <c r="AW61" s="21">
        <f>(0.2*1000/(1000/20))</f>
        <v>4</v>
      </c>
      <c r="AX61" s="21">
        <f>(0.2/(1000/20))*1000*0.2777</f>
        <v>1.1108</v>
      </c>
      <c r="AY61" s="24"/>
      <c r="AZ61" s="24"/>
      <c r="BA61" s="21"/>
      <c r="BB61" s="21"/>
      <c r="BC61" s="21"/>
      <c r="BD61" s="21"/>
      <c r="BE61" s="21"/>
      <c r="BF61" s="21"/>
      <c r="BG61" s="23"/>
      <c r="BH61" s="25">
        <f>5.1/(1000/20)</f>
        <v>0.10199999999999999</v>
      </c>
      <c r="BI61" s="25">
        <f>0.03/(1000/20)</f>
        <v>5.9999999999999995E-4</v>
      </c>
      <c r="BJ61" s="25"/>
      <c r="BK61" s="25"/>
      <c r="BL61" s="25"/>
      <c r="BM61" s="25"/>
      <c r="BN61" s="25"/>
      <c r="BO61" s="25"/>
      <c r="BP61" s="27"/>
      <c r="BQ61" s="27"/>
      <c r="BR61" s="25"/>
      <c r="BS61" s="27"/>
    </row>
    <row r="62" spans="1:71" ht="102" x14ac:dyDescent="0.2">
      <c r="A62" s="3">
        <v>61</v>
      </c>
      <c r="B62" s="2" t="s">
        <v>184</v>
      </c>
      <c r="C62" s="3" t="s">
        <v>158</v>
      </c>
      <c r="D62" s="5" t="s">
        <v>112</v>
      </c>
      <c r="E62" s="2" t="s">
        <v>185</v>
      </c>
      <c r="F62" s="47" t="s">
        <v>77</v>
      </c>
      <c r="G62" s="47" t="s">
        <v>77</v>
      </c>
      <c r="H62" s="47" t="s">
        <v>77</v>
      </c>
      <c r="I62" s="47">
        <v>30</v>
      </c>
      <c r="J62" s="47">
        <v>80</v>
      </c>
      <c r="K62" s="47" t="s">
        <v>77</v>
      </c>
      <c r="L62" s="47" t="s">
        <v>77</v>
      </c>
      <c r="M62" s="47">
        <v>2</v>
      </c>
      <c r="N62" s="47">
        <v>80</v>
      </c>
      <c r="O62" s="19">
        <f>2227/1546</f>
        <v>1.4404915912031049</v>
      </c>
      <c r="P62" s="19">
        <f>203/1000</f>
        <v>0.20300000000000001</v>
      </c>
      <c r="Q62" s="19">
        <f>(1782/203)*P62</f>
        <v>1.7820000000000003</v>
      </c>
      <c r="R62" s="19"/>
      <c r="S62" s="19"/>
      <c r="T62" s="19"/>
      <c r="U62" s="19"/>
      <c r="V62" s="19">
        <f>((3.9*1000)/1441)*O62</f>
        <v>3.8986240150535107</v>
      </c>
      <c r="W62" s="19"/>
      <c r="X62" s="19">
        <f>((0.01*1000)/1441)*O62</f>
        <v>9.9964718334705407E-3</v>
      </c>
      <c r="Y62" s="19">
        <f>((10.7*1000)/203)*P62</f>
        <v>10.700000000000001</v>
      </c>
      <c r="Z62" s="19">
        <v>0.33</v>
      </c>
      <c r="AA62" s="19"/>
      <c r="AB62" s="19"/>
      <c r="AC62" s="19"/>
      <c r="AD62" s="19"/>
      <c r="AE62" s="19"/>
      <c r="AF62" s="19"/>
      <c r="AG62" s="19"/>
      <c r="AH62" s="19"/>
      <c r="AI62" s="19"/>
      <c r="AJ62" s="19"/>
      <c r="AK62" s="19"/>
      <c r="AL62" s="19"/>
      <c r="AM62" s="19"/>
      <c r="AN62" s="19"/>
      <c r="AO62" s="19"/>
      <c r="AP62" s="19"/>
      <c r="AQ62" s="19"/>
      <c r="AR62" s="19"/>
      <c r="AS62" s="19"/>
      <c r="AT62" s="21"/>
      <c r="AU62" s="21"/>
      <c r="AV62" s="21"/>
      <c r="AW62" s="21"/>
      <c r="AX62" s="21"/>
      <c r="AY62" s="21"/>
      <c r="AZ62" s="21"/>
      <c r="BA62" s="21"/>
      <c r="BB62" s="21"/>
      <c r="BC62" s="21"/>
      <c r="BD62" s="21"/>
      <c r="BE62" s="21"/>
      <c r="BF62" s="21"/>
      <c r="BG62" s="23"/>
      <c r="BH62" s="25"/>
      <c r="BI62" s="25">
        <f>568/1000</f>
        <v>0.56799999999999995</v>
      </c>
      <c r="BJ62" s="25"/>
      <c r="BK62" s="25"/>
      <c r="BL62" s="25"/>
      <c r="BM62" s="25"/>
      <c r="BN62" s="25"/>
      <c r="BO62" s="25"/>
      <c r="BP62" s="27"/>
      <c r="BQ62" s="27"/>
      <c r="BR62" s="25"/>
      <c r="BS62" s="27"/>
    </row>
    <row r="63" spans="1:71" ht="119" x14ac:dyDescent="0.2">
      <c r="A63" s="3">
        <v>62</v>
      </c>
      <c r="B63" s="2" t="s">
        <v>186</v>
      </c>
      <c r="C63" s="3" t="s">
        <v>158</v>
      </c>
      <c r="D63" s="5" t="s">
        <v>112</v>
      </c>
      <c r="E63" s="2" t="s">
        <v>187</v>
      </c>
      <c r="F63" s="47" t="s">
        <v>77</v>
      </c>
      <c r="G63" s="47" t="s">
        <v>77</v>
      </c>
      <c r="H63" s="47" t="s">
        <v>77</v>
      </c>
      <c r="I63" s="49" t="s">
        <v>2</v>
      </c>
      <c r="J63" s="49" t="s">
        <v>2</v>
      </c>
      <c r="K63" s="47" t="s">
        <v>0</v>
      </c>
      <c r="L63" s="47" t="s">
        <v>0</v>
      </c>
      <c r="M63" s="47">
        <v>1</v>
      </c>
      <c r="N63" s="49" t="s">
        <v>2</v>
      </c>
      <c r="O63" s="19">
        <v>1.38</v>
      </c>
      <c r="P63" s="19"/>
      <c r="Q63" s="19">
        <v>1.99</v>
      </c>
      <c r="R63" s="19"/>
      <c r="S63" s="19"/>
      <c r="T63" s="19"/>
      <c r="U63" s="19"/>
      <c r="V63" s="19"/>
      <c r="W63" s="19"/>
      <c r="X63" s="19"/>
      <c r="Y63" s="19">
        <v>11.7</v>
      </c>
      <c r="Z63" s="19">
        <v>0.16900000000000001</v>
      </c>
      <c r="AA63" s="19"/>
      <c r="AB63" s="19"/>
      <c r="AC63" s="19"/>
      <c r="AD63" s="19"/>
      <c r="AE63" s="19">
        <v>4.5999999999999996</v>
      </c>
      <c r="AF63" s="19"/>
      <c r="AG63" s="19"/>
      <c r="AH63" s="19"/>
      <c r="AI63" s="19"/>
      <c r="AJ63" s="19"/>
      <c r="AK63" s="19"/>
      <c r="AL63" s="19"/>
      <c r="AM63" s="19"/>
      <c r="AN63" s="19"/>
      <c r="AO63" s="19"/>
      <c r="AP63" s="19"/>
      <c r="AQ63" s="19"/>
      <c r="AR63" s="19"/>
      <c r="AS63" s="19"/>
      <c r="AT63" s="21"/>
      <c r="AU63" s="21"/>
      <c r="AV63" s="21"/>
      <c r="AW63" s="21"/>
      <c r="AX63" s="24"/>
      <c r="AY63" s="21"/>
      <c r="AZ63" s="21"/>
      <c r="BA63" s="21"/>
      <c r="BB63" s="21"/>
      <c r="BC63" s="21"/>
      <c r="BD63" s="24"/>
      <c r="BE63" s="24"/>
      <c r="BF63" s="24"/>
      <c r="BG63" s="23"/>
      <c r="BH63" s="25"/>
      <c r="BI63" s="25">
        <f>0.003+0.765</f>
        <v>0.76800000000000002</v>
      </c>
      <c r="BJ63" s="25"/>
      <c r="BK63" s="27"/>
      <c r="BL63" s="27"/>
      <c r="BM63" s="27"/>
      <c r="BN63" s="27"/>
      <c r="BO63" s="27"/>
      <c r="BP63" s="27"/>
      <c r="BQ63" s="27"/>
      <c r="BR63" s="25"/>
      <c r="BS63" s="27"/>
    </row>
    <row r="64" spans="1:71" ht="51" hidden="1" x14ac:dyDescent="0.2">
      <c r="A64" s="3">
        <v>63</v>
      </c>
      <c r="B64" s="2" t="s">
        <v>186</v>
      </c>
      <c r="C64" s="3" t="s">
        <v>158</v>
      </c>
      <c r="D64" s="5" t="s">
        <v>79</v>
      </c>
      <c r="E64" s="45" t="s">
        <v>188</v>
      </c>
      <c r="F64" s="47" t="s">
        <v>0</v>
      </c>
      <c r="G64" s="47" t="s">
        <v>0</v>
      </c>
      <c r="H64" s="47" t="s">
        <v>1</v>
      </c>
      <c r="I64" s="49" t="s">
        <v>1</v>
      </c>
      <c r="J64" s="49" t="s">
        <v>1</v>
      </c>
      <c r="K64" s="47" t="s">
        <v>0</v>
      </c>
      <c r="L64" s="47" t="s">
        <v>0</v>
      </c>
      <c r="M64" s="47">
        <v>1</v>
      </c>
      <c r="N64" s="49" t="s">
        <v>2</v>
      </c>
      <c r="O64" s="19">
        <v>1.38</v>
      </c>
      <c r="P64" s="19"/>
      <c r="Q64" s="19">
        <v>3.13</v>
      </c>
      <c r="R64" s="19"/>
      <c r="S64" s="19"/>
      <c r="T64" s="19"/>
      <c r="U64" s="19"/>
      <c r="V64" s="19"/>
      <c r="W64" s="19"/>
      <c r="X64" s="19"/>
      <c r="Y64" s="19"/>
      <c r="Z64" s="19">
        <f>25.7+24.8</f>
        <v>50.5</v>
      </c>
      <c r="AA64" s="19"/>
      <c r="AB64" s="19"/>
      <c r="AC64" s="19"/>
      <c r="AD64" s="19"/>
      <c r="AE64" s="19">
        <v>13729</v>
      </c>
      <c r="AF64" s="19"/>
      <c r="AG64" s="19"/>
      <c r="AH64" s="19"/>
      <c r="AI64" s="19"/>
      <c r="AJ64" s="19"/>
      <c r="AK64" s="19"/>
      <c r="AL64" s="19"/>
      <c r="AM64" s="19"/>
      <c r="AN64" s="19"/>
      <c r="AO64" s="19"/>
      <c r="AP64" s="19"/>
      <c r="AQ64" s="19"/>
      <c r="AR64" s="19"/>
      <c r="AS64" s="19"/>
      <c r="AT64" s="21">
        <v>0.223</v>
      </c>
      <c r="AU64" s="21">
        <v>3.28</v>
      </c>
      <c r="AV64" s="21"/>
      <c r="AW64" s="21"/>
      <c r="AX64" s="21"/>
      <c r="AY64" s="21"/>
      <c r="AZ64" s="21"/>
      <c r="BA64" s="21"/>
      <c r="BB64" s="21"/>
      <c r="BC64" s="21"/>
      <c r="BD64" s="21"/>
      <c r="BE64" s="21"/>
      <c r="BF64" s="21"/>
      <c r="BG64" s="23"/>
      <c r="BH64" s="25"/>
      <c r="BI64" s="25">
        <v>3.0000000000000001E-3</v>
      </c>
      <c r="BJ64" s="25"/>
      <c r="BK64" s="25"/>
      <c r="BL64" s="25"/>
      <c r="BM64" s="25"/>
      <c r="BN64" s="25"/>
      <c r="BO64" s="25"/>
      <c r="BP64" s="27"/>
      <c r="BQ64" s="27"/>
      <c r="BR64" s="25"/>
      <c r="BS64" s="27"/>
    </row>
    <row r="65" spans="1:71" ht="136" x14ac:dyDescent="0.2">
      <c r="A65" s="3">
        <v>64</v>
      </c>
      <c r="B65" s="2" t="s">
        <v>141</v>
      </c>
      <c r="C65" s="3" t="s">
        <v>158</v>
      </c>
      <c r="D65" s="5" t="s">
        <v>112</v>
      </c>
      <c r="E65" s="35" t="s">
        <v>189</v>
      </c>
      <c r="F65" s="3" t="s">
        <v>77</v>
      </c>
      <c r="G65" s="3" t="s">
        <v>0</v>
      </c>
      <c r="H65" s="3" t="s">
        <v>77</v>
      </c>
      <c r="I65" s="3">
        <v>1</v>
      </c>
      <c r="J65" s="3">
        <v>50</v>
      </c>
      <c r="K65" s="3" t="s">
        <v>0</v>
      </c>
      <c r="L65" s="3" t="s">
        <v>77</v>
      </c>
      <c r="M65" s="3">
        <v>1</v>
      </c>
      <c r="N65" s="3">
        <v>50</v>
      </c>
      <c r="O65" s="19">
        <v>1.4359999999999999</v>
      </c>
      <c r="P65" s="19">
        <v>0.19700000000000001</v>
      </c>
      <c r="Q65" s="19"/>
      <c r="R65" s="19"/>
      <c r="S65" s="19"/>
      <c r="T65" s="19"/>
      <c r="U65" s="19"/>
      <c r="V65" s="19"/>
      <c r="W65" s="19"/>
      <c r="X65" s="19"/>
      <c r="Y65" s="19"/>
      <c r="Z65" s="19">
        <v>1.34</v>
      </c>
      <c r="AA65" s="19"/>
      <c r="AB65" s="19"/>
      <c r="AC65" s="19"/>
      <c r="AD65" s="19"/>
      <c r="AE65" s="19"/>
      <c r="AF65" s="19"/>
      <c r="AG65" s="19"/>
      <c r="AH65" s="19"/>
      <c r="AI65" s="19"/>
      <c r="AJ65" s="19"/>
      <c r="AK65" s="19"/>
      <c r="AL65" s="19"/>
      <c r="AM65" s="19"/>
      <c r="AN65" s="19"/>
      <c r="AO65" s="19"/>
      <c r="AP65" s="19"/>
      <c r="AQ65" s="19"/>
      <c r="AR65" s="19"/>
      <c r="AS65" s="19"/>
      <c r="AT65" s="21"/>
      <c r="AU65" s="21"/>
      <c r="AV65" s="21"/>
      <c r="AW65" s="21"/>
      <c r="AX65" s="21"/>
      <c r="AY65" s="21"/>
      <c r="AZ65" s="21"/>
      <c r="BA65" s="21"/>
      <c r="BB65" s="21"/>
      <c r="BC65" s="21"/>
      <c r="BD65" s="21"/>
      <c r="BE65" s="21"/>
      <c r="BF65" s="21"/>
      <c r="BG65" s="23"/>
      <c r="BH65" s="25">
        <v>6.2E-2</v>
      </c>
      <c r="BI65" s="25"/>
      <c r="BJ65" s="25"/>
      <c r="BK65" s="25"/>
      <c r="BL65" s="25"/>
      <c r="BM65" s="25"/>
      <c r="BN65" s="25"/>
      <c r="BO65" s="25"/>
      <c r="BP65" s="27"/>
      <c r="BQ65" s="27"/>
      <c r="BR65" s="25"/>
      <c r="BS65" s="27"/>
    </row>
    <row r="66" spans="1:71" ht="119" x14ac:dyDescent="0.2">
      <c r="A66" s="3">
        <v>65</v>
      </c>
      <c r="B66" s="2" t="s">
        <v>141</v>
      </c>
      <c r="C66" s="3" t="s">
        <v>158</v>
      </c>
      <c r="D66" s="5" t="s">
        <v>112</v>
      </c>
      <c r="E66" s="35" t="s">
        <v>190</v>
      </c>
      <c r="F66" s="3" t="s">
        <v>77</v>
      </c>
      <c r="G66" s="3" t="s">
        <v>0</v>
      </c>
      <c r="H66" s="3" t="s">
        <v>77</v>
      </c>
      <c r="I66" s="3">
        <v>1</v>
      </c>
      <c r="J66" s="3">
        <v>78</v>
      </c>
      <c r="K66" s="3" t="s">
        <v>0</v>
      </c>
      <c r="L66" s="3" t="s">
        <v>77</v>
      </c>
      <c r="M66" s="3">
        <v>1</v>
      </c>
      <c r="N66" s="3">
        <v>78</v>
      </c>
      <c r="O66" s="19">
        <v>1.484</v>
      </c>
      <c r="P66" s="19">
        <v>0.20399999999999999</v>
      </c>
      <c r="Q66" s="19"/>
      <c r="R66" s="19"/>
      <c r="S66" s="19"/>
      <c r="T66" s="19"/>
      <c r="U66" s="19"/>
      <c r="V66" s="19"/>
      <c r="W66" s="19"/>
      <c r="X66" s="19"/>
      <c r="Y66" s="19"/>
      <c r="Z66" s="19">
        <v>0.69</v>
      </c>
      <c r="AA66" s="19"/>
      <c r="AB66" s="19"/>
      <c r="AC66" s="19"/>
      <c r="AD66" s="19"/>
      <c r="AE66" s="19"/>
      <c r="AF66" s="19"/>
      <c r="AG66" s="19"/>
      <c r="AH66" s="19"/>
      <c r="AI66" s="19"/>
      <c r="AJ66" s="19"/>
      <c r="AK66" s="19"/>
      <c r="AL66" s="19"/>
      <c r="AM66" s="19"/>
      <c r="AN66" s="19"/>
      <c r="AO66" s="19"/>
      <c r="AP66" s="19"/>
      <c r="AQ66" s="19"/>
      <c r="AR66" s="19"/>
      <c r="AS66" s="19"/>
      <c r="AT66" s="21"/>
      <c r="AU66" s="21"/>
      <c r="AV66" s="21"/>
      <c r="AW66" s="21"/>
      <c r="AX66" s="21"/>
      <c r="AY66" s="21"/>
      <c r="AZ66" s="21"/>
      <c r="BA66" s="21"/>
      <c r="BB66" s="21"/>
      <c r="BC66" s="21"/>
      <c r="BD66" s="21"/>
      <c r="BE66" s="21"/>
      <c r="BF66" s="21"/>
      <c r="BG66" s="23"/>
      <c r="BH66" s="25"/>
      <c r="BI66" s="25"/>
      <c r="BJ66" s="25"/>
      <c r="BK66" s="25"/>
      <c r="BL66" s="25"/>
      <c r="BM66" s="25"/>
      <c r="BN66" s="25"/>
      <c r="BO66" s="25"/>
      <c r="BP66" s="27"/>
      <c r="BQ66" s="27"/>
      <c r="BR66" s="25"/>
      <c r="BS66" s="27"/>
    </row>
    <row r="67" spans="1:71" ht="119" x14ac:dyDescent="0.2">
      <c r="A67" s="3">
        <v>66</v>
      </c>
      <c r="B67" s="2" t="s">
        <v>141</v>
      </c>
      <c r="C67" s="3" t="s">
        <v>158</v>
      </c>
      <c r="D67" s="5" t="s">
        <v>112</v>
      </c>
      <c r="E67" s="35" t="s">
        <v>191</v>
      </c>
      <c r="F67" s="3" t="s">
        <v>77</v>
      </c>
      <c r="G67" s="3" t="s">
        <v>0</v>
      </c>
      <c r="H67" s="3" t="s">
        <v>77</v>
      </c>
      <c r="I67" s="3">
        <v>1</v>
      </c>
      <c r="J67" s="3">
        <v>50</v>
      </c>
      <c r="K67" s="3" t="s">
        <v>0</v>
      </c>
      <c r="L67" s="3" t="s">
        <v>77</v>
      </c>
      <c r="M67" s="3">
        <v>1</v>
      </c>
      <c r="N67" s="3">
        <v>50</v>
      </c>
      <c r="O67" s="19">
        <v>1.3759999999999999</v>
      </c>
      <c r="P67" s="19">
        <v>0.189</v>
      </c>
      <c r="Q67" s="19"/>
      <c r="R67" s="19"/>
      <c r="S67" s="19"/>
      <c r="T67" s="19"/>
      <c r="U67" s="19"/>
      <c r="V67" s="19"/>
      <c r="W67" s="19"/>
      <c r="X67" s="19"/>
      <c r="Y67" s="19"/>
      <c r="Z67" s="19">
        <v>0.67</v>
      </c>
      <c r="AA67" s="19"/>
      <c r="AB67" s="19"/>
      <c r="AC67" s="19"/>
      <c r="AD67" s="19"/>
      <c r="AE67" s="19"/>
      <c r="AF67" s="19"/>
      <c r="AG67" s="19">
        <v>0.37</v>
      </c>
      <c r="AH67" s="19"/>
      <c r="AI67" s="19"/>
      <c r="AJ67" s="19"/>
      <c r="AK67" s="19"/>
      <c r="AL67" s="19"/>
      <c r="AM67" s="19"/>
      <c r="AN67" s="19"/>
      <c r="AO67" s="19"/>
      <c r="AP67" s="19"/>
      <c r="AQ67" s="19"/>
      <c r="AR67" s="19"/>
      <c r="AS67" s="19"/>
      <c r="AT67" s="21"/>
      <c r="AU67" s="21"/>
      <c r="AV67" s="21"/>
      <c r="AW67" s="21"/>
      <c r="AX67" s="21"/>
      <c r="AY67" s="21"/>
      <c r="AZ67" s="21"/>
      <c r="BA67" s="21"/>
      <c r="BB67" s="21"/>
      <c r="BC67" s="21"/>
      <c r="BD67" s="21"/>
      <c r="BE67" s="21"/>
      <c r="BF67" s="21"/>
      <c r="BG67" s="23"/>
      <c r="BH67" s="25"/>
      <c r="BI67" s="25"/>
      <c r="BJ67" s="25"/>
      <c r="BK67" s="25"/>
      <c r="BL67" s="25"/>
      <c r="BM67" s="25"/>
      <c r="BN67" s="25"/>
      <c r="BO67" s="25"/>
      <c r="BP67" s="27"/>
      <c r="BQ67" s="27"/>
      <c r="BR67" s="25"/>
      <c r="BS67" s="27"/>
    </row>
    <row r="68" spans="1:71" ht="187" x14ac:dyDescent="0.2">
      <c r="A68" s="3">
        <v>67</v>
      </c>
      <c r="B68" s="2" t="s">
        <v>102</v>
      </c>
      <c r="C68" s="3" t="s">
        <v>158</v>
      </c>
      <c r="D68" s="5" t="s">
        <v>112</v>
      </c>
      <c r="E68" s="35" t="s">
        <v>192</v>
      </c>
      <c r="F68" s="3" t="s">
        <v>77</v>
      </c>
      <c r="G68" s="3" t="s">
        <v>0</v>
      </c>
      <c r="H68" s="3" t="s">
        <v>77</v>
      </c>
      <c r="I68" s="3" t="s">
        <v>2</v>
      </c>
      <c r="J68" s="3">
        <v>50</v>
      </c>
      <c r="K68" s="3" t="s">
        <v>0</v>
      </c>
      <c r="L68" s="3" t="s">
        <v>77</v>
      </c>
      <c r="M68" s="3" t="s">
        <v>2</v>
      </c>
      <c r="N68" s="3">
        <v>50</v>
      </c>
      <c r="O68" s="19">
        <f>1/0.69</f>
        <v>1.4492753623188408</v>
      </c>
      <c r="P68" s="19">
        <f>0.136/0.69</f>
        <v>0.19710144927536236</v>
      </c>
      <c r="Q68" s="19"/>
      <c r="R68" s="19"/>
      <c r="S68" s="19"/>
      <c r="T68" s="19"/>
      <c r="U68" s="19"/>
      <c r="V68" s="19"/>
      <c r="W68" s="19"/>
      <c r="X68" s="19"/>
      <c r="Y68" s="19"/>
      <c r="Z68" s="19">
        <f>0.925/0.69</f>
        <v>1.3405797101449277</v>
      </c>
      <c r="AA68" s="19"/>
      <c r="AB68" s="19"/>
      <c r="AC68" s="19"/>
      <c r="AD68" s="19"/>
      <c r="AE68" s="19"/>
      <c r="AF68" s="19"/>
      <c r="AG68" s="19"/>
      <c r="AH68" s="19"/>
      <c r="AI68" s="19"/>
      <c r="AJ68" s="19"/>
      <c r="AK68" s="19"/>
      <c r="AL68" s="19"/>
      <c r="AM68" s="19"/>
      <c r="AN68" s="19"/>
      <c r="AO68" s="19"/>
      <c r="AP68" s="19"/>
      <c r="AQ68" s="19"/>
      <c r="AR68" s="19"/>
      <c r="AS68" s="19"/>
      <c r="AT68" s="21"/>
      <c r="AU68" s="21"/>
      <c r="AV68" s="21"/>
      <c r="AW68" s="21"/>
      <c r="AX68" s="21"/>
      <c r="AY68" s="21"/>
      <c r="AZ68" s="21"/>
      <c r="BA68" s="21"/>
      <c r="BB68" s="21"/>
      <c r="BC68" s="21"/>
      <c r="BD68" s="21"/>
      <c r="BE68" s="21"/>
      <c r="BF68" s="21"/>
      <c r="BG68" s="23"/>
      <c r="BH68" s="25">
        <f>0.032/0.69</f>
        <v>4.6376811594202906E-2</v>
      </c>
      <c r="BI68" s="25"/>
      <c r="BJ68" s="25"/>
      <c r="BK68" s="25"/>
      <c r="BL68" s="25"/>
      <c r="BM68" s="25"/>
      <c r="BN68" s="25"/>
      <c r="BO68" s="25"/>
      <c r="BP68" s="27"/>
      <c r="BQ68" s="27"/>
      <c r="BR68" s="25"/>
      <c r="BS68" s="27"/>
    </row>
    <row r="69" spans="1:71" ht="187" x14ac:dyDescent="0.2">
      <c r="A69" s="3">
        <v>68</v>
      </c>
      <c r="B69" s="6" t="s">
        <v>122</v>
      </c>
      <c r="C69" s="3" t="s">
        <v>158</v>
      </c>
      <c r="D69" s="5" t="s">
        <v>112</v>
      </c>
      <c r="E69" s="2" t="s">
        <v>193</v>
      </c>
      <c r="F69" s="3" t="s">
        <v>77</v>
      </c>
      <c r="G69" s="3" t="s">
        <v>77</v>
      </c>
      <c r="H69" s="3" t="s">
        <v>77</v>
      </c>
      <c r="I69" s="3" t="s">
        <v>2</v>
      </c>
      <c r="J69" s="3">
        <v>50</v>
      </c>
      <c r="K69" s="3" t="s">
        <v>77</v>
      </c>
      <c r="L69" s="3" t="s">
        <v>77</v>
      </c>
      <c r="M69" s="3" t="s">
        <v>2</v>
      </c>
      <c r="N69" s="3">
        <v>50</v>
      </c>
      <c r="O69" s="19">
        <v>1.38</v>
      </c>
      <c r="P69" s="19">
        <v>0.19</v>
      </c>
      <c r="Q69" s="19"/>
      <c r="R69" s="19"/>
      <c r="S69" s="19"/>
      <c r="T69" s="19"/>
      <c r="U69" s="19"/>
      <c r="V69" s="19">
        <f>(2280/1000)*O69</f>
        <v>3.1463999999999994</v>
      </c>
      <c r="W69" s="19"/>
      <c r="X69" s="19">
        <f>((695*0.277)/1000)*O69</f>
        <v>0.26567069999999998</v>
      </c>
      <c r="Y69" s="19">
        <f>(1*0.277/0.0052)*P69</f>
        <v>10.121153846153847</v>
      </c>
      <c r="Z69" s="19">
        <f>4.78*0.277</f>
        <v>1.3240600000000002</v>
      </c>
      <c r="AA69" s="19"/>
      <c r="AB69" s="19"/>
      <c r="AC69" s="19"/>
      <c r="AD69" s="19"/>
      <c r="AE69" s="19"/>
      <c r="AF69" s="19"/>
      <c r="AG69" s="19"/>
      <c r="AH69" s="19"/>
      <c r="AI69" s="19"/>
      <c r="AJ69" s="19"/>
      <c r="AK69" s="19"/>
      <c r="AL69" s="19"/>
      <c r="AM69" s="19"/>
      <c r="AN69" s="19"/>
      <c r="AO69" s="19"/>
      <c r="AP69" s="19"/>
      <c r="AQ69" s="19"/>
      <c r="AR69" s="19"/>
      <c r="AS69" s="19"/>
      <c r="AT69" s="21"/>
      <c r="AU69" s="21"/>
      <c r="AV69" s="21"/>
      <c r="AW69" s="21"/>
      <c r="AX69" s="21"/>
      <c r="AY69" s="21">
        <v>1.23</v>
      </c>
      <c r="AZ69" s="21"/>
      <c r="BA69" s="21"/>
      <c r="BB69" s="21"/>
      <c r="BC69" s="21"/>
      <c r="BD69" s="21"/>
      <c r="BE69" s="21"/>
      <c r="BF69" s="21"/>
      <c r="BG69" s="23"/>
      <c r="BH69" s="25"/>
      <c r="BI69" s="25">
        <v>0.56000000000000005</v>
      </c>
      <c r="BJ69" s="25"/>
      <c r="BK69" s="25"/>
      <c r="BL69" s="25"/>
      <c r="BM69" s="25"/>
      <c r="BN69" s="25"/>
      <c r="BO69" s="25"/>
      <c r="BP69" s="27"/>
      <c r="BQ69" s="27"/>
      <c r="BR69" s="25"/>
      <c r="BS69" s="27"/>
    </row>
    <row r="70" spans="1:71" ht="51" x14ac:dyDescent="0.2">
      <c r="A70" s="3">
        <v>69</v>
      </c>
      <c r="B70" s="8" t="s">
        <v>194</v>
      </c>
      <c r="C70" s="3" t="s">
        <v>158</v>
      </c>
      <c r="D70" s="5" t="s">
        <v>112</v>
      </c>
      <c r="E70" s="2" t="s">
        <v>195</v>
      </c>
      <c r="F70" s="3" t="s">
        <v>77</v>
      </c>
      <c r="G70" s="3" t="s">
        <v>0</v>
      </c>
      <c r="H70" s="3" t="s">
        <v>77</v>
      </c>
      <c r="I70" s="3" t="s">
        <v>2</v>
      </c>
      <c r="J70" s="3">
        <v>50</v>
      </c>
      <c r="K70" s="3" t="s">
        <v>0</v>
      </c>
      <c r="L70" s="3" t="s">
        <v>77</v>
      </c>
      <c r="M70" s="3" t="s">
        <v>2</v>
      </c>
      <c r="N70" s="3">
        <v>50</v>
      </c>
      <c r="O70" s="19">
        <f>1/0.69</f>
        <v>1.4492753623188408</v>
      </c>
      <c r="P70" s="19">
        <f>0.136/0.69</f>
        <v>0.19710144927536236</v>
      </c>
      <c r="Q70" s="19"/>
      <c r="R70" s="19"/>
      <c r="S70" s="19"/>
      <c r="T70" s="19"/>
      <c r="U70" s="19"/>
      <c r="V70" s="19"/>
      <c r="W70" s="19"/>
      <c r="X70" s="19"/>
      <c r="Y70" s="19"/>
      <c r="Z70" s="19">
        <f>0.925/0.69</f>
        <v>1.3405797101449277</v>
      </c>
      <c r="AA70" s="19"/>
      <c r="AB70" s="19"/>
      <c r="AC70" s="19"/>
      <c r="AD70" s="19"/>
      <c r="AE70" s="19"/>
      <c r="AF70" s="19"/>
      <c r="AG70" s="19"/>
      <c r="AH70" s="19"/>
      <c r="AI70" s="19"/>
      <c r="AJ70" s="19"/>
      <c r="AK70" s="19"/>
      <c r="AL70" s="19"/>
      <c r="AM70" s="19"/>
      <c r="AN70" s="19"/>
      <c r="AO70" s="19"/>
      <c r="AP70" s="19"/>
      <c r="AQ70" s="19"/>
      <c r="AR70" s="19"/>
      <c r="AS70" s="19"/>
      <c r="AT70" s="21"/>
      <c r="AU70" s="21"/>
      <c r="AV70" s="21"/>
      <c r="AW70" s="21"/>
      <c r="AX70" s="21"/>
      <c r="AY70" s="21"/>
      <c r="AZ70" s="21"/>
      <c r="BA70" s="21"/>
      <c r="BB70" s="21"/>
      <c r="BC70" s="21"/>
      <c r="BD70" s="21"/>
      <c r="BE70" s="21"/>
      <c r="BF70" s="21"/>
      <c r="BG70" s="23"/>
      <c r="BH70" s="25">
        <f>0.032/0.69</f>
        <v>4.6376811594202906E-2</v>
      </c>
      <c r="BI70" s="25"/>
      <c r="BJ70" s="25"/>
      <c r="BK70" s="25"/>
      <c r="BL70" s="25"/>
      <c r="BM70" s="25"/>
      <c r="BN70" s="25"/>
      <c r="BO70" s="25"/>
      <c r="BP70" s="27"/>
      <c r="BQ70" s="27"/>
      <c r="BR70" s="25"/>
      <c r="BS70" s="27"/>
    </row>
    <row r="71" spans="1:71" x14ac:dyDescent="0.2">
      <c r="A71" s="3"/>
      <c r="B71" s="4"/>
      <c r="C71" s="4"/>
      <c r="D71" s="4"/>
      <c r="E71" s="45"/>
      <c r="F71" s="45"/>
      <c r="G71" s="45"/>
      <c r="H71" s="45"/>
      <c r="I71" s="45"/>
      <c r="J71" s="45"/>
      <c r="K71" s="45"/>
      <c r="L71" s="45"/>
      <c r="M71" s="45"/>
      <c r="N71" s="45"/>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71" x14ac:dyDescent="0.2">
      <c r="A72" s="3"/>
      <c r="B72" s="4"/>
      <c r="C72" s="4"/>
      <c r="D72" s="4"/>
      <c r="E72" s="45"/>
      <c r="F72" s="45"/>
      <c r="G72" s="45"/>
      <c r="H72" s="45"/>
      <c r="I72" s="45"/>
      <c r="J72" s="45"/>
      <c r="K72" s="45"/>
      <c r="L72" s="45"/>
      <c r="M72" s="45"/>
      <c r="N72" s="45"/>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71" x14ac:dyDescent="0.2">
      <c r="A73" s="3"/>
      <c r="B73" s="4"/>
      <c r="C73" s="4"/>
      <c r="D73" s="4"/>
      <c r="E73" s="45"/>
      <c r="F73" s="45"/>
      <c r="G73" s="45"/>
      <c r="H73" s="45"/>
      <c r="I73" s="45"/>
      <c r="J73" s="45"/>
      <c r="K73" s="45"/>
      <c r="L73" s="45"/>
      <c r="M73" s="45"/>
      <c r="N73" s="45"/>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71" x14ac:dyDescent="0.2">
      <c r="A74" s="3"/>
      <c r="B74" s="4"/>
      <c r="C74" s="4"/>
      <c r="D74" s="4"/>
      <c r="E74" s="45"/>
      <c r="F74" s="45"/>
      <c r="G74" s="45"/>
      <c r="H74" s="45"/>
      <c r="I74" s="45"/>
      <c r="J74" s="45"/>
      <c r="K74" s="45"/>
      <c r="L74" s="45"/>
      <c r="M74" s="45"/>
      <c r="N74" s="45"/>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71" x14ac:dyDescent="0.2">
      <c r="A75" s="3"/>
      <c r="B75" s="4"/>
      <c r="C75" s="4"/>
      <c r="D75" s="4"/>
      <c r="E75" s="45"/>
      <c r="F75" s="45"/>
      <c r="G75" s="45"/>
      <c r="H75" s="45"/>
      <c r="I75" s="45"/>
      <c r="J75" s="45"/>
      <c r="K75" s="45"/>
      <c r="L75" s="45"/>
      <c r="M75" s="45"/>
      <c r="N75" s="45"/>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71" x14ac:dyDescent="0.2">
      <c r="A76" s="3"/>
      <c r="B76" s="4"/>
      <c r="C76" s="4"/>
      <c r="D76" s="4"/>
      <c r="E76" s="45"/>
      <c r="F76" s="45"/>
      <c r="G76" s="45"/>
      <c r="H76" s="45"/>
      <c r="I76" s="45"/>
      <c r="J76" s="45"/>
      <c r="K76" s="45"/>
      <c r="L76" s="45"/>
      <c r="M76" s="45"/>
      <c r="N76" s="45"/>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71" x14ac:dyDescent="0.2">
      <c r="A77" s="3"/>
      <c r="B77" s="4"/>
      <c r="C77" s="4"/>
      <c r="D77" s="4"/>
      <c r="E77" s="45"/>
      <c r="F77" s="45"/>
      <c r="G77" s="45"/>
      <c r="H77" s="45"/>
      <c r="I77" s="45"/>
      <c r="J77" s="45"/>
      <c r="K77" s="45"/>
      <c r="L77" s="45"/>
      <c r="M77" s="45"/>
      <c r="N77" s="45"/>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71" x14ac:dyDescent="0.2">
      <c r="A78" s="3"/>
      <c r="B78" s="4"/>
      <c r="C78" s="4"/>
      <c r="D78" s="4"/>
      <c r="E78" s="45"/>
      <c r="F78" s="45"/>
      <c r="G78" s="45"/>
      <c r="H78" s="45"/>
      <c r="I78" s="45"/>
      <c r="J78" s="45"/>
      <c r="K78" s="45"/>
      <c r="L78" s="45"/>
      <c r="M78" s="45"/>
      <c r="N78" s="45"/>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71" x14ac:dyDescent="0.2">
      <c r="A79" s="3"/>
      <c r="B79" s="4"/>
      <c r="C79" s="4"/>
      <c r="D79" s="4"/>
      <c r="E79" s="45"/>
      <c r="F79" s="45"/>
      <c r="G79" s="45"/>
      <c r="H79" s="45"/>
      <c r="I79" s="45"/>
      <c r="J79" s="45"/>
      <c r="K79" s="45"/>
      <c r="L79" s="45"/>
      <c r="M79" s="45"/>
      <c r="N79" s="45"/>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71" x14ac:dyDescent="0.2">
      <c r="A80" s="3"/>
      <c r="B80" s="4"/>
      <c r="C80" s="4"/>
      <c r="D80" s="4"/>
      <c r="E80" s="45"/>
      <c r="F80" s="45"/>
      <c r="G80" s="45"/>
      <c r="H80" s="45"/>
      <c r="I80" s="45"/>
      <c r="J80" s="45"/>
      <c r="K80" s="45"/>
      <c r="L80" s="45"/>
      <c r="M80" s="45"/>
      <c r="N80" s="45"/>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x14ac:dyDescent="0.2">
      <c r="A81" s="3"/>
      <c r="B81" s="4"/>
      <c r="C81" s="4"/>
      <c r="D81" s="4"/>
      <c r="E81" s="45"/>
      <c r="F81" s="45"/>
      <c r="G81" s="45"/>
      <c r="H81" s="45"/>
      <c r="I81" s="45"/>
      <c r="J81" s="45"/>
      <c r="K81" s="45"/>
      <c r="L81" s="45"/>
      <c r="M81" s="45"/>
      <c r="N81" s="45"/>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x14ac:dyDescent="0.2">
      <c r="A82" s="3"/>
      <c r="B82" s="4"/>
      <c r="C82" s="4"/>
      <c r="D82" s="4"/>
      <c r="E82" s="45"/>
      <c r="F82" s="45"/>
      <c r="G82" s="45"/>
      <c r="H82" s="45"/>
      <c r="I82" s="45"/>
      <c r="J82" s="45"/>
      <c r="K82" s="45"/>
      <c r="L82" s="45"/>
      <c r="M82" s="45"/>
      <c r="N82" s="45"/>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x14ac:dyDescent="0.2">
      <c r="A83" s="3"/>
      <c r="B83" s="4"/>
      <c r="C83" s="4"/>
      <c r="D83" s="4"/>
      <c r="E83" s="45"/>
      <c r="F83" s="45"/>
      <c r="G83" s="45"/>
      <c r="H83" s="45"/>
      <c r="I83" s="45"/>
      <c r="J83" s="45"/>
      <c r="K83" s="45"/>
      <c r="L83" s="45"/>
      <c r="M83" s="45"/>
      <c r="N83" s="45"/>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x14ac:dyDescent="0.2">
      <c r="A84" s="3"/>
      <c r="B84" s="4"/>
      <c r="C84" s="4"/>
      <c r="D84" s="4"/>
      <c r="E84" s="45"/>
      <c r="F84" s="45"/>
      <c r="G84" s="45"/>
      <c r="H84" s="45"/>
      <c r="I84" s="45"/>
      <c r="J84" s="45"/>
      <c r="K84" s="45"/>
      <c r="L84" s="45"/>
      <c r="M84" s="45"/>
      <c r="N84" s="45"/>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x14ac:dyDescent="0.2">
      <c r="A85" s="3"/>
      <c r="B85" s="4"/>
      <c r="C85" s="4"/>
      <c r="D85" s="4"/>
      <c r="E85" s="45"/>
      <c r="F85" s="45"/>
      <c r="G85" s="45"/>
      <c r="H85" s="45"/>
      <c r="I85" s="45"/>
      <c r="J85" s="45"/>
      <c r="K85" s="45"/>
      <c r="L85" s="45"/>
      <c r="M85" s="45"/>
      <c r="N85" s="45"/>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x14ac:dyDescent="0.2">
      <c r="A86" s="3"/>
      <c r="B86" s="4"/>
      <c r="C86" s="4"/>
      <c r="D86" s="4"/>
      <c r="E86" s="45"/>
      <c r="F86" s="45"/>
      <c r="G86" s="45"/>
      <c r="H86" s="45"/>
      <c r="I86" s="45"/>
      <c r="J86" s="45"/>
      <c r="K86" s="45"/>
      <c r="L86" s="45"/>
      <c r="M86" s="45"/>
      <c r="N86" s="45"/>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x14ac:dyDescent="0.2">
      <c r="A87" s="3"/>
      <c r="B87" s="4"/>
      <c r="C87" s="4"/>
      <c r="D87" s="4"/>
      <c r="E87" s="4"/>
      <c r="F87" s="4"/>
      <c r="G87" s="4"/>
      <c r="H87" s="4"/>
      <c r="I87" s="4"/>
      <c r="J87" s="4"/>
      <c r="K87" s="4"/>
      <c r="L87" s="4"/>
      <c r="M87" s="4"/>
      <c r="N87" s="4"/>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x14ac:dyDescent="0.2">
      <c r="A88" s="3"/>
      <c r="B88" s="4"/>
      <c r="C88" s="4"/>
      <c r="D88" s="4"/>
      <c r="E88" s="4"/>
      <c r="F88" s="4"/>
      <c r="G88" s="4"/>
      <c r="H88" s="4"/>
      <c r="I88" s="4"/>
      <c r="J88" s="4"/>
      <c r="K88" s="4"/>
      <c r="L88" s="4"/>
      <c r="M88" s="4"/>
      <c r="N88" s="4"/>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x14ac:dyDescent="0.2">
      <c r="A89" s="3"/>
      <c r="B89" s="4"/>
      <c r="C89" s="4"/>
      <c r="D89" s="4"/>
      <c r="E89" s="4"/>
      <c r="F89" s="4"/>
      <c r="G89" s="4"/>
      <c r="H89" s="4"/>
      <c r="I89" s="4"/>
      <c r="J89" s="4"/>
      <c r="K89" s="4"/>
      <c r="L89" s="4"/>
      <c r="M89" s="4"/>
      <c r="N89" s="4"/>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x14ac:dyDescent="0.2">
      <c r="A90" s="3"/>
      <c r="B90" s="4"/>
      <c r="C90" s="4"/>
      <c r="D90" s="4"/>
      <c r="E90" s="4"/>
      <c r="F90" s="4"/>
      <c r="G90" s="4"/>
      <c r="H90" s="4"/>
      <c r="I90" s="4"/>
      <c r="J90" s="4"/>
      <c r="K90" s="4"/>
      <c r="L90" s="4"/>
      <c r="M90" s="4"/>
      <c r="N90" s="4"/>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x14ac:dyDescent="0.2">
      <c r="A91" s="3"/>
      <c r="B91" s="4"/>
      <c r="C91" s="4"/>
      <c r="D91" s="4"/>
      <c r="E91" s="4"/>
      <c r="F91" s="4"/>
      <c r="G91" s="4"/>
      <c r="H91" s="4"/>
      <c r="I91" s="4"/>
      <c r="J91" s="4"/>
      <c r="K91" s="4"/>
      <c r="L91" s="4"/>
      <c r="M91" s="4"/>
      <c r="N91" s="4"/>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x14ac:dyDescent="0.2">
      <c r="A92" s="3"/>
      <c r="B92" s="4"/>
      <c r="C92" s="4"/>
      <c r="D92" s="4"/>
      <c r="E92" s="4"/>
      <c r="F92" s="4"/>
      <c r="G92" s="4"/>
      <c r="H92" s="4"/>
      <c r="I92" s="4"/>
      <c r="J92" s="4"/>
      <c r="K92" s="4"/>
      <c r="L92" s="4"/>
      <c r="M92" s="4"/>
      <c r="N92" s="4"/>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x14ac:dyDescent="0.2">
      <c r="A93" s="3"/>
      <c r="B93" s="4"/>
      <c r="C93" s="4"/>
      <c r="D93" s="4"/>
      <c r="E93" s="4"/>
      <c r="F93" s="4"/>
      <c r="G93" s="4"/>
      <c r="H93" s="4"/>
      <c r="I93" s="4"/>
      <c r="J93" s="4"/>
      <c r="K93" s="4"/>
      <c r="L93" s="4"/>
      <c r="M93" s="4"/>
      <c r="N93" s="4"/>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x14ac:dyDescent="0.2">
      <c r="A94" s="3"/>
      <c r="B94" s="4"/>
      <c r="C94" s="4"/>
      <c r="D94" s="4"/>
      <c r="E94" s="4"/>
      <c r="F94" s="4"/>
      <c r="G94" s="4"/>
      <c r="H94" s="4"/>
      <c r="I94" s="4"/>
      <c r="J94" s="4"/>
      <c r="K94" s="4"/>
      <c r="L94" s="4"/>
      <c r="M94" s="4"/>
      <c r="N94" s="4"/>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x14ac:dyDescent="0.2">
      <c r="A95" s="3"/>
      <c r="B95" s="4"/>
      <c r="C95" s="4"/>
      <c r="D95" s="4"/>
      <c r="E95" s="4"/>
      <c r="F95" s="4"/>
      <c r="G95" s="4"/>
      <c r="H95" s="4"/>
      <c r="I95" s="4"/>
      <c r="J95" s="4"/>
      <c r="K95" s="4"/>
      <c r="L95" s="4"/>
      <c r="M95" s="4"/>
      <c r="N95" s="4"/>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x14ac:dyDescent="0.2">
      <c r="A96" s="4"/>
      <c r="B96" s="4"/>
      <c r="C96" s="4"/>
      <c r="D96" s="4"/>
      <c r="E96" s="4"/>
      <c r="F96" s="4"/>
      <c r="G96" s="4"/>
      <c r="H96" s="4"/>
      <c r="I96" s="4"/>
      <c r="J96" s="4"/>
      <c r="K96" s="4"/>
      <c r="L96" s="4"/>
      <c r="M96" s="4"/>
      <c r="N96" s="4"/>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x14ac:dyDescent="0.2">
      <c r="A97" s="4"/>
      <c r="B97" s="4"/>
      <c r="C97" s="4"/>
      <c r="D97" s="4"/>
      <c r="E97" s="4"/>
      <c r="F97" s="4"/>
      <c r="G97" s="4"/>
      <c r="H97" s="4"/>
      <c r="I97" s="4"/>
      <c r="J97" s="4"/>
      <c r="K97" s="4"/>
      <c r="L97" s="4"/>
      <c r="M97" s="4"/>
      <c r="N97" s="4"/>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x14ac:dyDescent="0.2">
      <c r="A98" s="4"/>
      <c r="B98" s="4"/>
      <c r="C98" s="4"/>
      <c r="D98" s="4"/>
      <c r="E98" s="4"/>
      <c r="F98" s="4"/>
      <c r="G98" s="4"/>
      <c r="H98" s="4"/>
      <c r="I98" s="4"/>
      <c r="J98" s="4"/>
      <c r="K98" s="4"/>
      <c r="L98" s="4"/>
      <c r="M98" s="4"/>
      <c r="N98" s="4"/>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x14ac:dyDescent="0.2">
      <c r="A99" s="4"/>
      <c r="B99" s="4"/>
      <c r="C99" s="4"/>
      <c r="D99" s="4"/>
      <c r="E99" s="4"/>
      <c r="F99" s="4"/>
      <c r="G99" s="4"/>
      <c r="H99" s="4"/>
      <c r="I99" s="4"/>
      <c r="J99" s="4"/>
      <c r="K99" s="4"/>
      <c r="L99" s="4"/>
      <c r="M99" s="4"/>
      <c r="N99" s="4"/>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x14ac:dyDescent="0.2">
      <c r="A100" s="4"/>
      <c r="B100" s="4"/>
      <c r="C100" s="4"/>
      <c r="D100" s="4"/>
      <c r="E100" s="4"/>
      <c r="F100" s="4"/>
      <c r="G100" s="4"/>
      <c r="H100" s="4"/>
      <c r="I100" s="4"/>
      <c r="J100" s="4"/>
      <c r="K100" s="4"/>
      <c r="L100" s="4"/>
      <c r="M100" s="4"/>
      <c r="N100" s="4"/>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x14ac:dyDescent="0.2">
      <c r="A101" s="4"/>
      <c r="B101" s="4"/>
      <c r="C101" s="4"/>
      <c r="D101" s="4"/>
      <c r="E101" s="4"/>
      <c r="F101" s="4"/>
      <c r="G101" s="4"/>
      <c r="H101" s="4"/>
      <c r="I101" s="4"/>
      <c r="J101" s="4"/>
      <c r="K101" s="4"/>
      <c r="L101" s="4"/>
      <c r="M101" s="4"/>
      <c r="N101" s="4"/>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x14ac:dyDescent="0.2">
      <c r="A102" s="4"/>
      <c r="B102" s="4"/>
      <c r="C102" s="4"/>
      <c r="D102" s="4"/>
      <c r="E102" s="4"/>
      <c r="F102" s="4"/>
      <c r="G102" s="4"/>
      <c r="H102" s="4"/>
      <c r="I102" s="4"/>
      <c r="J102" s="4"/>
      <c r="K102" s="4"/>
      <c r="L102" s="4"/>
      <c r="M102" s="4"/>
      <c r="N102" s="4"/>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x14ac:dyDescent="0.2">
      <c r="A103" s="4"/>
      <c r="B103" s="4"/>
      <c r="C103" s="4"/>
      <c r="D103" s="4"/>
      <c r="E103" s="4"/>
      <c r="F103" s="4"/>
      <c r="G103" s="4"/>
      <c r="H103" s="4"/>
      <c r="I103" s="4"/>
      <c r="J103" s="4"/>
      <c r="K103" s="4"/>
      <c r="L103" s="4"/>
      <c r="M103" s="4"/>
      <c r="N103" s="4"/>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x14ac:dyDescent="0.2">
      <c r="A104" s="4"/>
      <c r="B104" s="4"/>
      <c r="C104" s="4"/>
      <c r="D104" s="4"/>
      <c r="E104" s="4"/>
      <c r="F104" s="4"/>
      <c r="G104" s="4"/>
      <c r="H104" s="4"/>
      <c r="I104" s="4"/>
      <c r="J104" s="4"/>
      <c r="K104" s="4"/>
      <c r="L104" s="4"/>
      <c r="M104" s="4"/>
      <c r="N104" s="4"/>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x14ac:dyDescent="0.2">
      <c r="A105" s="4"/>
      <c r="B105" s="4"/>
      <c r="C105" s="4"/>
      <c r="D105" s="4"/>
      <c r="E105" s="4"/>
      <c r="F105" s="4"/>
      <c r="G105" s="4"/>
      <c r="H105" s="4"/>
      <c r="I105" s="4"/>
      <c r="J105" s="4"/>
      <c r="K105" s="4"/>
      <c r="L105" s="4"/>
      <c r="M105" s="4"/>
      <c r="N105" s="4"/>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x14ac:dyDescent="0.2">
      <c r="A106" s="4"/>
      <c r="B106" s="4"/>
      <c r="C106" s="4"/>
      <c r="D106" s="4"/>
      <c r="E106" s="4"/>
      <c r="F106" s="4"/>
      <c r="G106" s="4"/>
      <c r="H106" s="4"/>
      <c r="I106" s="4"/>
      <c r="J106" s="4"/>
      <c r="K106" s="4"/>
      <c r="L106" s="4"/>
      <c r="M106" s="4"/>
      <c r="N106" s="4"/>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x14ac:dyDescent="0.2">
      <c r="A107" s="4"/>
      <c r="B107" s="4"/>
      <c r="C107" s="4"/>
      <c r="D107" s="4"/>
      <c r="E107" s="4"/>
      <c r="F107" s="4"/>
      <c r="G107" s="4"/>
      <c r="H107" s="4"/>
      <c r="I107" s="4"/>
      <c r="J107" s="4"/>
      <c r="K107" s="4"/>
      <c r="L107" s="4"/>
      <c r="M107" s="4"/>
      <c r="N107" s="4"/>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x14ac:dyDescent="0.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x14ac:dyDescent="0.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x14ac:dyDescent="0.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x14ac:dyDescent="0.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x14ac:dyDescent="0.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5:67" x14ac:dyDescent="0.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5:67" x14ac:dyDescent="0.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5:67" x14ac:dyDescent="0.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5:67" x14ac:dyDescent="0.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sheetData>
  <autoFilter ref="A1:BS70" xr:uid="{9A8632C5-2C64-9B4C-BBB5-C49264BFF4C0}">
    <filterColumn colId="2">
      <filters>
        <filter val="MeOH"/>
      </filters>
    </filterColumn>
    <filterColumn colId="3">
      <filters>
        <filter val="Hydrogenation of CO2"/>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worksheet-Concrete</vt:lpstr>
      <vt:lpstr>worksheet-chemicals</vt:lpstr>
      <vt:lpstr>Chemicals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2019-10-12T23:46:52Z</dcterms:created>
  <dcterms:modified xsi:type="dcterms:W3CDTF">2020-05-25T03:46:20Z</dcterms:modified>
</cp:coreProperties>
</file>